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Xã Đăk Tờ Kan 2025\HDND xa Dak To Kan\Ky Hop chuyen de lan thu 6 (24-11)\Nghi quyet Ky hop 6 (24-11)\HO SO KY HOP THU 6\1 ĐNSP (ĐT)\"/>
    </mc:Choice>
  </mc:AlternateContent>
  <bookViews>
    <workbookView xWindow="0" yWindow="0" windowWidth="28800" windowHeight="12210" tabRatio="922" firstSheet="3" activeTab="3"/>
  </bookViews>
  <sheets>
    <sheet name="3.13.Thành phố Kon Tum" sheetId="18" state="hidden" r:id="rId1"/>
    <sheet name="3.14.Đăk Hà" sheetId="17" state="hidden" r:id="rId2"/>
    <sheet name="3.15.Đăk Tô" sheetId="11" state="hidden" r:id="rId3"/>
    <sheet name="DAK TO KAN" sheetId="8" r:id="rId4"/>
    <sheet name="3.17.Ngọc Hồi" sheetId="14" state="hidden" r:id="rId5"/>
    <sheet name="3.18.Đăk Glei" sheetId="7" state="hidden" r:id="rId6"/>
    <sheet name="3.19.Sa Thầy" sheetId="13" state="hidden" r:id="rId7"/>
    <sheet name="3.20.Ia HDrai" sheetId="9" state="hidden" r:id="rId8"/>
    <sheet name="3.21.Kon Rẫy" sheetId="10" state="hidden" r:id="rId9"/>
    <sheet name="3.22.Kon PLong" sheetId="12" state="hidden" r:id="rId10"/>
  </sheets>
  <definedNames>
    <definedName name="___________________________________________________________________a1" localSheetId="0" hidden="1">{"'Sheet1'!$L$16"}</definedName>
    <definedName name="___________________________________________________________________a1" localSheetId="6" hidden="1">{"'Sheet1'!$L$16"}</definedName>
    <definedName name="___________________________________________________________________a1" localSheetId="9" hidden="1">{"'Sheet1'!$L$16"}</definedName>
    <definedName name="___________________________________________________________________a1" hidden="1">{"'Sheet1'!$L$16"}</definedName>
    <definedName name="___________________________________________________________________PA3" localSheetId="0" hidden="1">{"'Sheet1'!$L$16"}</definedName>
    <definedName name="___________________________________________________________________PA3" localSheetId="6" hidden="1">{"'Sheet1'!$L$16"}</definedName>
    <definedName name="___________________________________________________________________PA3" localSheetId="9" hidden="1">{"'Sheet1'!$L$16"}</definedName>
    <definedName name="___________________________________________________________________PA3" hidden="1">{"'Sheet1'!$L$16"}</definedName>
    <definedName name="_________________________________________________________________a1" localSheetId="0" hidden="1">{"'Sheet1'!$L$16"}</definedName>
    <definedName name="_________________________________________________________________a1" localSheetId="6" hidden="1">{"'Sheet1'!$L$16"}</definedName>
    <definedName name="_________________________________________________________________a1" localSheetId="9" hidden="1">{"'Sheet1'!$L$16"}</definedName>
    <definedName name="_________________________________________________________________a1" hidden="1">{"'Sheet1'!$L$16"}</definedName>
    <definedName name="_________________________________________________________________PA3" localSheetId="0" hidden="1">{"'Sheet1'!$L$16"}</definedName>
    <definedName name="_________________________________________________________________PA3" localSheetId="6" hidden="1">{"'Sheet1'!$L$16"}</definedName>
    <definedName name="_________________________________________________________________PA3" localSheetId="9" hidden="1">{"'Sheet1'!$L$16"}</definedName>
    <definedName name="_________________________________________________________________PA3" hidden="1">{"'Sheet1'!$L$16"}</definedName>
    <definedName name="_______________________________________________________________a1" localSheetId="0" hidden="1">{"'Sheet1'!$L$16"}</definedName>
    <definedName name="_______________________________________________________________a1" localSheetId="6" hidden="1">{"'Sheet1'!$L$16"}</definedName>
    <definedName name="_______________________________________________________________a1" localSheetId="9" hidden="1">{"'Sheet1'!$L$16"}</definedName>
    <definedName name="_______________________________________________________________a1" hidden="1">{"'Sheet1'!$L$16"}</definedName>
    <definedName name="_______________________________________________________________DT12" localSheetId="0" hidden="1">{"'Sheet1'!$L$16"}</definedName>
    <definedName name="_______________________________________________________________DT12" localSheetId="6" hidden="1">{"'Sheet1'!$L$16"}</definedName>
    <definedName name="_______________________________________________________________DT12" localSheetId="9" hidden="1">{"'Sheet1'!$L$16"}</definedName>
    <definedName name="_______________________________________________________________DT12" hidden="1">{"'Sheet1'!$L$16"}</definedName>
    <definedName name="_______________________________________________________________PA3" localSheetId="0" hidden="1">{"'Sheet1'!$L$16"}</definedName>
    <definedName name="_______________________________________________________________PA3" localSheetId="6" hidden="1">{"'Sheet1'!$L$16"}</definedName>
    <definedName name="_______________________________________________________________PA3" localSheetId="9" hidden="1">{"'Sheet1'!$L$16"}</definedName>
    <definedName name="_______________________________________________________________PA3" hidden="1">{"'Sheet1'!$L$16"}</definedName>
    <definedName name="_____________________________________________________________a1" localSheetId="0" hidden="1">{"'Sheet1'!$L$16"}</definedName>
    <definedName name="_____________________________________________________________a1" localSheetId="6" hidden="1">{"'Sheet1'!$L$16"}</definedName>
    <definedName name="_____________________________________________________________a1" localSheetId="9" hidden="1">{"'Sheet1'!$L$16"}</definedName>
    <definedName name="_____________________________________________________________a1" hidden="1">{"'Sheet1'!$L$16"}</definedName>
    <definedName name="_____________________________________________________________DT12" localSheetId="0" hidden="1">{"'Sheet1'!$L$16"}</definedName>
    <definedName name="_____________________________________________________________DT12" localSheetId="6" hidden="1">{"'Sheet1'!$L$16"}</definedName>
    <definedName name="_____________________________________________________________DT12" localSheetId="9" hidden="1">{"'Sheet1'!$L$16"}</definedName>
    <definedName name="_____________________________________________________________DT12" hidden="1">{"'Sheet1'!$L$16"}</definedName>
    <definedName name="_____________________________________________________________PA3" localSheetId="0" hidden="1">{"'Sheet1'!$L$16"}</definedName>
    <definedName name="_____________________________________________________________PA3" localSheetId="6" hidden="1">{"'Sheet1'!$L$16"}</definedName>
    <definedName name="_____________________________________________________________PA3" localSheetId="9" hidden="1">{"'Sheet1'!$L$16"}</definedName>
    <definedName name="_____________________________________________________________PA3" hidden="1">{"'Sheet1'!$L$16"}</definedName>
    <definedName name="____________________________________________________________DT12" localSheetId="0" hidden="1">{"'Sheet1'!$L$16"}</definedName>
    <definedName name="____________________________________________________________DT12" localSheetId="6" hidden="1">{"'Sheet1'!$L$16"}</definedName>
    <definedName name="____________________________________________________________DT12" localSheetId="9" hidden="1">{"'Sheet1'!$L$16"}</definedName>
    <definedName name="____________________________________________________________DT12" hidden="1">{"'Sheet1'!$L$16"}</definedName>
    <definedName name="___________________________________________________________a1" localSheetId="0" hidden="1">{"'Sheet1'!$L$16"}</definedName>
    <definedName name="___________________________________________________________a1" localSheetId="6" hidden="1">{"'Sheet1'!$L$16"}</definedName>
    <definedName name="___________________________________________________________a1" localSheetId="9" hidden="1">{"'Sheet1'!$L$16"}</definedName>
    <definedName name="___________________________________________________________a1" hidden="1">{"'Sheet1'!$L$16"}</definedName>
    <definedName name="___________________________________________________________DT12" localSheetId="0" hidden="1">{"'Sheet1'!$L$16"}</definedName>
    <definedName name="___________________________________________________________DT12" localSheetId="6" hidden="1">{"'Sheet1'!$L$16"}</definedName>
    <definedName name="___________________________________________________________DT12" localSheetId="9" hidden="1">{"'Sheet1'!$L$16"}</definedName>
    <definedName name="___________________________________________________________DT12" hidden="1">{"'Sheet1'!$L$16"}</definedName>
    <definedName name="___________________________________________________________PA3" localSheetId="0" hidden="1">{"'Sheet1'!$L$16"}</definedName>
    <definedName name="___________________________________________________________PA3" localSheetId="6" hidden="1">{"'Sheet1'!$L$16"}</definedName>
    <definedName name="___________________________________________________________PA3" localSheetId="9" hidden="1">{"'Sheet1'!$L$16"}</definedName>
    <definedName name="___________________________________________________________PA3" hidden="1">{"'Sheet1'!$L$16"}</definedName>
    <definedName name="_________________________________________________________a1" localSheetId="0" hidden="1">{"'Sheet1'!$L$16"}</definedName>
    <definedName name="_________________________________________________________a1" localSheetId="6" hidden="1">{"'Sheet1'!$L$16"}</definedName>
    <definedName name="_________________________________________________________a1" localSheetId="9" hidden="1">{"'Sheet1'!$L$16"}</definedName>
    <definedName name="_________________________________________________________a1" hidden="1">{"'Sheet1'!$L$16"}</definedName>
    <definedName name="_________________________________________________________DT12" localSheetId="0" hidden="1">{"'Sheet1'!$L$16"}</definedName>
    <definedName name="_________________________________________________________DT12" localSheetId="6" hidden="1">{"'Sheet1'!$L$16"}</definedName>
    <definedName name="_________________________________________________________DT12" localSheetId="9" hidden="1">{"'Sheet1'!$L$16"}</definedName>
    <definedName name="_________________________________________________________DT12" hidden="1">{"'Sheet1'!$L$16"}</definedName>
    <definedName name="_________________________________________________________PA3" localSheetId="0" hidden="1">{"'Sheet1'!$L$16"}</definedName>
    <definedName name="_________________________________________________________PA3" localSheetId="6" hidden="1">{"'Sheet1'!$L$16"}</definedName>
    <definedName name="_________________________________________________________PA3" localSheetId="9" hidden="1">{"'Sheet1'!$L$16"}</definedName>
    <definedName name="_________________________________________________________PA3" hidden="1">{"'Sheet1'!$L$16"}</definedName>
    <definedName name="________________________________________________________a1" localSheetId="0" hidden="1">{"'Sheet1'!$L$16"}</definedName>
    <definedName name="________________________________________________________a1" localSheetId="6" hidden="1">{"'Sheet1'!$L$16"}</definedName>
    <definedName name="________________________________________________________a1" localSheetId="9" hidden="1">{"'Sheet1'!$L$16"}</definedName>
    <definedName name="________________________________________________________a1" hidden="1">{"'Sheet1'!$L$16"}</definedName>
    <definedName name="________________________________________________________DT12" localSheetId="0" hidden="1">{"'Sheet1'!$L$16"}</definedName>
    <definedName name="________________________________________________________DT12" localSheetId="6" hidden="1">{"'Sheet1'!$L$16"}</definedName>
    <definedName name="________________________________________________________DT12" localSheetId="9" hidden="1">{"'Sheet1'!$L$16"}</definedName>
    <definedName name="________________________________________________________DT12" hidden="1">{"'Sheet1'!$L$16"}</definedName>
    <definedName name="________________________________________________________PA3" localSheetId="0" hidden="1">{"'Sheet1'!$L$16"}</definedName>
    <definedName name="________________________________________________________PA3" localSheetId="6" hidden="1">{"'Sheet1'!$L$16"}</definedName>
    <definedName name="________________________________________________________PA3" localSheetId="9" hidden="1">{"'Sheet1'!$L$16"}</definedName>
    <definedName name="________________________________________________________PA3" hidden="1">{"'Sheet1'!$L$16"}</definedName>
    <definedName name="_______________________________________________________DT12" localSheetId="0" hidden="1">{"'Sheet1'!$L$16"}</definedName>
    <definedName name="_______________________________________________________DT12" localSheetId="6" hidden="1">{"'Sheet1'!$L$16"}</definedName>
    <definedName name="_______________________________________________________DT12" localSheetId="9" hidden="1">{"'Sheet1'!$L$16"}</definedName>
    <definedName name="_______________________________________________________DT12" hidden="1">{"'Sheet1'!$L$16"}</definedName>
    <definedName name="______________________________________________________a1" localSheetId="0" hidden="1">{"'Sheet1'!$L$16"}</definedName>
    <definedName name="______________________________________________________a1" localSheetId="6" hidden="1">{"'Sheet1'!$L$16"}</definedName>
    <definedName name="______________________________________________________a1" localSheetId="9" hidden="1">{"'Sheet1'!$L$16"}</definedName>
    <definedName name="______________________________________________________a1" hidden="1">{"'Sheet1'!$L$16"}</definedName>
    <definedName name="______________________________________________________PA3" localSheetId="0" hidden="1">{"'Sheet1'!$L$16"}</definedName>
    <definedName name="______________________________________________________PA3" localSheetId="6" hidden="1">{"'Sheet1'!$L$16"}</definedName>
    <definedName name="______________________________________________________PA3" localSheetId="9" hidden="1">{"'Sheet1'!$L$16"}</definedName>
    <definedName name="______________________________________________________PA3" hidden="1">{"'Sheet1'!$L$16"}</definedName>
    <definedName name="_____________________________________________________DT12" localSheetId="0" hidden="1">{"'Sheet1'!$L$16"}</definedName>
    <definedName name="_____________________________________________________DT12" localSheetId="6" hidden="1">{"'Sheet1'!$L$16"}</definedName>
    <definedName name="_____________________________________________________DT12" localSheetId="9" hidden="1">{"'Sheet1'!$L$16"}</definedName>
    <definedName name="_____________________________________________________DT12" hidden="1">{"'Sheet1'!$L$16"}</definedName>
    <definedName name="____________________________________________________a1" localSheetId="0" hidden="1">{"'Sheet1'!$L$16"}</definedName>
    <definedName name="____________________________________________________a1" localSheetId="6" hidden="1">{"'Sheet1'!$L$16"}</definedName>
    <definedName name="____________________________________________________a1" localSheetId="9" hidden="1">{"'Sheet1'!$L$16"}</definedName>
    <definedName name="____________________________________________________a1" hidden="1">{"'Sheet1'!$L$16"}</definedName>
    <definedName name="____________________________________________________PA3" localSheetId="0" hidden="1">{"'Sheet1'!$L$16"}</definedName>
    <definedName name="____________________________________________________PA3" localSheetId="6" hidden="1">{"'Sheet1'!$L$16"}</definedName>
    <definedName name="____________________________________________________PA3" localSheetId="9" hidden="1">{"'Sheet1'!$L$16"}</definedName>
    <definedName name="____________________________________________________PA3" hidden="1">{"'Sheet1'!$L$16"}</definedName>
    <definedName name="___________________________________________________a1" localSheetId="0" hidden="1">{"'Sheet1'!$L$16"}</definedName>
    <definedName name="___________________________________________________a1" localSheetId="6" hidden="1">{"'Sheet1'!$L$16"}</definedName>
    <definedName name="___________________________________________________a1" localSheetId="9" hidden="1">{"'Sheet1'!$L$16"}</definedName>
    <definedName name="___________________________________________________a1" hidden="1">{"'Sheet1'!$L$16"}</definedName>
    <definedName name="___________________________________________________DT12" localSheetId="0" hidden="1">{"'Sheet1'!$L$16"}</definedName>
    <definedName name="___________________________________________________DT12" localSheetId="6" hidden="1">{"'Sheet1'!$L$16"}</definedName>
    <definedName name="___________________________________________________DT12" localSheetId="9" hidden="1">{"'Sheet1'!$L$16"}</definedName>
    <definedName name="___________________________________________________DT12" hidden="1">{"'Sheet1'!$L$16"}</definedName>
    <definedName name="___________________________________________________PA3" localSheetId="0" hidden="1">{"'Sheet1'!$L$16"}</definedName>
    <definedName name="___________________________________________________PA3" localSheetId="6" hidden="1">{"'Sheet1'!$L$16"}</definedName>
    <definedName name="___________________________________________________PA3" localSheetId="9" hidden="1">{"'Sheet1'!$L$16"}</definedName>
    <definedName name="___________________________________________________PA3" hidden="1">{"'Sheet1'!$L$16"}</definedName>
    <definedName name="__________________________________________________a1" localSheetId="0" hidden="1">{"'Sheet1'!$L$16"}</definedName>
    <definedName name="__________________________________________________a1" localSheetId="6" hidden="1">{"'Sheet1'!$L$16"}</definedName>
    <definedName name="__________________________________________________a1" localSheetId="9" hidden="1">{"'Sheet1'!$L$16"}</definedName>
    <definedName name="__________________________________________________a1" hidden="1">{"'Sheet1'!$L$16"}</definedName>
    <definedName name="__________________________________________________DT12" localSheetId="0" hidden="1">{"'Sheet1'!$L$16"}</definedName>
    <definedName name="__________________________________________________DT12" localSheetId="6" hidden="1">{"'Sheet1'!$L$16"}</definedName>
    <definedName name="__________________________________________________DT12" localSheetId="9" hidden="1">{"'Sheet1'!$L$16"}</definedName>
    <definedName name="__________________________________________________DT12" hidden="1">{"'Sheet1'!$L$16"}</definedName>
    <definedName name="__________________________________________________PA3" localSheetId="0" hidden="1">{"'Sheet1'!$L$16"}</definedName>
    <definedName name="__________________________________________________PA3" localSheetId="6" hidden="1">{"'Sheet1'!$L$16"}</definedName>
    <definedName name="__________________________________________________PA3" localSheetId="9" hidden="1">{"'Sheet1'!$L$16"}</definedName>
    <definedName name="__________________________________________________PA3" hidden="1">{"'Sheet1'!$L$16"}</definedName>
    <definedName name="_________________________________________________a1" localSheetId="0" hidden="1">{"'Sheet1'!$L$16"}</definedName>
    <definedName name="_________________________________________________a1" localSheetId="6" hidden="1">{"'Sheet1'!$L$16"}</definedName>
    <definedName name="_________________________________________________a1" localSheetId="9" hidden="1">{"'Sheet1'!$L$16"}</definedName>
    <definedName name="_________________________________________________a1" hidden="1">{"'Sheet1'!$L$16"}</definedName>
    <definedName name="_________________________________________________DT12" localSheetId="0" hidden="1">{"'Sheet1'!$L$16"}</definedName>
    <definedName name="_________________________________________________DT12" localSheetId="6" hidden="1">{"'Sheet1'!$L$16"}</definedName>
    <definedName name="_________________________________________________DT12" localSheetId="9" hidden="1">{"'Sheet1'!$L$16"}</definedName>
    <definedName name="_________________________________________________DT12" hidden="1">{"'Sheet1'!$L$16"}</definedName>
    <definedName name="_________________________________________________PA3" localSheetId="0" hidden="1">{"'Sheet1'!$L$16"}</definedName>
    <definedName name="_________________________________________________PA3" localSheetId="6" hidden="1">{"'Sheet1'!$L$16"}</definedName>
    <definedName name="_________________________________________________PA3" localSheetId="9" hidden="1">{"'Sheet1'!$L$16"}</definedName>
    <definedName name="_________________________________________________PA3" hidden="1">{"'Sheet1'!$L$16"}</definedName>
    <definedName name="________________________________________________a1" localSheetId="0" hidden="1">{"'Sheet1'!$L$16"}</definedName>
    <definedName name="________________________________________________a1" localSheetId="6" hidden="1">{"'Sheet1'!$L$16"}</definedName>
    <definedName name="________________________________________________a1" localSheetId="9" hidden="1">{"'Sheet1'!$L$16"}</definedName>
    <definedName name="________________________________________________a1" hidden="1">{"'Sheet1'!$L$16"}</definedName>
    <definedName name="________________________________________________DT12" localSheetId="0" hidden="1">{"'Sheet1'!$L$16"}</definedName>
    <definedName name="________________________________________________DT12" localSheetId="6" hidden="1">{"'Sheet1'!$L$16"}</definedName>
    <definedName name="________________________________________________DT12" localSheetId="9" hidden="1">{"'Sheet1'!$L$16"}</definedName>
    <definedName name="________________________________________________DT12" hidden="1">{"'Sheet1'!$L$16"}</definedName>
    <definedName name="________________________________________________PA3" localSheetId="0" hidden="1">{"'Sheet1'!$L$16"}</definedName>
    <definedName name="________________________________________________PA3" localSheetId="6" hidden="1">{"'Sheet1'!$L$16"}</definedName>
    <definedName name="________________________________________________PA3" localSheetId="9" hidden="1">{"'Sheet1'!$L$16"}</definedName>
    <definedName name="________________________________________________PA3" hidden="1">{"'Sheet1'!$L$16"}</definedName>
    <definedName name="_______________________________________________a1" localSheetId="0" hidden="1">{"'Sheet1'!$L$16"}</definedName>
    <definedName name="_______________________________________________a1" localSheetId="6" hidden="1">{"'Sheet1'!$L$16"}</definedName>
    <definedName name="_______________________________________________a1" localSheetId="9" hidden="1">{"'Sheet1'!$L$16"}</definedName>
    <definedName name="_______________________________________________a1" hidden="1">{"'Sheet1'!$L$16"}</definedName>
    <definedName name="_______________________________________________DT12" localSheetId="0" hidden="1">{"'Sheet1'!$L$16"}</definedName>
    <definedName name="_______________________________________________DT12" localSheetId="6" hidden="1">{"'Sheet1'!$L$16"}</definedName>
    <definedName name="_______________________________________________DT12" localSheetId="9" hidden="1">{"'Sheet1'!$L$16"}</definedName>
    <definedName name="_______________________________________________DT12" hidden="1">{"'Sheet1'!$L$16"}</definedName>
    <definedName name="_______________________________________________PA3" localSheetId="0" hidden="1">{"'Sheet1'!$L$16"}</definedName>
    <definedName name="_______________________________________________PA3" localSheetId="6" hidden="1">{"'Sheet1'!$L$16"}</definedName>
    <definedName name="_______________________________________________PA3" localSheetId="9" hidden="1">{"'Sheet1'!$L$16"}</definedName>
    <definedName name="_______________________________________________PA3" hidden="1">{"'Sheet1'!$L$16"}</definedName>
    <definedName name="______________________________________________a1" localSheetId="0" hidden="1">{"'Sheet1'!$L$16"}</definedName>
    <definedName name="______________________________________________a1" localSheetId="6" hidden="1">{"'Sheet1'!$L$16"}</definedName>
    <definedName name="______________________________________________a1" localSheetId="9" hidden="1">{"'Sheet1'!$L$16"}</definedName>
    <definedName name="______________________________________________a1" hidden="1">{"'Sheet1'!$L$16"}</definedName>
    <definedName name="______________________________________________DT12" localSheetId="0" hidden="1">{"'Sheet1'!$L$16"}</definedName>
    <definedName name="______________________________________________DT12" localSheetId="6" hidden="1">{"'Sheet1'!$L$16"}</definedName>
    <definedName name="______________________________________________DT12" localSheetId="9" hidden="1">{"'Sheet1'!$L$16"}</definedName>
    <definedName name="______________________________________________DT12" hidden="1">{"'Sheet1'!$L$16"}</definedName>
    <definedName name="______________________________________________PA3" localSheetId="0" hidden="1">{"'Sheet1'!$L$16"}</definedName>
    <definedName name="______________________________________________PA3" localSheetId="6" hidden="1">{"'Sheet1'!$L$16"}</definedName>
    <definedName name="______________________________________________PA3" localSheetId="9" hidden="1">{"'Sheet1'!$L$16"}</definedName>
    <definedName name="______________________________________________PA3" hidden="1">{"'Sheet1'!$L$16"}</definedName>
    <definedName name="_____________________________________________a1" localSheetId="0">{"'Sheet1'!$L$16"}</definedName>
    <definedName name="_____________________________________________a1" localSheetId="9">{"'Sheet1'!$L$16"}</definedName>
    <definedName name="_____________________________________________a1">{"'Sheet1'!$L$16"}</definedName>
    <definedName name="_____________________________________________DT12" localSheetId="0" hidden="1">{"'Sheet1'!$L$16"}</definedName>
    <definedName name="_____________________________________________DT12" localSheetId="6" hidden="1">{"'Sheet1'!$L$16"}</definedName>
    <definedName name="_____________________________________________DT12" localSheetId="9" hidden="1">{"'Sheet1'!$L$16"}</definedName>
    <definedName name="_____________________________________________DT12" hidden="1">{"'Sheet1'!$L$16"}</definedName>
    <definedName name="_____________________________________________hsm2">1.1289</definedName>
    <definedName name="_____________________________________________PA3" localSheetId="0" hidden="1">{"'Sheet1'!$L$16"}</definedName>
    <definedName name="_____________________________________________PA3" localSheetId="6" hidden="1">{"'Sheet1'!$L$16"}</definedName>
    <definedName name="_____________________________________________PA3" localSheetId="9" hidden="1">{"'Sheet1'!$L$16"}</definedName>
    <definedName name="_____________________________________________PA3" hidden="1">{"'Sheet1'!$L$16"}</definedName>
    <definedName name="____________________________________________a1" localSheetId="0">{"'Sheet1'!$L$16"}</definedName>
    <definedName name="____________________________________________a1" localSheetId="9">{"'Sheet1'!$L$16"}</definedName>
    <definedName name="____________________________________________a1">{"'Sheet1'!$L$16"}</definedName>
    <definedName name="____________________________________________DT12" localSheetId="0" hidden="1">{"'Sheet1'!$L$16"}</definedName>
    <definedName name="____________________________________________DT12" localSheetId="6" hidden="1">{"'Sheet1'!$L$16"}</definedName>
    <definedName name="____________________________________________DT12" localSheetId="9" hidden="1">{"'Sheet1'!$L$16"}</definedName>
    <definedName name="____________________________________________DT12" hidden="1">{"'Sheet1'!$L$16"}</definedName>
    <definedName name="____________________________________________hsm2">1.1289</definedName>
    <definedName name="____________________________________________PA3" localSheetId="0" hidden="1">{"'Sheet1'!$L$16"}</definedName>
    <definedName name="____________________________________________PA3" localSheetId="6" hidden="1">{"'Sheet1'!$L$16"}</definedName>
    <definedName name="____________________________________________PA3" localSheetId="9" hidden="1">{"'Sheet1'!$L$16"}</definedName>
    <definedName name="____________________________________________PA3" hidden="1">{"'Sheet1'!$L$16"}</definedName>
    <definedName name="___________________________________________a1" localSheetId="0">{"'Sheet1'!$L$16"}</definedName>
    <definedName name="___________________________________________a1" localSheetId="9">{"'Sheet1'!$L$16"}</definedName>
    <definedName name="___________________________________________a1">{"'Sheet1'!$L$16"}</definedName>
    <definedName name="___________________________________________DT12" localSheetId="0" hidden="1">{"'Sheet1'!$L$16"}</definedName>
    <definedName name="___________________________________________DT12" localSheetId="6" hidden="1">{"'Sheet1'!$L$16"}</definedName>
    <definedName name="___________________________________________DT12" localSheetId="9" hidden="1">{"'Sheet1'!$L$16"}</definedName>
    <definedName name="___________________________________________DT12" hidden="1">{"'Sheet1'!$L$16"}</definedName>
    <definedName name="___________________________________________hsm2">1.1289</definedName>
    <definedName name="___________________________________________PA3" localSheetId="0" hidden="1">{"'Sheet1'!$L$16"}</definedName>
    <definedName name="___________________________________________PA3" localSheetId="6" hidden="1">{"'Sheet1'!$L$16"}</definedName>
    <definedName name="___________________________________________PA3" localSheetId="9" hidden="1">{"'Sheet1'!$L$16"}</definedName>
    <definedName name="___________________________________________PA3" hidden="1">{"'Sheet1'!$L$16"}</definedName>
    <definedName name="__________________________________________a1" localSheetId="0" hidden="1">{"'Sheet1'!$L$16"}</definedName>
    <definedName name="__________________________________________a1" localSheetId="6" hidden="1">{"'Sheet1'!$L$16"}</definedName>
    <definedName name="__________________________________________a1" localSheetId="9" hidden="1">{"'Sheet1'!$L$16"}</definedName>
    <definedName name="__________________________________________a1" hidden="1">{"'Sheet1'!$L$16"}</definedName>
    <definedName name="__________________________________________DT12" localSheetId="0" hidden="1">{"'Sheet1'!$L$16"}</definedName>
    <definedName name="__________________________________________DT12" localSheetId="6" hidden="1">{"'Sheet1'!$L$16"}</definedName>
    <definedName name="__________________________________________DT12" localSheetId="9" hidden="1">{"'Sheet1'!$L$16"}</definedName>
    <definedName name="__________________________________________DT12" hidden="1">{"'Sheet1'!$L$16"}</definedName>
    <definedName name="__________________________________________hsm2">1.1289</definedName>
    <definedName name="__________________________________________PA3" localSheetId="0" hidden="1">{"'Sheet1'!$L$16"}</definedName>
    <definedName name="__________________________________________PA3" localSheetId="6" hidden="1">{"'Sheet1'!$L$16"}</definedName>
    <definedName name="__________________________________________PA3" localSheetId="9" hidden="1">{"'Sheet1'!$L$16"}</definedName>
    <definedName name="__________________________________________PA3" hidden="1">{"'Sheet1'!$L$16"}</definedName>
    <definedName name="_________________________________________a1" localSheetId="0" hidden="1">{"'Sheet1'!$L$16"}</definedName>
    <definedName name="_________________________________________a1" localSheetId="6" hidden="1">{"'Sheet1'!$L$16"}</definedName>
    <definedName name="_________________________________________a1" localSheetId="9" hidden="1">{"'Sheet1'!$L$16"}</definedName>
    <definedName name="_________________________________________a1" hidden="1">{"'Sheet1'!$L$16"}</definedName>
    <definedName name="_________________________________________DT12" localSheetId="0" hidden="1">{"'Sheet1'!$L$16"}</definedName>
    <definedName name="_________________________________________DT12" localSheetId="6" hidden="1">{"'Sheet1'!$L$16"}</definedName>
    <definedName name="_________________________________________DT12" localSheetId="9" hidden="1">{"'Sheet1'!$L$16"}</definedName>
    <definedName name="_________________________________________DT12" hidden="1">{"'Sheet1'!$L$16"}</definedName>
    <definedName name="_________________________________________hsm2">1.1289</definedName>
    <definedName name="_________________________________________PA3" localSheetId="0" hidden="1">{"'Sheet1'!$L$16"}</definedName>
    <definedName name="_________________________________________PA3" localSheetId="6" hidden="1">{"'Sheet1'!$L$16"}</definedName>
    <definedName name="_________________________________________PA3" localSheetId="9" hidden="1">{"'Sheet1'!$L$16"}</definedName>
    <definedName name="_________________________________________PA3" hidden="1">{"'Sheet1'!$L$16"}</definedName>
    <definedName name="________________________________________a1" localSheetId="0" hidden="1">{"'Sheet1'!$L$16"}</definedName>
    <definedName name="________________________________________a1" localSheetId="6" hidden="1">{"'Sheet1'!$L$16"}</definedName>
    <definedName name="________________________________________a1" localSheetId="9" hidden="1">{"'Sheet1'!$L$16"}</definedName>
    <definedName name="________________________________________a1" hidden="1">{"'Sheet1'!$L$16"}</definedName>
    <definedName name="________________________________________DT12" localSheetId="0" hidden="1">{"'Sheet1'!$L$16"}</definedName>
    <definedName name="________________________________________DT12" localSheetId="6" hidden="1">{"'Sheet1'!$L$16"}</definedName>
    <definedName name="________________________________________DT12" localSheetId="9" hidden="1">{"'Sheet1'!$L$16"}</definedName>
    <definedName name="________________________________________DT12" hidden="1">{"'Sheet1'!$L$16"}</definedName>
    <definedName name="________________________________________hsm2">1.1289</definedName>
    <definedName name="________________________________________PA3" localSheetId="0" hidden="1">{"'Sheet1'!$L$16"}</definedName>
    <definedName name="________________________________________PA3" localSheetId="6" hidden="1">{"'Sheet1'!$L$16"}</definedName>
    <definedName name="________________________________________PA3" localSheetId="9" hidden="1">{"'Sheet1'!$L$16"}</definedName>
    <definedName name="________________________________________PA3" hidden="1">{"'Sheet1'!$L$16"}</definedName>
    <definedName name="_______________________________________a1" localSheetId="0" hidden="1">{"'Sheet1'!$L$16"}</definedName>
    <definedName name="_______________________________________a1" localSheetId="6" hidden="1">{"'Sheet1'!$L$16"}</definedName>
    <definedName name="_______________________________________a1" localSheetId="9" hidden="1">{"'Sheet1'!$L$16"}</definedName>
    <definedName name="_______________________________________a1" hidden="1">{"'Sheet1'!$L$16"}</definedName>
    <definedName name="_______________________________________DT12" localSheetId="0" hidden="1">{"'Sheet1'!$L$16"}</definedName>
    <definedName name="_______________________________________DT12" localSheetId="6" hidden="1">{"'Sheet1'!$L$16"}</definedName>
    <definedName name="_______________________________________DT12" localSheetId="9" hidden="1">{"'Sheet1'!$L$16"}</definedName>
    <definedName name="_______________________________________DT12" hidden="1">{"'Sheet1'!$L$16"}</definedName>
    <definedName name="_______________________________________hsm2">1.1289</definedName>
    <definedName name="_______________________________________PA3" localSheetId="0" hidden="1">{"'Sheet1'!$L$16"}</definedName>
    <definedName name="_______________________________________PA3" localSheetId="6" hidden="1">{"'Sheet1'!$L$16"}</definedName>
    <definedName name="_______________________________________PA3" localSheetId="9" hidden="1">{"'Sheet1'!$L$16"}</definedName>
    <definedName name="_______________________________________PA3" hidden="1">{"'Sheet1'!$L$16"}</definedName>
    <definedName name="______________________________________a1" localSheetId="0" hidden="1">{"'Sheet1'!$L$16"}</definedName>
    <definedName name="______________________________________a1" localSheetId="6" hidden="1">{"'Sheet1'!$L$16"}</definedName>
    <definedName name="______________________________________a1" localSheetId="9" hidden="1">{"'Sheet1'!$L$16"}</definedName>
    <definedName name="______________________________________a1" hidden="1">{"'Sheet1'!$L$16"}</definedName>
    <definedName name="______________________________________DT12" localSheetId="0" hidden="1">{"'Sheet1'!$L$16"}</definedName>
    <definedName name="______________________________________DT12" localSheetId="6" hidden="1">{"'Sheet1'!$L$16"}</definedName>
    <definedName name="______________________________________DT12" localSheetId="9" hidden="1">{"'Sheet1'!$L$16"}</definedName>
    <definedName name="______________________________________DT12" hidden="1">{"'Sheet1'!$L$16"}</definedName>
    <definedName name="______________________________________hsm2">1.1289</definedName>
    <definedName name="______________________________________PA3" localSheetId="0" hidden="1">{"'Sheet1'!$L$16"}</definedName>
    <definedName name="______________________________________PA3" localSheetId="6" hidden="1">{"'Sheet1'!$L$16"}</definedName>
    <definedName name="______________________________________PA3" localSheetId="9" hidden="1">{"'Sheet1'!$L$16"}</definedName>
    <definedName name="______________________________________PA3" hidden="1">{"'Sheet1'!$L$16"}</definedName>
    <definedName name="_____________________________________a1" localSheetId="0" hidden="1">{"'Sheet1'!$L$16"}</definedName>
    <definedName name="_____________________________________a1" localSheetId="6" hidden="1">{"'Sheet1'!$L$16"}</definedName>
    <definedName name="_____________________________________a1" localSheetId="9" hidden="1">{"'Sheet1'!$L$16"}</definedName>
    <definedName name="_____________________________________a1" hidden="1">{"'Sheet1'!$L$16"}</definedName>
    <definedName name="_____________________________________DT12" localSheetId="0" hidden="1">{"'Sheet1'!$L$16"}</definedName>
    <definedName name="_____________________________________DT12" localSheetId="6" hidden="1">{"'Sheet1'!$L$16"}</definedName>
    <definedName name="_____________________________________DT12" localSheetId="9" hidden="1">{"'Sheet1'!$L$16"}</definedName>
    <definedName name="_____________________________________DT12" hidden="1">{"'Sheet1'!$L$16"}</definedName>
    <definedName name="_____________________________________hsm2">1.1289</definedName>
    <definedName name="_____________________________________PA3" localSheetId="0" hidden="1">{"'Sheet1'!$L$16"}</definedName>
    <definedName name="_____________________________________PA3" localSheetId="6" hidden="1">{"'Sheet1'!$L$16"}</definedName>
    <definedName name="_____________________________________PA3" localSheetId="9" hidden="1">{"'Sheet1'!$L$16"}</definedName>
    <definedName name="_____________________________________PA3" hidden="1">{"'Sheet1'!$L$16"}</definedName>
    <definedName name="____________________________________a1" localSheetId="0" hidden="1">{"'Sheet1'!$L$16"}</definedName>
    <definedName name="____________________________________a1" localSheetId="6" hidden="1">{"'Sheet1'!$L$16"}</definedName>
    <definedName name="____________________________________a1" localSheetId="9" hidden="1">{"'Sheet1'!$L$16"}</definedName>
    <definedName name="____________________________________a1" hidden="1">{"'Sheet1'!$L$16"}</definedName>
    <definedName name="____________________________________DT12" localSheetId="0" hidden="1">{"'Sheet1'!$L$16"}</definedName>
    <definedName name="____________________________________DT12" localSheetId="6" hidden="1">{"'Sheet1'!$L$16"}</definedName>
    <definedName name="____________________________________DT12" localSheetId="9" hidden="1">{"'Sheet1'!$L$16"}</definedName>
    <definedName name="____________________________________DT12" hidden="1">{"'Sheet1'!$L$16"}</definedName>
    <definedName name="____________________________________hsm2">1.1289</definedName>
    <definedName name="____________________________________PA3" localSheetId="0" hidden="1">{"'Sheet1'!$L$16"}</definedName>
    <definedName name="____________________________________PA3" localSheetId="6" hidden="1">{"'Sheet1'!$L$16"}</definedName>
    <definedName name="____________________________________PA3" localSheetId="9" hidden="1">{"'Sheet1'!$L$16"}</definedName>
    <definedName name="____________________________________PA3" hidden="1">{"'Sheet1'!$L$16"}</definedName>
    <definedName name="___________________________________a1" localSheetId="0" hidden="1">{"'Sheet1'!$L$16"}</definedName>
    <definedName name="___________________________________a1" localSheetId="6" hidden="1">{"'Sheet1'!$L$16"}</definedName>
    <definedName name="___________________________________a1" localSheetId="9" hidden="1">{"'Sheet1'!$L$16"}</definedName>
    <definedName name="___________________________________a1" hidden="1">{"'Sheet1'!$L$16"}</definedName>
    <definedName name="___________________________________DT12" localSheetId="0" hidden="1">{"'Sheet1'!$L$16"}</definedName>
    <definedName name="___________________________________DT12" localSheetId="6" hidden="1">{"'Sheet1'!$L$16"}</definedName>
    <definedName name="___________________________________DT12" localSheetId="9" hidden="1">{"'Sheet1'!$L$16"}</definedName>
    <definedName name="___________________________________DT12" hidden="1">{"'Sheet1'!$L$16"}</definedName>
    <definedName name="___________________________________hsm2">1.1289</definedName>
    <definedName name="___________________________________PA3" localSheetId="0" hidden="1">{"'Sheet1'!$L$16"}</definedName>
    <definedName name="___________________________________PA3" localSheetId="6" hidden="1">{"'Sheet1'!$L$16"}</definedName>
    <definedName name="___________________________________PA3" localSheetId="9" hidden="1">{"'Sheet1'!$L$16"}</definedName>
    <definedName name="___________________________________PA3" hidden="1">{"'Sheet1'!$L$16"}</definedName>
    <definedName name="__________________________________a1" localSheetId="0" hidden="1">{"'Sheet1'!$L$16"}</definedName>
    <definedName name="__________________________________a1" localSheetId="6" hidden="1">{"'Sheet1'!$L$16"}</definedName>
    <definedName name="__________________________________a1" localSheetId="9" hidden="1">{"'Sheet1'!$L$16"}</definedName>
    <definedName name="__________________________________a1" hidden="1">{"'Sheet1'!$L$16"}</definedName>
    <definedName name="__________________________________DT12" localSheetId="0" hidden="1">{"'Sheet1'!$L$16"}</definedName>
    <definedName name="__________________________________DT12" localSheetId="6" hidden="1">{"'Sheet1'!$L$16"}</definedName>
    <definedName name="__________________________________DT12" localSheetId="9" hidden="1">{"'Sheet1'!$L$16"}</definedName>
    <definedName name="__________________________________DT12" hidden="1">{"'Sheet1'!$L$16"}</definedName>
    <definedName name="__________________________________hsm2">1.1289</definedName>
    <definedName name="__________________________________PA3" localSheetId="0" hidden="1">{"'Sheet1'!$L$16"}</definedName>
    <definedName name="__________________________________PA3" localSheetId="6" hidden="1">{"'Sheet1'!$L$16"}</definedName>
    <definedName name="__________________________________PA3" localSheetId="9" hidden="1">{"'Sheet1'!$L$16"}</definedName>
    <definedName name="__________________________________PA3" hidden="1">{"'Sheet1'!$L$16"}</definedName>
    <definedName name="_________________________________a1" localSheetId="0" hidden="1">{"'Sheet1'!$L$16"}</definedName>
    <definedName name="_________________________________a1" localSheetId="6" hidden="1">{"'Sheet1'!$L$16"}</definedName>
    <definedName name="_________________________________a1" localSheetId="9" hidden="1">{"'Sheet1'!$L$16"}</definedName>
    <definedName name="_________________________________a1" hidden="1">{"'Sheet1'!$L$16"}</definedName>
    <definedName name="_________________________________DT12" localSheetId="0" hidden="1">{"'Sheet1'!$L$16"}</definedName>
    <definedName name="_________________________________DT12" localSheetId="6" hidden="1">{"'Sheet1'!$L$16"}</definedName>
    <definedName name="_________________________________DT12" localSheetId="9" hidden="1">{"'Sheet1'!$L$16"}</definedName>
    <definedName name="_________________________________DT12" hidden="1">{"'Sheet1'!$L$16"}</definedName>
    <definedName name="_________________________________hsm2">1.1289</definedName>
    <definedName name="_________________________________PA3" localSheetId="0" hidden="1">{"'Sheet1'!$L$16"}</definedName>
    <definedName name="_________________________________PA3" localSheetId="6" hidden="1">{"'Sheet1'!$L$16"}</definedName>
    <definedName name="_________________________________PA3" localSheetId="9" hidden="1">{"'Sheet1'!$L$16"}</definedName>
    <definedName name="_________________________________PA3" hidden="1">{"'Sheet1'!$L$16"}</definedName>
    <definedName name="________________________________a1" localSheetId="0" hidden="1">{"'Sheet1'!$L$16"}</definedName>
    <definedName name="________________________________a1" localSheetId="6" hidden="1">{"'Sheet1'!$L$16"}</definedName>
    <definedName name="________________________________a1" localSheetId="9" hidden="1">{"'Sheet1'!$L$16"}</definedName>
    <definedName name="________________________________a1" hidden="1">{"'Sheet1'!$L$16"}</definedName>
    <definedName name="________________________________DT12" localSheetId="0" hidden="1">{"'Sheet1'!$L$16"}</definedName>
    <definedName name="________________________________DT12" localSheetId="6" hidden="1">{"'Sheet1'!$L$16"}</definedName>
    <definedName name="________________________________DT12" localSheetId="9" hidden="1">{"'Sheet1'!$L$16"}</definedName>
    <definedName name="________________________________DT12" hidden="1">{"'Sheet1'!$L$16"}</definedName>
    <definedName name="________________________________hsm2">1.1289</definedName>
    <definedName name="________________________________PA3" localSheetId="0" hidden="1">{"'Sheet1'!$L$16"}</definedName>
    <definedName name="________________________________PA3" localSheetId="6" hidden="1">{"'Sheet1'!$L$16"}</definedName>
    <definedName name="________________________________PA3" localSheetId="9" hidden="1">{"'Sheet1'!$L$16"}</definedName>
    <definedName name="________________________________PA3" hidden="1">{"'Sheet1'!$L$16"}</definedName>
    <definedName name="_______________________________a1" localSheetId="0" hidden="1">{"'Sheet1'!$L$16"}</definedName>
    <definedName name="_______________________________a1" localSheetId="6" hidden="1">{"'Sheet1'!$L$16"}</definedName>
    <definedName name="_______________________________a1" localSheetId="9" hidden="1">{"'Sheet1'!$L$16"}</definedName>
    <definedName name="_______________________________a1" hidden="1">{"'Sheet1'!$L$16"}</definedName>
    <definedName name="_______________________________DT12" localSheetId="0" hidden="1">{"'Sheet1'!$L$16"}</definedName>
    <definedName name="_______________________________DT12" localSheetId="6" hidden="1">{"'Sheet1'!$L$16"}</definedName>
    <definedName name="_______________________________DT12" localSheetId="9" hidden="1">{"'Sheet1'!$L$16"}</definedName>
    <definedName name="_______________________________DT12" hidden="1">{"'Sheet1'!$L$16"}</definedName>
    <definedName name="_______________________________hsm2">1.1289</definedName>
    <definedName name="_______________________________PA3" localSheetId="0" hidden="1">{"'Sheet1'!$L$16"}</definedName>
    <definedName name="_______________________________PA3" localSheetId="6" hidden="1">{"'Sheet1'!$L$16"}</definedName>
    <definedName name="_______________________________PA3" localSheetId="9" hidden="1">{"'Sheet1'!$L$16"}</definedName>
    <definedName name="_______________________________PA3" hidden="1">{"'Sheet1'!$L$16"}</definedName>
    <definedName name="______________________________a1" localSheetId="0" hidden="1">{"'Sheet1'!$L$16"}</definedName>
    <definedName name="______________________________a1" localSheetId="6" hidden="1">{"'Sheet1'!$L$16"}</definedName>
    <definedName name="______________________________a1" localSheetId="9" hidden="1">{"'Sheet1'!$L$16"}</definedName>
    <definedName name="______________________________a1" hidden="1">{"'Sheet1'!$L$16"}</definedName>
    <definedName name="______________________________DT12" localSheetId="0" hidden="1">{"'Sheet1'!$L$16"}</definedName>
    <definedName name="______________________________DT12" localSheetId="6" hidden="1">{"'Sheet1'!$L$16"}</definedName>
    <definedName name="______________________________DT12" localSheetId="9" hidden="1">{"'Sheet1'!$L$16"}</definedName>
    <definedName name="______________________________DT12" hidden="1">{"'Sheet1'!$L$16"}</definedName>
    <definedName name="______________________________hsm2">1.1289</definedName>
    <definedName name="______________________________PA3" localSheetId="0" hidden="1">{"'Sheet1'!$L$16"}</definedName>
    <definedName name="______________________________PA3" localSheetId="6" hidden="1">{"'Sheet1'!$L$16"}</definedName>
    <definedName name="______________________________PA3" localSheetId="9" hidden="1">{"'Sheet1'!$L$16"}</definedName>
    <definedName name="______________________________PA3" hidden="1">{"'Sheet1'!$L$16"}</definedName>
    <definedName name="_____________________________a1" localSheetId="0" hidden="1">{"'Sheet1'!$L$16"}</definedName>
    <definedName name="_____________________________a1" localSheetId="6" hidden="1">{"'Sheet1'!$L$16"}</definedName>
    <definedName name="_____________________________a1" localSheetId="9" hidden="1">{"'Sheet1'!$L$16"}</definedName>
    <definedName name="_____________________________a1" hidden="1">{"'Sheet1'!$L$16"}</definedName>
    <definedName name="_____________________________DT12" localSheetId="0" hidden="1">{"'Sheet1'!$L$16"}</definedName>
    <definedName name="_____________________________DT12" localSheetId="6" hidden="1">{"'Sheet1'!$L$16"}</definedName>
    <definedName name="_____________________________DT12" localSheetId="9" hidden="1">{"'Sheet1'!$L$16"}</definedName>
    <definedName name="_____________________________DT12" hidden="1">{"'Sheet1'!$L$16"}</definedName>
    <definedName name="_____________________________hsm2">1.1289</definedName>
    <definedName name="_____________________________PA3" localSheetId="0" hidden="1">{"'Sheet1'!$L$16"}</definedName>
    <definedName name="_____________________________PA3" localSheetId="6" hidden="1">{"'Sheet1'!$L$16"}</definedName>
    <definedName name="_____________________________PA3" localSheetId="9" hidden="1">{"'Sheet1'!$L$16"}</definedName>
    <definedName name="_____________________________PA3" hidden="1">{"'Sheet1'!$L$16"}</definedName>
    <definedName name="____________________________a1" localSheetId="0" hidden="1">{"'Sheet1'!$L$16"}</definedName>
    <definedName name="____________________________a1" localSheetId="6" hidden="1">{"'Sheet1'!$L$16"}</definedName>
    <definedName name="____________________________a1" localSheetId="9" hidden="1">{"'Sheet1'!$L$16"}</definedName>
    <definedName name="____________________________a1" hidden="1">{"'Sheet1'!$L$16"}</definedName>
    <definedName name="____________________________DT12" localSheetId="0" hidden="1">{"'Sheet1'!$L$16"}</definedName>
    <definedName name="____________________________DT12" localSheetId="6" hidden="1">{"'Sheet1'!$L$16"}</definedName>
    <definedName name="____________________________DT12" localSheetId="9" hidden="1">{"'Sheet1'!$L$16"}</definedName>
    <definedName name="____________________________DT12" hidden="1">{"'Sheet1'!$L$16"}</definedName>
    <definedName name="____________________________hsm2">1.1289</definedName>
    <definedName name="____________________________PA3" localSheetId="0" hidden="1">{"'Sheet1'!$L$16"}</definedName>
    <definedName name="____________________________PA3" localSheetId="6" hidden="1">{"'Sheet1'!$L$16"}</definedName>
    <definedName name="____________________________PA3" localSheetId="9" hidden="1">{"'Sheet1'!$L$16"}</definedName>
    <definedName name="____________________________PA3" hidden="1">{"'Sheet1'!$L$16"}</definedName>
    <definedName name="___________________________a1" localSheetId="0" hidden="1">{"'Sheet1'!$L$16"}</definedName>
    <definedName name="___________________________a1" localSheetId="6" hidden="1">{"'Sheet1'!$L$16"}</definedName>
    <definedName name="___________________________a1" localSheetId="9" hidden="1">{"'Sheet1'!$L$16"}</definedName>
    <definedName name="___________________________a1" hidden="1">{"'Sheet1'!$L$16"}</definedName>
    <definedName name="___________________________DT12" localSheetId="0" hidden="1">{"'Sheet1'!$L$16"}</definedName>
    <definedName name="___________________________DT12" localSheetId="6" hidden="1">{"'Sheet1'!$L$16"}</definedName>
    <definedName name="___________________________DT12" localSheetId="9" hidden="1">{"'Sheet1'!$L$16"}</definedName>
    <definedName name="___________________________DT12" hidden="1">{"'Sheet1'!$L$16"}</definedName>
    <definedName name="___________________________hsm2">1.1289</definedName>
    <definedName name="___________________________PA3" localSheetId="0" hidden="1">{"'Sheet1'!$L$16"}</definedName>
    <definedName name="___________________________PA3" localSheetId="6" hidden="1">{"'Sheet1'!$L$16"}</definedName>
    <definedName name="___________________________PA3" localSheetId="9" hidden="1">{"'Sheet1'!$L$16"}</definedName>
    <definedName name="___________________________PA3" hidden="1">{"'Sheet1'!$L$16"}</definedName>
    <definedName name="__________________________a1" localSheetId="0" hidden="1">{"'Sheet1'!$L$16"}</definedName>
    <definedName name="__________________________a1" localSheetId="6" hidden="1">{"'Sheet1'!$L$16"}</definedName>
    <definedName name="__________________________a1" localSheetId="9" hidden="1">{"'Sheet1'!$L$16"}</definedName>
    <definedName name="__________________________a1" hidden="1">{"'Sheet1'!$L$16"}</definedName>
    <definedName name="__________________________DT12" localSheetId="0" hidden="1">{"'Sheet1'!$L$16"}</definedName>
    <definedName name="__________________________DT12" localSheetId="6" hidden="1">{"'Sheet1'!$L$16"}</definedName>
    <definedName name="__________________________DT12" localSheetId="9" hidden="1">{"'Sheet1'!$L$16"}</definedName>
    <definedName name="__________________________DT12" hidden="1">{"'Sheet1'!$L$16"}</definedName>
    <definedName name="__________________________hsm2">1.1289</definedName>
    <definedName name="__________________________PA3" localSheetId="0" hidden="1">{"'Sheet1'!$L$16"}</definedName>
    <definedName name="__________________________PA3" localSheetId="6" hidden="1">{"'Sheet1'!$L$16"}</definedName>
    <definedName name="__________________________PA3" localSheetId="9" hidden="1">{"'Sheet1'!$L$16"}</definedName>
    <definedName name="__________________________PA3" hidden="1">{"'Sheet1'!$L$16"}</definedName>
    <definedName name="_________________________a1" localSheetId="0" hidden="1">{"'Sheet1'!$L$16"}</definedName>
    <definedName name="_________________________a1" localSheetId="6" hidden="1">{"'Sheet1'!$L$16"}</definedName>
    <definedName name="_________________________a1" localSheetId="9" hidden="1">{"'Sheet1'!$L$16"}</definedName>
    <definedName name="_________________________a1" hidden="1">{"'Sheet1'!$L$16"}</definedName>
    <definedName name="_________________________DT12" localSheetId="0" hidden="1">{"'Sheet1'!$L$16"}</definedName>
    <definedName name="_________________________DT12" localSheetId="6" hidden="1">{"'Sheet1'!$L$16"}</definedName>
    <definedName name="_________________________DT12" localSheetId="9" hidden="1">{"'Sheet1'!$L$16"}</definedName>
    <definedName name="_________________________DT12" hidden="1">{"'Sheet1'!$L$16"}</definedName>
    <definedName name="_________________________hsm2">1.1289</definedName>
    <definedName name="_________________________PA3" localSheetId="0" hidden="1">{"'Sheet1'!$L$16"}</definedName>
    <definedName name="_________________________PA3" localSheetId="6" hidden="1">{"'Sheet1'!$L$16"}</definedName>
    <definedName name="_________________________PA3" localSheetId="9" hidden="1">{"'Sheet1'!$L$16"}</definedName>
    <definedName name="_________________________PA3" hidden="1">{"'Sheet1'!$L$16"}</definedName>
    <definedName name="________________________a1" localSheetId="0" hidden="1">{"'Sheet1'!$L$16"}</definedName>
    <definedName name="________________________a1" localSheetId="6" hidden="1">{"'Sheet1'!$L$16"}</definedName>
    <definedName name="________________________a1" localSheetId="9" hidden="1">{"'Sheet1'!$L$16"}</definedName>
    <definedName name="________________________a1" hidden="1">{"'Sheet1'!$L$16"}</definedName>
    <definedName name="________________________DT12" localSheetId="0" hidden="1">{"'Sheet1'!$L$16"}</definedName>
    <definedName name="________________________DT12" localSheetId="6" hidden="1">{"'Sheet1'!$L$16"}</definedName>
    <definedName name="________________________DT12" localSheetId="9" hidden="1">{"'Sheet1'!$L$16"}</definedName>
    <definedName name="________________________DT12" hidden="1">{"'Sheet1'!$L$16"}</definedName>
    <definedName name="________________________hsm2">1.1289</definedName>
    <definedName name="________________________Lan1" localSheetId="0">{"Thuxm2.xls","Sheet1"}</definedName>
    <definedName name="________________________Lan1" localSheetId="9">{"Thuxm2.xls","Sheet1"}</definedName>
    <definedName name="________________________Lan1">{"Thuxm2.xls","Sheet1"}</definedName>
    <definedName name="________________________PA3" localSheetId="0" hidden="1">{"'Sheet1'!$L$16"}</definedName>
    <definedName name="________________________PA3" localSheetId="6" hidden="1">{"'Sheet1'!$L$16"}</definedName>
    <definedName name="________________________PA3" localSheetId="9" hidden="1">{"'Sheet1'!$L$16"}</definedName>
    <definedName name="________________________PA3" hidden="1">{"'Sheet1'!$L$16"}</definedName>
    <definedName name="________________________tt3" localSheetId="0" hidden="1">{"'Sheet1'!$L$16"}</definedName>
    <definedName name="________________________tt3" localSheetId="6" hidden="1">{"'Sheet1'!$L$16"}</definedName>
    <definedName name="________________________tt3" localSheetId="9" hidden="1">{"'Sheet1'!$L$16"}</definedName>
    <definedName name="________________________tt3" hidden="1">{"'Sheet1'!$L$16"}</definedName>
    <definedName name="_______________________a1" localSheetId="0" hidden="1">{"'Sheet1'!$L$16"}</definedName>
    <definedName name="_______________________a1" localSheetId="6" hidden="1">{"'Sheet1'!$L$16"}</definedName>
    <definedName name="_______________________a1" localSheetId="9" hidden="1">{"'Sheet1'!$L$16"}</definedName>
    <definedName name="_______________________a1" hidden="1">{"'Sheet1'!$L$16"}</definedName>
    <definedName name="_______________________DT12" localSheetId="0" hidden="1">{"'Sheet1'!$L$16"}</definedName>
    <definedName name="_______________________DT12" localSheetId="6" hidden="1">{"'Sheet1'!$L$16"}</definedName>
    <definedName name="_______________________DT12" localSheetId="9" hidden="1">{"'Sheet1'!$L$16"}</definedName>
    <definedName name="_______________________DT12" hidden="1">{"'Sheet1'!$L$16"}</definedName>
    <definedName name="_______________________h1" localSheetId="0" hidden="1">{"'Sheet1'!$L$16"}</definedName>
    <definedName name="_______________________h1" localSheetId="6" hidden="1">{"'Sheet1'!$L$16"}</definedName>
    <definedName name="_______________________h1" localSheetId="9" hidden="1">{"'Sheet1'!$L$16"}</definedName>
    <definedName name="_______________________h1" hidden="1">{"'Sheet1'!$L$16"}</definedName>
    <definedName name="_______________________h2" localSheetId="0" hidden="1">{"'Sheet1'!$L$16"}</definedName>
    <definedName name="_______________________h2" localSheetId="6" hidden="1">{"'Sheet1'!$L$16"}</definedName>
    <definedName name="_______________________h2" localSheetId="9" hidden="1">{"'Sheet1'!$L$16"}</definedName>
    <definedName name="_______________________h2" hidden="1">{"'Sheet1'!$L$16"}</definedName>
    <definedName name="_______________________h3" localSheetId="0" hidden="1">{"'Sheet1'!$L$16"}</definedName>
    <definedName name="_______________________h3" localSheetId="6" hidden="1">{"'Sheet1'!$L$16"}</definedName>
    <definedName name="_______________________h3" localSheetId="9" hidden="1">{"'Sheet1'!$L$16"}</definedName>
    <definedName name="_______________________h3" hidden="1">{"'Sheet1'!$L$16"}</definedName>
    <definedName name="_______________________h5" localSheetId="0" hidden="1">{"'Sheet1'!$L$16"}</definedName>
    <definedName name="_______________________h5" localSheetId="6" hidden="1">{"'Sheet1'!$L$16"}</definedName>
    <definedName name="_______________________h5" localSheetId="9" hidden="1">{"'Sheet1'!$L$16"}</definedName>
    <definedName name="_______________________h5" hidden="1">{"'Sheet1'!$L$16"}</definedName>
    <definedName name="_______________________h6" localSheetId="0" hidden="1">{"'Sheet1'!$L$16"}</definedName>
    <definedName name="_______________________h6" localSheetId="6" hidden="1">{"'Sheet1'!$L$16"}</definedName>
    <definedName name="_______________________h6" localSheetId="9" hidden="1">{"'Sheet1'!$L$16"}</definedName>
    <definedName name="_______________________h6" hidden="1">{"'Sheet1'!$L$16"}</definedName>
    <definedName name="_______________________h7" localSheetId="0" hidden="1">{"'Sheet1'!$L$16"}</definedName>
    <definedName name="_______________________h7" localSheetId="6" hidden="1">{"'Sheet1'!$L$16"}</definedName>
    <definedName name="_______________________h7" localSheetId="9" hidden="1">{"'Sheet1'!$L$16"}</definedName>
    <definedName name="_______________________h7" hidden="1">{"'Sheet1'!$L$16"}</definedName>
    <definedName name="_______________________h8" localSheetId="0" hidden="1">{"'Sheet1'!$L$16"}</definedName>
    <definedName name="_______________________h8" localSheetId="6" hidden="1">{"'Sheet1'!$L$16"}</definedName>
    <definedName name="_______________________h8" localSheetId="9" hidden="1">{"'Sheet1'!$L$16"}</definedName>
    <definedName name="_______________________h8" hidden="1">{"'Sheet1'!$L$16"}</definedName>
    <definedName name="_______________________h9" localSheetId="0" hidden="1">{"'Sheet1'!$L$16"}</definedName>
    <definedName name="_______________________h9" localSheetId="6" hidden="1">{"'Sheet1'!$L$16"}</definedName>
    <definedName name="_______________________h9" localSheetId="9" hidden="1">{"'Sheet1'!$L$16"}</definedName>
    <definedName name="_______________________h9" hidden="1">{"'Sheet1'!$L$16"}</definedName>
    <definedName name="_______________________hsm2">1.1289</definedName>
    <definedName name="_______________________PA3" localSheetId="0" hidden="1">{"'Sheet1'!$L$16"}</definedName>
    <definedName name="_______________________PA3" localSheetId="6" hidden="1">{"'Sheet1'!$L$16"}</definedName>
    <definedName name="_______________________PA3" localSheetId="9" hidden="1">{"'Sheet1'!$L$16"}</definedName>
    <definedName name="_______________________PA3" hidden="1">{"'Sheet1'!$L$16"}</definedName>
    <definedName name="______________________a1" localSheetId="0" hidden="1">{"'Sheet1'!$L$16"}</definedName>
    <definedName name="______________________a1" localSheetId="6" hidden="1">{"'Sheet1'!$L$16"}</definedName>
    <definedName name="______________________a1" localSheetId="9" hidden="1">{"'Sheet1'!$L$16"}</definedName>
    <definedName name="______________________a1" hidden="1">{"'Sheet1'!$L$16"}</definedName>
    <definedName name="______________________DT12" localSheetId="0" hidden="1">{"'Sheet1'!$L$16"}</definedName>
    <definedName name="______________________DT12" localSheetId="6" hidden="1">{"'Sheet1'!$L$16"}</definedName>
    <definedName name="______________________DT12" localSheetId="9" hidden="1">{"'Sheet1'!$L$16"}</definedName>
    <definedName name="______________________DT12" hidden="1">{"'Sheet1'!$L$16"}</definedName>
    <definedName name="______________________hsm2">1.1289</definedName>
    <definedName name="______________________Lan1" localSheetId="0">{"Thuxm2.xls","Sheet1"}</definedName>
    <definedName name="______________________Lan1" localSheetId="9">{"Thuxm2.xls","Sheet1"}</definedName>
    <definedName name="______________________Lan1">{"Thuxm2.xls","Sheet1"}</definedName>
    <definedName name="______________________PA3" localSheetId="0" hidden="1">{"'Sheet1'!$L$16"}</definedName>
    <definedName name="______________________PA3" localSheetId="6" hidden="1">{"'Sheet1'!$L$16"}</definedName>
    <definedName name="______________________PA3" localSheetId="9" hidden="1">{"'Sheet1'!$L$16"}</definedName>
    <definedName name="______________________PA3" hidden="1">{"'Sheet1'!$L$16"}</definedName>
    <definedName name="______________________tt3" localSheetId="0" hidden="1">{"'Sheet1'!$L$16"}</definedName>
    <definedName name="______________________tt3" localSheetId="6" hidden="1">{"'Sheet1'!$L$16"}</definedName>
    <definedName name="______________________tt3" localSheetId="9" hidden="1">{"'Sheet1'!$L$16"}</definedName>
    <definedName name="______________________tt3" hidden="1">{"'Sheet1'!$L$16"}</definedName>
    <definedName name="_____________________a1" localSheetId="0" hidden="1">{"'Sheet1'!$L$16"}</definedName>
    <definedName name="_____________________a1" localSheetId="6" hidden="1">{"'Sheet1'!$L$16"}</definedName>
    <definedName name="_____________________a1" localSheetId="9" hidden="1">{"'Sheet1'!$L$16"}</definedName>
    <definedName name="_____________________a1" hidden="1">{"'Sheet1'!$L$16"}</definedName>
    <definedName name="_____________________DT12" localSheetId="0" hidden="1">{"'Sheet1'!$L$16"}</definedName>
    <definedName name="_____________________DT12" localSheetId="6" hidden="1">{"'Sheet1'!$L$16"}</definedName>
    <definedName name="_____________________DT12" localSheetId="9" hidden="1">{"'Sheet1'!$L$16"}</definedName>
    <definedName name="_____________________DT12" hidden="1">{"'Sheet1'!$L$16"}</definedName>
    <definedName name="_____________________h1" localSheetId="0" hidden="1">{"'Sheet1'!$L$16"}</definedName>
    <definedName name="_____________________h1" localSheetId="6" hidden="1">{"'Sheet1'!$L$16"}</definedName>
    <definedName name="_____________________h1" localSheetId="9" hidden="1">{"'Sheet1'!$L$16"}</definedName>
    <definedName name="_____________________h1" hidden="1">{"'Sheet1'!$L$16"}</definedName>
    <definedName name="_____________________h2" localSheetId="0" hidden="1">{"'Sheet1'!$L$16"}</definedName>
    <definedName name="_____________________h2" localSheetId="6" hidden="1">{"'Sheet1'!$L$16"}</definedName>
    <definedName name="_____________________h2" localSheetId="9" hidden="1">{"'Sheet1'!$L$16"}</definedName>
    <definedName name="_____________________h2" hidden="1">{"'Sheet1'!$L$16"}</definedName>
    <definedName name="_____________________h3" localSheetId="0" hidden="1">{"'Sheet1'!$L$16"}</definedName>
    <definedName name="_____________________h3" localSheetId="6" hidden="1">{"'Sheet1'!$L$16"}</definedName>
    <definedName name="_____________________h3" localSheetId="9" hidden="1">{"'Sheet1'!$L$16"}</definedName>
    <definedName name="_____________________h3" hidden="1">{"'Sheet1'!$L$16"}</definedName>
    <definedName name="_____________________h5" localSheetId="0" hidden="1">{"'Sheet1'!$L$16"}</definedName>
    <definedName name="_____________________h5" localSheetId="6" hidden="1">{"'Sheet1'!$L$16"}</definedName>
    <definedName name="_____________________h5" localSheetId="9" hidden="1">{"'Sheet1'!$L$16"}</definedName>
    <definedName name="_____________________h5" hidden="1">{"'Sheet1'!$L$16"}</definedName>
    <definedName name="_____________________h6" localSheetId="0" hidden="1">{"'Sheet1'!$L$16"}</definedName>
    <definedName name="_____________________h6" localSheetId="6" hidden="1">{"'Sheet1'!$L$16"}</definedName>
    <definedName name="_____________________h6" localSheetId="9" hidden="1">{"'Sheet1'!$L$16"}</definedName>
    <definedName name="_____________________h6" hidden="1">{"'Sheet1'!$L$16"}</definedName>
    <definedName name="_____________________h7" localSheetId="0" hidden="1">{"'Sheet1'!$L$16"}</definedName>
    <definedName name="_____________________h7" localSheetId="6" hidden="1">{"'Sheet1'!$L$16"}</definedName>
    <definedName name="_____________________h7" localSheetId="9" hidden="1">{"'Sheet1'!$L$16"}</definedName>
    <definedName name="_____________________h7" hidden="1">{"'Sheet1'!$L$16"}</definedName>
    <definedName name="_____________________h8" localSheetId="0" hidden="1">{"'Sheet1'!$L$16"}</definedName>
    <definedName name="_____________________h8" localSheetId="6" hidden="1">{"'Sheet1'!$L$16"}</definedName>
    <definedName name="_____________________h8" localSheetId="9" hidden="1">{"'Sheet1'!$L$16"}</definedName>
    <definedName name="_____________________h8" hidden="1">{"'Sheet1'!$L$16"}</definedName>
    <definedName name="_____________________h9" localSheetId="0" hidden="1">{"'Sheet1'!$L$16"}</definedName>
    <definedName name="_____________________h9" localSheetId="6" hidden="1">{"'Sheet1'!$L$16"}</definedName>
    <definedName name="_____________________h9" localSheetId="9" hidden="1">{"'Sheet1'!$L$16"}</definedName>
    <definedName name="_____________________h9" hidden="1">{"'Sheet1'!$L$16"}</definedName>
    <definedName name="_____________________hsm2">1.1289</definedName>
    <definedName name="_____________________NSO2" localSheetId="0" hidden="1">{"'Sheet1'!$L$16"}</definedName>
    <definedName name="_____________________NSO2" localSheetId="6" hidden="1">{"'Sheet1'!$L$16"}</definedName>
    <definedName name="_____________________NSO2" localSheetId="9" hidden="1">{"'Sheet1'!$L$16"}</definedName>
    <definedName name="_____________________NSO2" hidden="1">{"'Sheet1'!$L$16"}</definedName>
    <definedName name="_____________________PA3" localSheetId="0" hidden="1">{"'Sheet1'!$L$16"}</definedName>
    <definedName name="_____________________PA3" localSheetId="6" hidden="1">{"'Sheet1'!$L$16"}</definedName>
    <definedName name="_____________________PA3" localSheetId="9" hidden="1">{"'Sheet1'!$L$16"}</definedName>
    <definedName name="_____________________PA3" hidden="1">{"'Sheet1'!$L$16"}</definedName>
    <definedName name="_____________________tt3" localSheetId="0" hidden="1">{"'Sheet1'!$L$16"}</definedName>
    <definedName name="_____________________tt3" localSheetId="6" hidden="1">{"'Sheet1'!$L$16"}</definedName>
    <definedName name="_____________________tt3" localSheetId="9" hidden="1">{"'Sheet1'!$L$16"}</definedName>
    <definedName name="_____________________tt3" hidden="1">{"'Sheet1'!$L$16"}</definedName>
    <definedName name="____________________a1" localSheetId="0" hidden="1">{"'Sheet1'!$L$16"}</definedName>
    <definedName name="____________________a1" localSheetId="6" hidden="1">{"'Sheet1'!$L$16"}</definedName>
    <definedName name="____________________a1" localSheetId="9" hidden="1">{"'Sheet1'!$L$16"}</definedName>
    <definedName name="____________________a1" hidden="1">{"'Sheet1'!$L$16"}</definedName>
    <definedName name="____________________DT12" localSheetId="0" hidden="1">{"'Sheet1'!$L$16"}</definedName>
    <definedName name="____________________DT12" localSheetId="6" hidden="1">{"'Sheet1'!$L$16"}</definedName>
    <definedName name="____________________DT12" localSheetId="9" hidden="1">{"'Sheet1'!$L$16"}</definedName>
    <definedName name="____________________DT12" hidden="1">{"'Sheet1'!$L$16"}</definedName>
    <definedName name="____________________h1" localSheetId="0" hidden="1">{"'Sheet1'!$L$16"}</definedName>
    <definedName name="____________________h1" localSheetId="6" hidden="1">{"'Sheet1'!$L$16"}</definedName>
    <definedName name="____________________h1" localSheetId="9" hidden="1">{"'Sheet1'!$L$16"}</definedName>
    <definedName name="____________________h1" hidden="1">{"'Sheet1'!$L$16"}</definedName>
    <definedName name="____________________h2" localSheetId="0" hidden="1">{"'Sheet1'!$L$16"}</definedName>
    <definedName name="____________________h2" localSheetId="6" hidden="1">{"'Sheet1'!$L$16"}</definedName>
    <definedName name="____________________h2" localSheetId="9" hidden="1">{"'Sheet1'!$L$16"}</definedName>
    <definedName name="____________________h2" hidden="1">{"'Sheet1'!$L$16"}</definedName>
    <definedName name="____________________h3" localSheetId="0" hidden="1">{"'Sheet1'!$L$16"}</definedName>
    <definedName name="____________________h3" localSheetId="6" hidden="1">{"'Sheet1'!$L$16"}</definedName>
    <definedName name="____________________h3" localSheetId="9" hidden="1">{"'Sheet1'!$L$16"}</definedName>
    <definedName name="____________________h3" hidden="1">{"'Sheet1'!$L$16"}</definedName>
    <definedName name="____________________h5" localSheetId="0" hidden="1">{"'Sheet1'!$L$16"}</definedName>
    <definedName name="____________________h5" localSheetId="6" hidden="1">{"'Sheet1'!$L$16"}</definedName>
    <definedName name="____________________h5" localSheetId="9" hidden="1">{"'Sheet1'!$L$16"}</definedName>
    <definedName name="____________________h5" hidden="1">{"'Sheet1'!$L$16"}</definedName>
    <definedName name="____________________h6" localSheetId="0" hidden="1">{"'Sheet1'!$L$16"}</definedName>
    <definedName name="____________________h6" localSheetId="6" hidden="1">{"'Sheet1'!$L$16"}</definedName>
    <definedName name="____________________h6" localSheetId="9" hidden="1">{"'Sheet1'!$L$16"}</definedName>
    <definedName name="____________________h6" hidden="1">{"'Sheet1'!$L$16"}</definedName>
    <definedName name="____________________h7" localSheetId="0" hidden="1">{"'Sheet1'!$L$16"}</definedName>
    <definedName name="____________________h7" localSheetId="6" hidden="1">{"'Sheet1'!$L$16"}</definedName>
    <definedName name="____________________h7" localSheetId="9" hidden="1">{"'Sheet1'!$L$16"}</definedName>
    <definedName name="____________________h7" hidden="1">{"'Sheet1'!$L$16"}</definedName>
    <definedName name="____________________h8" localSheetId="0" hidden="1">{"'Sheet1'!$L$16"}</definedName>
    <definedName name="____________________h8" localSheetId="6" hidden="1">{"'Sheet1'!$L$16"}</definedName>
    <definedName name="____________________h8" localSheetId="9" hidden="1">{"'Sheet1'!$L$16"}</definedName>
    <definedName name="____________________h8" hidden="1">{"'Sheet1'!$L$16"}</definedName>
    <definedName name="____________________h9" localSheetId="0" hidden="1">{"'Sheet1'!$L$16"}</definedName>
    <definedName name="____________________h9" localSheetId="6" hidden="1">{"'Sheet1'!$L$16"}</definedName>
    <definedName name="____________________h9" localSheetId="9" hidden="1">{"'Sheet1'!$L$16"}</definedName>
    <definedName name="____________________h9" hidden="1">{"'Sheet1'!$L$16"}</definedName>
    <definedName name="____________________hsm2">1.1289</definedName>
    <definedName name="____________________Lan1" localSheetId="0">{"Thuxm2.xls","Sheet1"}</definedName>
    <definedName name="____________________Lan1" localSheetId="9">{"Thuxm2.xls","Sheet1"}</definedName>
    <definedName name="____________________Lan1">{"Thuxm2.xls","Sheet1"}</definedName>
    <definedName name="____________________PA3" localSheetId="0" hidden="1">{"'Sheet1'!$L$16"}</definedName>
    <definedName name="____________________PA3" localSheetId="6" hidden="1">{"'Sheet1'!$L$16"}</definedName>
    <definedName name="____________________PA3" localSheetId="9" hidden="1">{"'Sheet1'!$L$16"}</definedName>
    <definedName name="____________________PA3" hidden="1">{"'Sheet1'!$L$16"}</definedName>
    <definedName name="____________________tt3" localSheetId="0" hidden="1">{"'Sheet1'!$L$16"}</definedName>
    <definedName name="____________________tt3" localSheetId="6" hidden="1">{"'Sheet1'!$L$16"}</definedName>
    <definedName name="____________________tt3" localSheetId="9" hidden="1">{"'Sheet1'!$L$16"}</definedName>
    <definedName name="____________________tt3" hidden="1">{"'Sheet1'!$L$16"}</definedName>
    <definedName name="___________________a1" localSheetId="0" hidden="1">{"'Sheet1'!$L$16"}</definedName>
    <definedName name="___________________a1" localSheetId="6" hidden="1">{"'Sheet1'!$L$16"}</definedName>
    <definedName name="___________________a1" localSheetId="9" hidden="1">{"'Sheet1'!$L$16"}</definedName>
    <definedName name="___________________a1" hidden="1">{"'Sheet1'!$L$16"}</definedName>
    <definedName name="___________________DT12" localSheetId="0" hidden="1">{"'Sheet1'!$L$16"}</definedName>
    <definedName name="___________________DT12" localSheetId="6" hidden="1">{"'Sheet1'!$L$16"}</definedName>
    <definedName name="___________________DT12" localSheetId="9" hidden="1">{"'Sheet1'!$L$16"}</definedName>
    <definedName name="___________________DT12" hidden="1">{"'Sheet1'!$L$16"}</definedName>
    <definedName name="___________________h1" localSheetId="0" hidden="1">{"'Sheet1'!$L$16"}</definedName>
    <definedName name="___________________h1" localSheetId="6" hidden="1">{"'Sheet1'!$L$16"}</definedName>
    <definedName name="___________________h1" localSheetId="9" hidden="1">{"'Sheet1'!$L$16"}</definedName>
    <definedName name="___________________h1" hidden="1">{"'Sheet1'!$L$16"}</definedName>
    <definedName name="___________________h2" localSheetId="0" hidden="1">{"'Sheet1'!$L$16"}</definedName>
    <definedName name="___________________h2" localSheetId="6" hidden="1">{"'Sheet1'!$L$16"}</definedName>
    <definedName name="___________________h2" localSheetId="9" hidden="1">{"'Sheet1'!$L$16"}</definedName>
    <definedName name="___________________h2" hidden="1">{"'Sheet1'!$L$16"}</definedName>
    <definedName name="___________________h3" localSheetId="0" hidden="1">{"'Sheet1'!$L$16"}</definedName>
    <definedName name="___________________h3" localSheetId="6" hidden="1">{"'Sheet1'!$L$16"}</definedName>
    <definedName name="___________________h3" localSheetId="9" hidden="1">{"'Sheet1'!$L$16"}</definedName>
    <definedName name="___________________h3" hidden="1">{"'Sheet1'!$L$16"}</definedName>
    <definedName name="___________________h5" localSheetId="0" hidden="1">{"'Sheet1'!$L$16"}</definedName>
    <definedName name="___________________h5" localSheetId="6" hidden="1">{"'Sheet1'!$L$16"}</definedName>
    <definedName name="___________________h5" localSheetId="9" hidden="1">{"'Sheet1'!$L$16"}</definedName>
    <definedName name="___________________h5" hidden="1">{"'Sheet1'!$L$16"}</definedName>
    <definedName name="___________________h6" localSheetId="0" hidden="1">{"'Sheet1'!$L$16"}</definedName>
    <definedName name="___________________h6" localSheetId="6" hidden="1">{"'Sheet1'!$L$16"}</definedName>
    <definedName name="___________________h6" localSheetId="9" hidden="1">{"'Sheet1'!$L$16"}</definedName>
    <definedName name="___________________h6" hidden="1">{"'Sheet1'!$L$16"}</definedName>
    <definedName name="___________________h7" localSheetId="0" hidden="1">{"'Sheet1'!$L$16"}</definedName>
    <definedName name="___________________h7" localSheetId="6" hidden="1">{"'Sheet1'!$L$16"}</definedName>
    <definedName name="___________________h7" localSheetId="9" hidden="1">{"'Sheet1'!$L$16"}</definedName>
    <definedName name="___________________h7" hidden="1">{"'Sheet1'!$L$16"}</definedName>
    <definedName name="___________________h8" localSheetId="0" hidden="1">{"'Sheet1'!$L$16"}</definedName>
    <definedName name="___________________h8" localSheetId="6" hidden="1">{"'Sheet1'!$L$16"}</definedName>
    <definedName name="___________________h8" localSheetId="9" hidden="1">{"'Sheet1'!$L$16"}</definedName>
    <definedName name="___________________h8" hidden="1">{"'Sheet1'!$L$16"}</definedName>
    <definedName name="___________________h9" localSheetId="0" hidden="1">{"'Sheet1'!$L$16"}</definedName>
    <definedName name="___________________h9" localSheetId="6" hidden="1">{"'Sheet1'!$L$16"}</definedName>
    <definedName name="___________________h9" localSheetId="9" hidden="1">{"'Sheet1'!$L$16"}</definedName>
    <definedName name="___________________h9" hidden="1">{"'Sheet1'!$L$16"}</definedName>
    <definedName name="___________________hsm2">1.1289</definedName>
    <definedName name="___________________Lan1" localSheetId="0">{"Thuxm2.xls","Sheet1"}</definedName>
    <definedName name="___________________Lan1" localSheetId="9">{"Thuxm2.xls","Sheet1"}</definedName>
    <definedName name="___________________Lan1">{"Thuxm2.xls","Sheet1"}</definedName>
    <definedName name="___________________NSO2" localSheetId="0" hidden="1">{"'Sheet1'!$L$16"}</definedName>
    <definedName name="___________________NSO2" localSheetId="6" hidden="1">{"'Sheet1'!$L$16"}</definedName>
    <definedName name="___________________NSO2" localSheetId="9" hidden="1">{"'Sheet1'!$L$16"}</definedName>
    <definedName name="___________________NSO2" hidden="1">{"'Sheet1'!$L$16"}</definedName>
    <definedName name="___________________PA3" localSheetId="0" hidden="1">{"'Sheet1'!$L$16"}</definedName>
    <definedName name="___________________PA3" localSheetId="6" hidden="1">{"'Sheet1'!$L$16"}</definedName>
    <definedName name="___________________PA3" localSheetId="9" hidden="1">{"'Sheet1'!$L$16"}</definedName>
    <definedName name="___________________PA3" hidden="1">{"'Sheet1'!$L$16"}</definedName>
    <definedName name="___________________tt3" localSheetId="0" hidden="1">{"'Sheet1'!$L$16"}</definedName>
    <definedName name="___________________tt3" localSheetId="6" hidden="1">{"'Sheet1'!$L$16"}</definedName>
    <definedName name="___________________tt3" localSheetId="9" hidden="1">{"'Sheet1'!$L$16"}</definedName>
    <definedName name="___________________tt3" hidden="1">{"'Sheet1'!$L$16"}</definedName>
    <definedName name="__________________a1" localSheetId="0" hidden="1">{"'Sheet1'!$L$16"}</definedName>
    <definedName name="__________________a1" localSheetId="6" hidden="1">{"'Sheet1'!$L$16"}</definedName>
    <definedName name="__________________a1" localSheetId="9" hidden="1">{"'Sheet1'!$L$16"}</definedName>
    <definedName name="__________________a1" hidden="1">{"'Sheet1'!$L$16"}</definedName>
    <definedName name="__________________DT12" localSheetId="0" hidden="1">{"'Sheet1'!$L$16"}</definedName>
    <definedName name="__________________DT12" localSheetId="6" hidden="1">{"'Sheet1'!$L$16"}</definedName>
    <definedName name="__________________DT12" localSheetId="9" hidden="1">{"'Sheet1'!$L$16"}</definedName>
    <definedName name="__________________DT12" hidden="1">{"'Sheet1'!$L$16"}</definedName>
    <definedName name="__________________hsm2">1.1289</definedName>
    <definedName name="__________________Lan1" localSheetId="0">{"Thuxm2.xls","Sheet1"}</definedName>
    <definedName name="__________________Lan1" localSheetId="9">{"Thuxm2.xls","Sheet1"}</definedName>
    <definedName name="__________________Lan1">{"Thuxm2.xls","Sheet1"}</definedName>
    <definedName name="__________________NSO2" localSheetId="0" hidden="1">{"'Sheet1'!$L$16"}</definedName>
    <definedName name="__________________NSO2" localSheetId="6" hidden="1">{"'Sheet1'!$L$16"}</definedName>
    <definedName name="__________________NSO2" localSheetId="9" hidden="1">{"'Sheet1'!$L$16"}</definedName>
    <definedName name="__________________NSO2" hidden="1">{"'Sheet1'!$L$16"}</definedName>
    <definedName name="__________________PA3" localSheetId="0" hidden="1">{"'Sheet1'!$L$16"}</definedName>
    <definedName name="__________________PA3" localSheetId="6" hidden="1">{"'Sheet1'!$L$16"}</definedName>
    <definedName name="__________________PA3" localSheetId="9" hidden="1">{"'Sheet1'!$L$16"}</definedName>
    <definedName name="__________________PA3" hidden="1">{"'Sheet1'!$L$16"}</definedName>
    <definedName name="__________________tt3" localSheetId="0" hidden="1">{"'Sheet1'!$L$16"}</definedName>
    <definedName name="__________________tt3" localSheetId="6" hidden="1">{"'Sheet1'!$L$16"}</definedName>
    <definedName name="__________________tt3" localSheetId="9" hidden="1">{"'Sheet1'!$L$16"}</definedName>
    <definedName name="__________________tt3" hidden="1">{"'Sheet1'!$L$16"}</definedName>
    <definedName name="_________________a1" localSheetId="0" hidden="1">{"'Sheet1'!$L$16"}</definedName>
    <definedName name="_________________a1" localSheetId="6" hidden="1">{"'Sheet1'!$L$16"}</definedName>
    <definedName name="_________________a1" localSheetId="9" hidden="1">{"'Sheet1'!$L$16"}</definedName>
    <definedName name="_________________a1" hidden="1">{"'Sheet1'!$L$16"}</definedName>
    <definedName name="_________________DT12" localSheetId="0" hidden="1">{"'Sheet1'!$L$16"}</definedName>
    <definedName name="_________________DT12" localSheetId="6" hidden="1">{"'Sheet1'!$L$16"}</definedName>
    <definedName name="_________________DT12" localSheetId="9" hidden="1">{"'Sheet1'!$L$16"}</definedName>
    <definedName name="_________________DT12" hidden="1">{"'Sheet1'!$L$16"}</definedName>
    <definedName name="_________________h1" localSheetId="0" hidden="1">{"'Sheet1'!$L$16"}</definedName>
    <definedName name="_________________h1" localSheetId="6" hidden="1">{"'Sheet1'!$L$16"}</definedName>
    <definedName name="_________________h1" localSheetId="9" hidden="1">{"'Sheet1'!$L$16"}</definedName>
    <definedName name="_________________h1" hidden="1">{"'Sheet1'!$L$16"}</definedName>
    <definedName name="_________________h2" localSheetId="0" hidden="1">{"'Sheet1'!$L$16"}</definedName>
    <definedName name="_________________h2" localSheetId="6" hidden="1">{"'Sheet1'!$L$16"}</definedName>
    <definedName name="_________________h2" localSheetId="9" hidden="1">{"'Sheet1'!$L$16"}</definedName>
    <definedName name="_________________h2" hidden="1">{"'Sheet1'!$L$16"}</definedName>
    <definedName name="_________________h3" localSheetId="0" hidden="1">{"'Sheet1'!$L$16"}</definedName>
    <definedName name="_________________h3" localSheetId="6" hidden="1">{"'Sheet1'!$L$16"}</definedName>
    <definedName name="_________________h3" localSheetId="9" hidden="1">{"'Sheet1'!$L$16"}</definedName>
    <definedName name="_________________h3" hidden="1">{"'Sheet1'!$L$16"}</definedName>
    <definedName name="_________________h5" localSheetId="0" hidden="1">{"'Sheet1'!$L$16"}</definedName>
    <definedName name="_________________h5" localSheetId="6" hidden="1">{"'Sheet1'!$L$16"}</definedName>
    <definedName name="_________________h5" localSheetId="9" hidden="1">{"'Sheet1'!$L$16"}</definedName>
    <definedName name="_________________h5" hidden="1">{"'Sheet1'!$L$16"}</definedName>
    <definedName name="_________________h6" localSheetId="0" hidden="1">{"'Sheet1'!$L$16"}</definedName>
    <definedName name="_________________h6" localSheetId="6" hidden="1">{"'Sheet1'!$L$16"}</definedName>
    <definedName name="_________________h6" localSheetId="9" hidden="1">{"'Sheet1'!$L$16"}</definedName>
    <definedName name="_________________h6" hidden="1">{"'Sheet1'!$L$16"}</definedName>
    <definedName name="_________________h7" localSheetId="0" hidden="1">{"'Sheet1'!$L$16"}</definedName>
    <definedName name="_________________h7" localSheetId="6" hidden="1">{"'Sheet1'!$L$16"}</definedName>
    <definedName name="_________________h7" localSheetId="9" hidden="1">{"'Sheet1'!$L$16"}</definedName>
    <definedName name="_________________h7" hidden="1">{"'Sheet1'!$L$16"}</definedName>
    <definedName name="_________________h8" localSheetId="0" hidden="1">{"'Sheet1'!$L$16"}</definedName>
    <definedName name="_________________h8" localSheetId="6" hidden="1">{"'Sheet1'!$L$16"}</definedName>
    <definedName name="_________________h8" localSheetId="9" hidden="1">{"'Sheet1'!$L$16"}</definedName>
    <definedName name="_________________h8" hidden="1">{"'Sheet1'!$L$16"}</definedName>
    <definedName name="_________________h9" localSheetId="0" hidden="1">{"'Sheet1'!$L$16"}</definedName>
    <definedName name="_________________h9" localSheetId="6" hidden="1">{"'Sheet1'!$L$16"}</definedName>
    <definedName name="_________________h9" localSheetId="9" hidden="1">{"'Sheet1'!$L$16"}</definedName>
    <definedName name="_________________h9" hidden="1">{"'Sheet1'!$L$16"}</definedName>
    <definedName name="_________________hsm2">1.1289</definedName>
    <definedName name="_________________Lan1" localSheetId="0">{"Thuxm2.xls","Sheet1"}</definedName>
    <definedName name="_________________Lan1" localSheetId="9">{"Thuxm2.xls","Sheet1"}</definedName>
    <definedName name="_________________Lan1">{"Thuxm2.xls","Sheet1"}</definedName>
    <definedName name="_________________NSO2" localSheetId="0" hidden="1">{"'Sheet1'!$L$16"}</definedName>
    <definedName name="_________________NSO2" localSheetId="6" hidden="1">{"'Sheet1'!$L$16"}</definedName>
    <definedName name="_________________NSO2" localSheetId="9" hidden="1">{"'Sheet1'!$L$16"}</definedName>
    <definedName name="_________________NSO2" hidden="1">{"'Sheet1'!$L$16"}</definedName>
    <definedName name="_________________PA3" localSheetId="0" hidden="1">{"'Sheet1'!$L$16"}</definedName>
    <definedName name="_________________PA3" localSheetId="6" hidden="1">{"'Sheet1'!$L$16"}</definedName>
    <definedName name="_________________PA3" localSheetId="9" hidden="1">{"'Sheet1'!$L$16"}</definedName>
    <definedName name="_________________PA3" hidden="1">{"'Sheet1'!$L$16"}</definedName>
    <definedName name="________________a1" localSheetId="0" hidden="1">{"'Sheet1'!$L$16"}</definedName>
    <definedName name="________________a1" localSheetId="6" hidden="1">{"'Sheet1'!$L$16"}</definedName>
    <definedName name="________________a1" localSheetId="9" hidden="1">{"'Sheet1'!$L$16"}</definedName>
    <definedName name="________________a1" hidden="1">{"'Sheet1'!$L$16"}</definedName>
    <definedName name="________________DT12" localSheetId="0" hidden="1">{"'Sheet1'!$L$16"}</definedName>
    <definedName name="________________DT12" localSheetId="6" hidden="1">{"'Sheet1'!$L$16"}</definedName>
    <definedName name="________________DT12" localSheetId="9" hidden="1">{"'Sheet1'!$L$16"}</definedName>
    <definedName name="________________DT12" hidden="1">{"'Sheet1'!$L$16"}</definedName>
    <definedName name="________________h1" localSheetId="0" hidden="1">{"'Sheet1'!$L$16"}</definedName>
    <definedName name="________________h1" localSheetId="6" hidden="1">{"'Sheet1'!$L$16"}</definedName>
    <definedName name="________________h1" localSheetId="9" hidden="1">{"'Sheet1'!$L$16"}</definedName>
    <definedName name="________________h1" hidden="1">{"'Sheet1'!$L$16"}</definedName>
    <definedName name="________________h2" localSheetId="0" hidden="1">{"'Sheet1'!$L$16"}</definedName>
    <definedName name="________________h2" localSheetId="6" hidden="1">{"'Sheet1'!$L$16"}</definedName>
    <definedName name="________________h2" localSheetId="9" hidden="1">{"'Sheet1'!$L$16"}</definedName>
    <definedName name="________________h2" hidden="1">{"'Sheet1'!$L$16"}</definedName>
    <definedName name="________________h3" localSheetId="0" hidden="1">{"'Sheet1'!$L$16"}</definedName>
    <definedName name="________________h3" localSheetId="6" hidden="1">{"'Sheet1'!$L$16"}</definedName>
    <definedName name="________________h3" localSheetId="9" hidden="1">{"'Sheet1'!$L$16"}</definedName>
    <definedName name="________________h3" hidden="1">{"'Sheet1'!$L$16"}</definedName>
    <definedName name="________________h5" localSheetId="0" hidden="1">{"'Sheet1'!$L$16"}</definedName>
    <definedName name="________________h5" localSheetId="6" hidden="1">{"'Sheet1'!$L$16"}</definedName>
    <definedName name="________________h5" localSheetId="9" hidden="1">{"'Sheet1'!$L$16"}</definedName>
    <definedName name="________________h5" hidden="1">{"'Sheet1'!$L$16"}</definedName>
    <definedName name="________________h6" localSheetId="0" hidden="1">{"'Sheet1'!$L$16"}</definedName>
    <definedName name="________________h6" localSheetId="6" hidden="1">{"'Sheet1'!$L$16"}</definedName>
    <definedName name="________________h6" localSheetId="9" hidden="1">{"'Sheet1'!$L$16"}</definedName>
    <definedName name="________________h6" hidden="1">{"'Sheet1'!$L$16"}</definedName>
    <definedName name="________________h7" localSheetId="0" hidden="1">{"'Sheet1'!$L$16"}</definedName>
    <definedName name="________________h7" localSheetId="6" hidden="1">{"'Sheet1'!$L$16"}</definedName>
    <definedName name="________________h7" localSheetId="9" hidden="1">{"'Sheet1'!$L$16"}</definedName>
    <definedName name="________________h7" hidden="1">{"'Sheet1'!$L$16"}</definedName>
    <definedName name="________________h8" localSheetId="0" hidden="1">{"'Sheet1'!$L$16"}</definedName>
    <definedName name="________________h8" localSheetId="6" hidden="1">{"'Sheet1'!$L$16"}</definedName>
    <definedName name="________________h8" localSheetId="9" hidden="1">{"'Sheet1'!$L$16"}</definedName>
    <definedName name="________________h8" hidden="1">{"'Sheet1'!$L$16"}</definedName>
    <definedName name="________________h9" localSheetId="0" hidden="1">{"'Sheet1'!$L$16"}</definedName>
    <definedName name="________________h9" localSheetId="6" hidden="1">{"'Sheet1'!$L$16"}</definedName>
    <definedName name="________________h9" localSheetId="9" hidden="1">{"'Sheet1'!$L$16"}</definedName>
    <definedName name="________________h9" hidden="1">{"'Sheet1'!$L$16"}</definedName>
    <definedName name="________________hsm2">1.1289</definedName>
    <definedName name="________________Lan1" localSheetId="0">{"Thuxm2.xls","Sheet1"}</definedName>
    <definedName name="________________Lan1" localSheetId="9">{"Thuxm2.xls","Sheet1"}</definedName>
    <definedName name="________________Lan1">{"Thuxm2.xls","Sheet1"}</definedName>
    <definedName name="________________PA3" localSheetId="0" hidden="1">{"'Sheet1'!$L$16"}</definedName>
    <definedName name="________________PA3" localSheetId="6" hidden="1">{"'Sheet1'!$L$16"}</definedName>
    <definedName name="________________PA3" localSheetId="9" hidden="1">{"'Sheet1'!$L$16"}</definedName>
    <definedName name="________________PA3" hidden="1">{"'Sheet1'!$L$16"}</definedName>
    <definedName name="________________tt3" localSheetId="0" hidden="1">{"'Sheet1'!$L$16"}</definedName>
    <definedName name="________________tt3" localSheetId="6" hidden="1">{"'Sheet1'!$L$16"}</definedName>
    <definedName name="________________tt3" localSheetId="9" hidden="1">{"'Sheet1'!$L$16"}</definedName>
    <definedName name="________________tt3" hidden="1">{"'Sheet1'!$L$16"}</definedName>
    <definedName name="_______________a1" localSheetId="0" hidden="1">{"'Sheet1'!$L$16"}</definedName>
    <definedName name="_______________a1" localSheetId="6" hidden="1">{"'Sheet1'!$L$16"}</definedName>
    <definedName name="_______________a1" localSheetId="9" hidden="1">{"'Sheet1'!$L$16"}</definedName>
    <definedName name="_______________a1" hidden="1">{"'Sheet1'!$L$16"}</definedName>
    <definedName name="_______________DT12" localSheetId="0" hidden="1">{"'Sheet1'!$L$16"}</definedName>
    <definedName name="_______________DT12" localSheetId="6" hidden="1">{"'Sheet1'!$L$16"}</definedName>
    <definedName name="_______________DT12" localSheetId="9" hidden="1">{"'Sheet1'!$L$16"}</definedName>
    <definedName name="_______________DT12" hidden="1">{"'Sheet1'!$L$16"}</definedName>
    <definedName name="_______________h1" localSheetId="0" hidden="1">{"'Sheet1'!$L$16"}</definedName>
    <definedName name="_______________h1" localSheetId="6" hidden="1">{"'Sheet1'!$L$16"}</definedName>
    <definedName name="_______________h1" localSheetId="9" hidden="1">{"'Sheet1'!$L$16"}</definedName>
    <definedName name="_______________h1" hidden="1">{"'Sheet1'!$L$16"}</definedName>
    <definedName name="_______________h2" localSheetId="0" hidden="1">{"'Sheet1'!$L$16"}</definedName>
    <definedName name="_______________h2" localSheetId="6" hidden="1">{"'Sheet1'!$L$16"}</definedName>
    <definedName name="_______________h2" localSheetId="9" hidden="1">{"'Sheet1'!$L$16"}</definedName>
    <definedName name="_______________h2" hidden="1">{"'Sheet1'!$L$16"}</definedName>
    <definedName name="_______________h3" localSheetId="0" hidden="1">{"'Sheet1'!$L$16"}</definedName>
    <definedName name="_______________h3" localSheetId="6" hidden="1">{"'Sheet1'!$L$16"}</definedName>
    <definedName name="_______________h3" localSheetId="9" hidden="1">{"'Sheet1'!$L$16"}</definedName>
    <definedName name="_______________h3" hidden="1">{"'Sheet1'!$L$16"}</definedName>
    <definedName name="_______________h5" localSheetId="0" hidden="1">{"'Sheet1'!$L$16"}</definedName>
    <definedName name="_______________h5" localSheetId="6" hidden="1">{"'Sheet1'!$L$16"}</definedName>
    <definedName name="_______________h5" localSheetId="9" hidden="1">{"'Sheet1'!$L$16"}</definedName>
    <definedName name="_______________h5" hidden="1">{"'Sheet1'!$L$16"}</definedName>
    <definedName name="_______________h6" localSheetId="0" hidden="1">{"'Sheet1'!$L$16"}</definedName>
    <definedName name="_______________h6" localSheetId="6" hidden="1">{"'Sheet1'!$L$16"}</definedName>
    <definedName name="_______________h6" localSheetId="9" hidden="1">{"'Sheet1'!$L$16"}</definedName>
    <definedName name="_______________h6" hidden="1">{"'Sheet1'!$L$16"}</definedName>
    <definedName name="_______________h7" localSheetId="0" hidden="1">{"'Sheet1'!$L$16"}</definedName>
    <definedName name="_______________h7" localSheetId="6" hidden="1">{"'Sheet1'!$L$16"}</definedName>
    <definedName name="_______________h7" localSheetId="9" hidden="1">{"'Sheet1'!$L$16"}</definedName>
    <definedName name="_______________h7" hidden="1">{"'Sheet1'!$L$16"}</definedName>
    <definedName name="_______________h8" localSheetId="0" hidden="1">{"'Sheet1'!$L$16"}</definedName>
    <definedName name="_______________h8" localSheetId="6" hidden="1">{"'Sheet1'!$L$16"}</definedName>
    <definedName name="_______________h8" localSheetId="9" hidden="1">{"'Sheet1'!$L$16"}</definedName>
    <definedName name="_______________h8" hidden="1">{"'Sheet1'!$L$16"}</definedName>
    <definedName name="_______________h9" localSheetId="0" hidden="1">{"'Sheet1'!$L$16"}</definedName>
    <definedName name="_______________h9" localSheetId="6" hidden="1">{"'Sheet1'!$L$16"}</definedName>
    <definedName name="_______________h9" localSheetId="9" hidden="1">{"'Sheet1'!$L$16"}</definedName>
    <definedName name="_______________h9" hidden="1">{"'Sheet1'!$L$16"}</definedName>
    <definedName name="_______________hsm2">1.1289</definedName>
    <definedName name="_______________Lan1" localSheetId="0">{"Thuxm2.xls","Sheet1"}</definedName>
    <definedName name="_______________Lan1" localSheetId="9">{"Thuxm2.xls","Sheet1"}</definedName>
    <definedName name="_______________Lan1">{"Thuxm2.xls","Sheet1"}</definedName>
    <definedName name="_______________NSO2" localSheetId="0" hidden="1">{"'Sheet1'!$L$16"}</definedName>
    <definedName name="_______________NSO2" localSheetId="6" hidden="1">{"'Sheet1'!$L$16"}</definedName>
    <definedName name="_______________NSO2" localSheetId="9" hidden="1">{"'Sheet1'!$L$16"}</definedName>
    <definedName name="_______________NSO2" hidden="1">{"'Sheet1'!$L$16"}</definedName>
    <definedName name="_______________PA3" localSheetId="0" hidden="1">{"'Sheet1'!$L$16"}</definedName>
    <definedName name="_______________PA3" localSheetId="6" hidden="1">{"'Sheet1'!$L$16"}</definedName>
    <definedName name="_______________PA3" localSheetId="9" hidden="1">{"'Sheet1'!$L$16"}</definedName>
    <definedName name="_______________PA3" hidden="1">{"'Sheet1'!$L$16"}</definedName>
    <definedName name="_______________tt3" localSheetId="0" hidden="1">{"'Sheet1'!$L$16"}</definedName>
    <definedName name="_______________tt3" localSheetId="6" hidden="1">{"'Sheet1'!$L$16"}</definedName>
    <definedName name="_______________tt3" localSheetId="9" hidden="1">{"'Sheet1'!$L$16"}</definedName>
    <definedName name="_______________tt3" hidden="1">{"'Sheet1'!$L$16"}</definedName>
    <definedName name="______________a1" localSheetId="0" hidden="1">{"'Sheet1'!$L$16"}</definedName>
    <definedName name="______________a1" localSheetId="6" hidden="1">{"'Sheet1'!$L$16"}</definedName>
    <definedName name="______________a1" localSheetId="9" hidden="1">{"'Sheet1'!$L$16"}</definedName>
    <definedName name="______________a1" hidden="1">{"'Sheet1'!$L$16"}</definedName>
    <definedName name="______________DT12" localSheetId="0" hidden="1">{"'Sheet1'!$L$16"}</definedName>
    <definedName name="______________DT12" localSheetId="6" hidden="1">{"'Sheet1'!$L$16"}</definedName>
    <definedName name="______________DT12" localSheetId="9" hidden="1">{"'Sheet1'!$L$16"}</definedName>
    <definedName name="______________DT12" hidden="1">{"'Sheet1'!$L$16"}</definedName>
    <definedName name="______________hsm2">1.1289</definedName>
    <definedName name="______________Lan1" localSheetId="0">{"Thuxm2.xls","Sheet1"}</definedName>
    <definedName name="______________Lan1" localSheetId="9">{"Thuxm2.xls","Sheet1"}</definedName>
    <definedName name="______________Lan1">{"Thuxm2.xls","Sheet1"}</definedName>
    <definedName name="______________NSO2" localSheetId="0" hidden="1">{"'Sheet1'!$L$16"}</definedName>
    <definedName name="______________NSO2" localSheetId="6" hidden="1">{"'Sheet1'!$L$16"}</definedName>
    <definedName name="______________NSO2" localSheetId="9" hidden="1">{"'Sheet1'!$L$16"}</definedName>
    <definedName name="______________NSO2" hidden="1">{"'Sheet1'!$L$16"}</definedName>
    <definedName name="______________PA3" localSheetId="0" hidden="1">{"'Sheet1'!$L$16"}</definedName>
    <definedName name="______________PA3" localSheetId="6" hidden="1">{"'Sheet1'!$L$16"}</definedName>
    <definedName name="______________PA3" localSheetId="9" hidden="1">{"'Sheet1'!$L$16"}</definedName>
    <definedName name="______________PA3" hidden="1">{"'Sheet1'!$L$16"}</definedName>
    <definedName name="______________tt3" localSheetId="0" hidden="1">{"'Sheet1'!$L$16"}</definedName>
    <definedName name="______________tt3" localSheetId="6" hidden="1">{"'Sheet1'!$L$16"}</definedName>
    <definedName name="______________tt3" localSheetId="9" hidden="1">{"'Sheet1'!$L$16"}</definedName>
    <definedName name="______________tt3" hidden="1">{"'Sheet1'!$L$16"}</definedName>
    <definedName name="_____________a1" localSheetId="0" hidden="1">{"'Sheet1'!$L$16"}</definedName>
    <definedName name="_____________a1" localSheetId="6" hidden="1">{"'Sheet1'!$L$16"}</definedName>
    <definedName name="_____________a1" localSheetId="9" hidden="1">{"'Sheet1'!$L$16"}</definedName>
    <definedName name="_____________a1" hidden="1">{"'Sheet1'!$L$16"}</definedName>
    <definedName name="_____________DT12" localSheetId="0" hidden="1">{"'Sheet1'!$L$16"}</definedName>
    <definedName name="_____________DT12" localSheetId="6" hidden="1">{"'Sheet1'!$L$16"}</definedName>
    <definedName name="_____________DT12" localSheetId="9" hidden="1">{"'Sheet1'!$L$16"}</definedName>
    <definedName name="_____________DT12" hidden="1">{"'Sheet1'!$L$16"}</definedName>
    <definedName name="_____________h1" localSheetId="0" hidden="1">{"'Sheet1'!$L$16"}</definedName>
    <definedName name="_____________h1" localSheetId="6" hidden="1">{"'Sheet1'!$L$16"}</definedName>
    <definedName name="_____________h1" localSheetId="9" hidden="1">{"'Sheet1'!$L$16"}</definedName>
    <definedName name="_____________h1" hidden="1">{"'Sheet1'!$L$16"}</definedName>
    <definedName name="_____________h2" localSheetId="0" hidden="1">{"'Sheet1'!$L$16"}</definedName>
    <definedName name="_____________h2" localSheetId="6" hidden="1">{"'Sheet1'!$L$16"}</definedName>
    <definedName name="_____________h2" localSheetId="9" hidden="1">{"'Sheet1'!$L$16"}</definedName>
    <definedName name="_____________h2" hidden="1">{"'Sheet1'!$L$16"}</definedName>
    <definedName name="_____________h3" localSheetId="0" hidden="1">{"'Sheet1'!$L$16"}</definedName>
    <definedName name="_____________h3" localSheetId="6" hidden="1">{"'Sheet1'!$L$16"}</definedName>
    <definedName name="_____________h3" localSheetId="9" hidden="1">{"'Sheet1'!$L$16"}</definedName>
    <definedName name="_____________h3" hidden="1">{"'Sheet1'!$L$16"}</definedName>
    <definedName name="_____________h5" localSheetId="0" hidden="1">{"'Sheet1'!$L$16"}</definedName>
    <definedName name="_____________h5" localSheetId="6" hidden="1">{"'Sheet1'!$L$16"}</definedName>
    <definedName name="_____________h5" localSheetId="9" hidden="1">{"'Sheet1'!$L$16"}</definedName>
    <definedName name="_____________h5" hidden="1">{"'Sheet1'!$L$16"}</definedName>
    <definedName name="_____________h6" localSheetId="0" hidden="1">{"'Sheet1'!$L$16"}</definedName>
    <definedName name="_____________h6" localSheetId="6" hidden="1">{"'Sheet1'!$L$16"}</definedName>
    <definedName name="_____________h6" localSheetId="9" hidden="1">{"'Sheet1'!$L$16"}</definedName>
    <definedName name="_____________h6" hidden="1">{"'Sheet1'!$L$16"}</definedName>
    <definedName name="_____________h7" localSheetId="0" hidden="1">{"'Sheet1'!$L$16"}</definedName>
    <definedName name="_____________h7" localSheetId="6" hidden="1">{"'Sheet1'!$L$16"}</definedName>
    <definedName name="_____________h7" localSheetId="9" hidden="1">{"'Sheet1'!$L$16"}</definedName>
    <definedName name="_____________h7" hidden="1">{"'Sheet1'!$L$16"}</definedName>
    <definedName name="_____________h8" localSheetId="0" hidden="1">{"'Sheet1'!$L$16"}</definedName>
    <definedName name="_____________h8" localSheetId="6" hidden="1">{"'Sheet1'!$L$16"}</definedName>
    <definedName name="_____________h8" localSheetId="9" hidden="1">{"'Sheet1'!$L$16"}</definedName>
    <definedName name="_____________h8" hidden="1">{"'Sheet1'!$L$16"}</definedName>
    <definedName name="_____________h9" localSheetId="0" hidden="1">{"'Sheet1'!$L$16"}</definedName>
    <definedName name="_____________h9" localSheetId="6" hidden="1">{"'Sheet1'!$L$16"}</definedName>
    <definedName name="_____________h9" localSheetId="9" hidden="1">{"'Sheet1'!$L$16"}</definedName>
    <definedName name="_____________h9" hidden="1">{"'Sheet1'!$L$16"}</definedName>
    <definedName name="_____________hsm2">1.1289</definedName>
    <definedName name="_____________Lan1" localSheetId="0">{"Thuxm2.xls","Sheet1"}</definedName>
    <definedName name="_____________Lan1" localSheetId="9">{"Thuxm2.xls","Sheet1"}</definedName>
    <definedName name="_____________Lan1">{"Thuxm2.xls","Sheet1"}</definedName>
    <definedName name="_____________NSO2" localSheetId="0" hidden="1">{"'Sheet1'!$L$16"}</definedName>
    <definedName name="_____________NSO2" localSheetId="6" hidden="1">{"'Sheet1'!$L$16"}</definedName>
    <definedName name="_____________NSO2" localSheetId="9" hidden="1">{"'Sheet1'!$L$16"}</definedName>
    <definedName name="_____________NSO2" hidden="1">{"'Sheet1'!$L$16"}</definedName>
    <definedName name="_____________PA3" localSheetId="0" hidden="1">{"'Sheet1'!$L$16"}</definedName>
    <definedName name="_____________PA3" localSheetId="6" hidden="1">{"'Sheet1'!$L$16"}</definedName>
    <definedName name="_____________PA3" localSheetId="9" hidden="1">{"'Sheet1'!$L$16"}</definedName>
    <definedName name="_____________PA3" hidden="1">{"'Sheet1'!$L$16"}</definedName>
    <definedName name="_____________tt3" localSheetId="0" hidden="1">{"'Sheet1'!$L$16"}</definedName>
    <definedName name="_____________tt3" localSheetId="6" hidden="1">{"'Sheet1'!$L$16"}</definedName>
    <definedName name="_____________tt3" localSheetId="9" hidden="1">{"'Sheet1'!$L$16"}</definedName>
    <definedName name="_____________tt3" hidden="1">{"'Sheet1'!$L$16"}</definedName>
    <definedName name="____________a1" localSheetId="0" hidden="1">{"'Sheet1'!$L$16"}</definedName>
    <definedName name="____________a1" localSheetId="6" hidden="1">{"'Sheet1'!$L$16"}</definedName>
    <definedName name="____________a1" localSheetId="9" hidden="1">{"'Sheet1'!$L$16"}</definedName>
    <definedName name="____________a1" hidden="1">{"'Sheet1'!$L$16"}</definedName>
    <definedName name="____________DT12" localSheetId="0" hidden="1">{"'Sheet1'!$L$16"}</definedName>
    <definedName name="____________DT12" localSheetId="6" hidden="1">{"'Sheet1'!$L$16"}</definedName>
    <definedName name="____________DT12" localSheetId="9" hidden="1">{"'Sheet1'!$L$16"}</definedName>
    <definedName name="____________DT12" hidden="1">{"'Sheet1'!$L$16"}</definedName>
    <definedName name="____________h2" localSheetId="0" hidden="1">{"'Sheet1'!$L$16"}</definedName>
    <definedName name="____________h2" localSheetId="6" hidden="1">{"'Sheet1'!$L$16"}</definedName>
    <definedName name="____________h2" localSheetId="9" hidden="1">{"'Sheet1'!$L$16"}</definedName>
    <definedName name="____________h2" hidden="1">{"'Sheet1'!$L$16"}</definedName>
    <definedName name="____________h3" localSheetId="0" hidden="1">{"'Sheet1'!$L$16"}</definedName>
    <definedName name="____________h3" localSheetId="6" hidden="1">{"'Sheet1'!$L$16"}</definedName>
    <definedName name="____________h3" localSheetId="9" hidden="1">{"'Sheet1'!$L$16"}</definedName>
    <definedName name="____________h3" hidden="1">{"'Sheet1'!$L$16"}</definedName>
    <definedName name="____________h5" localSheetId="0" hidden="1">{"'Sheet1'!$L$16"}</definedName>
    <definedName name="____________h5" localSheetId="6" hidden="1">{"'Sheet1'!$L$16"}</definedName>
    <definedName name="____________h5" localSheetId="9" hidden="1">{"'Sheet1'!$L$16"}</definedName>
    <definedName name="____________h5" hidden="1">{"'Sheet1'!$L$16"}</definedName>
    <definedName name="____________h6" localSheetId="0" hidden="1">{"'Sheet1'!$L$16"}</definedName>
    <definedName name="____________h6" localSheetId="6" hidden="1">{"'Sheet1'!$L$16"}</definedName>
    <definedName name="____________h6" localSheetId="9" hidden="1">{"'Sheet1'!$L$16"}</definedName>
    <definedName name="____________h6" hidden="1">{"'Sheet1'!$L$16"}</definedName>
    <definedName name="____________h7" localSheetId="0" hidden="1">{"'Sheet1'!$L$16"}</definedName>
    <definedName name="____________h7" localSheetId="6" hidden="1">{"'Sheet1'!$L$16"}</definedName>
    <definedName name="____________h7" localSheetId="9" hidden="1">{"'Sheet1'!$L$16"}</definedName>
    <definedName name="____________h7" hidden="1">{"'Sheet1'!$L$16"}</definedName>
    <definedName name="____________h8" localSheetId="0" hidden="1">{"'Sheet1'!$L$16"}</definedName>
    <definedName name="____________h8" localSheetId="6" hidden="1">{"'Sheet1'!$L$16"}</definedName>
    <definedName name="____________h8" localSheetId="9" hidden="1">{"'Sheet1'!$L$16"}</definedName>
    <definedName name="____________h8" hidden="1">{"'Sheet1'!$L$16"}</definedName>
    <definedName name="____________h9" localSheetId="0" hidden="1">{"'Sheet1'!$L$16"}</definedName>
    <definedName name="____________h9" localSheetId="6" hidden="1">{"'Sheet1'!$L$16"}</definedName>
    <definedName name="____________h9" localSheetId="9" hidden="1">{"'Sheet1'!$L$16"}</definedName>
    <definedName name="____________h9" hidden="1">{"'Sheet1'!$L$16"}</definedName>
    <definedName name="____________hsm2">1.1289</definedName>
    <definedName name="____________Lan1" localSheetId="0">{"Thuxm2.xls","Sheet1"}</definedName>
    <definedName name="____________Lan1" localSheetId="9">{"Thuxm2.xls","Sheet1"}</definedName>
    <definedName name="____________Lan1">{"Thuxm2.xls","Sheet1"}</definedName>
    <definedName name="____________PA3" localSheetId="0" hidden="1">{"'Sheet1'!$L$16"}</definedName>
    <definedName name="____________PA3" localSheetId="6" hidden="1">{"'Sheet1'!$L$16"}</definedName>
    <definedName name="____________PA3" localSheetId="9" hidden="1">{"'Sheet1'!$L$16"}</definedName>
    <definedName name="____________PA3" hidden="1">{"'Sheet1'!$L$16"}</definedName>
    <definedName name="____________tt3" localSheetId="0" hidden="1">{"'Sheet1'!$L$16"}</definedName>
    <definedName name="____________tt3" localSheetId="6" hidden="1">{"'Sheet1'!$L$16"}</definedName>
    <definedName name="____________tt3" localSheetId="9" hidden="1">{"'Sheet1'!$L$16"}</definedName>
    <definedName name="____________tt3" hidden="1">{"'Sheet1'!$L$16"}</definedName>
    <definedName name="___________a1" localSheetId="0" hidden="1">{"'Sheet1'!$L$16"}</definedName>
    <definedName name="___________a1" localSheetId="6" hidden="1">{"'Sheet1'!$L$16"}</definedName>
    <definedName name="___________a1" localSheetId="9" hidden="1">{"'Sheet1'!$L$16"}</definedName>
    <definedName name="___________a1" hidden="1">{"'Sheet1'!$L$16"}</definedName>
    <definedName name="___________DT12" localSheetId="0" hidden="1">{"'Sheet1'!$L$16"}</definedName>
    <definedName name="___________DT12" localSheetId="6" hidden="1">{"'Sheet1'!$L$16"}</definedName>
    <definedName name="___________DT12" localSheetId="9" hidden="1">{"'Sheet1'!$L$16"}</definedName>
    <definedName name="___________DT12" hidden="1">{"'Sheet1'!$L$16"}</definedName>
    <definedName name="___________h1" localSheetId="0" hidden="1">{"'Sheet1'!$L$16"}</definedName>
    <definedName name="___________h1" localSheetId="6" hidden="1">{"'Sheet1'!$L$16"}</definedName>
    <definedName name="___________h1" localSheetId="9" hidden="1">{"'Sheet1'!$L$16"}</definedName>
    <definedName name="___________h1" hidden="1">{"'Sheet1'!$L$16"}</definedName>
    <definedName name="___________h2" localSheetId="0" hidden="1">{"'Sheet1'!$L$16"}</definedName>
    <definedName name="___________h2" localSheetId="6" hidden="1">{"'Sheet1'!$L$16"}</definedName>
    <definedName name="___________h2" localSheetId="9" hidden="1">{"'Sheet1'!$L$16"}</definedName>
    <definedName name="___________h2" hidden="1">{"'Sheet1'!$L$16"}</definedName>
    <definedName name="___________h3" localSheetId="0" hidden="1">{"'Sheet1'!$L$16"}</definedName>
    <definedName name="___________h3" localSheetId="6" hidden="1">{"'Sheet1'!$L$16"}</definedName>
    <definedName name="___________h3" localSheetId="9" hidden="1">{"'Sheet1'!$L$16"}</definedName>
    <definedName name="___________h3" hidden="1">{"'Sheet1'!$L$16"}</definedName>
    <definedName name="___________h5" localSheetId="0" hidden="1">{"'Sheet1'!$L$16"}</definedName>
    <definedName name="___________h5" localSheetId="6" hidden="1">{"'Sheet1'!$L$16"}</definedName>
    <definedName name="___________h5" localSheetId="9" hidden="1">{"'Sheet1'!$L$16"}</definedName>
    <definedName name="___________h5" hidden="1">{"'Sheet1'!$L$16"}</definedName>
    <definedName name="___________h6" localSheetId="0" hidden="1">{"'Sheet1'!$L$16"}</definedName>
    <definedName name="___________h6" localSheetId="6" hidden="1">{"'Sheet1'!$L$16"}</definedName>
    <definedName name="___________h6" localSheetId="9" hidden="1">{"'Sheet1'!$L$16"}</definedName>
    <definedName name="___________h6" hidden="1">{"'Sheet1'!$L$16"}</definedName>
    <definedName name="___________h7" localSheetId="0" hidden="1">{"'Sheet1'!$L$16"}</definedName>
    <definedName name="___________h7" localSheetId="6" hidden="1">{"'Sheet1'!$L$16"}</definedName>
    <definedName name="___________h7" localSheetId="9" hidden="1">{"'Sheet1'!$L$16"}</definedName>
    <definedName name="___________h7" hidden="1">{"'Sheet1'!$L$16"}</definedName>
    <definedName name="___________h8" localSheetId="0" hidden="1">{"'Sheet1'!$L$16"}</definedName>
    <definedName name="___________h8" localSheetId="6" hidden="1">{"'Sheet1'!$L$16"}</definedName>
    <definedName name="___________h8" localSheetId="9" hidden="1">{"'Sheet1'!$L$16"}</definedName>
    <definedName name="___________h8" hidden="1">{"'Sheet1'!$L$16"}</definedName>
    <definedName name="___________h9" localSheetId="0" hidden="1">{"'Sheet1'!$L$16"}</definedName>
    <definedName name="___________h9" localSheetId="6" hidden="1">{"'Sheet1'!$L$16"}</definedName>
    <definedName name="___________h9" localSheetId="9" hidden="1">{"'Sheet1'!$L$16"}</definedName>
    <definedName name="___________h9" hidden="1">{"'Sheet1'!$L$16"}</definedName>
    <definedName name="___________hsm2">1.1289</definedName>
    <definedName name="___________Lan1" localSheetId="0">{"Thuxm2.xls","Sheet1"}</definedName>
    <definedName name="___________Lan1" localSheetId="9">{"Thuxm2.xls","Sheet1"}</definedName>
    <definedName name="___________Lan1">{"Thuxm2.xls","Sheet1"}</definedName>
    <definedName name="___________NSO2" localSheetId="0" hidden="1">{"'Sheet1'!$L$16"}</definedName>
    <definedName name="___________NSO2" localSheetId="6" hidden="1">{"'Sheet1'!$L$16"}</definedName>
    <definedName name="___________NSO2" localSheetId="9" hidden="1">{"'Sheet1'!$L$16"}</definedName>
    <definedName name="___________NSO2" hidden="1">{"'Sheet1'!$L$16"}</definedName>
    <definedName name="___________PA3" localSheetId="0" hidden="1">{"'Sheet1'!$L$16"}</definedName>
    <definedName name="___________PA3" localSheetId="6" hidden="1">{"'Sheet1'!$L$16"}</definedName>
    <definedName name="___________PA3" localSheetId="9" hidden="1">{"'Sheet1'!$L$16"}</definedName>
    <definedName name="___________PA3" hidden="1">{"'Sheet1'!$L$16"}</definedName>
    <definedName name="___________tt3" localSheetId="0" hidden="1">{"'Sheet1'!$L$16"}</definedName>
    <definedName name="___________tt3" localSheetId="6" hidden="1">{"'Sheet1'!$L$16"}</definedName>
    <definedName name="___________tt3" localSheetId="9" hidden="1">{"'Sheet1'!$L$16"}</definedName>
    <definedName name="___________tt3" hidden="1">{"'Sheet1'!$L$16"}</definedName>
    <definedName name="__________a1" localSheetId="0" hidden="1">{"'Sheet1'!$L$16"}</definedName>
    <definedName name="__________a1" localSheetId="6" hidden="1">{"'Sheet1'!$L$16"}</definedName>
    <definedName name="__________a1" localSheetId="9" hidden="1">{"'Sheet1'!$L$16"}</definedName>
    <definedName name="__________a1" hidden="1">{"'Sheet1'!$L$16"}</definedName>
    <definedName name="__________a2" localSheetId="0" hidden="1">{"'Sheet1'!$L$16"}</definedName>
    <definedName name="__________a2" localSheetId="6" hidden="1">{"'Sheet1'!$L$16"}</definedName>
    <definedName name="__________a2" localSheetId="9" hidden="1">{"'Sheet1'!$L$16"}</definedName>
    <definedName name="__________a2" hidden="1">{"'Sheet1'!$L$16"}</definedName>
    <definedName name="__________DT12" localSheetId="0" hidden="1">{"'Sheet1'!$L$16"}</definedName>
    <definedName name="__________DT12" localSheetId="6" hidden="1">{"'Sheet1'!$L$16"}</definedName>
    <definedName name="__________DT12" localSheetId="9" hidden="1">{"'Sheet1'!$L$16"}</definedName>
    <definedName name="__________DT12" hidden="1">{"'Sheet1'!$L$16"}</definedName>
    <definedName name="__________Goi8" localSheetId="0" hidden="1">{"'Sheet1'!$L$16"}</definedName>
    <definedName name="__________Goi8" localSheetId="6" hidden="1">{"'Sheet1'!$L$16"}</definedName>
    <definedName name="__________Goi8" localSheetId="9" hidden="1">{"'Sheet1'!$L$16"}</definedName>
    <definedName name="__________Goi8" hidden="1">{"'Sheet1'!$L$16"}</definedName>
    <definedName name="__________h1" localSheetId="0" hidden="1">{"'Sheet1'!$L$16"}</definedName>
    <definedName name="__________h1" localSheetId="6" hidden="1">{"'Sheet1'!$L$16"}</definedName>
    <definedName name="__________h1" localSheetId="9" hidden="1">{"'Sheet1'!$L$16"}</definedName>
    <definedName name="__________h1" hidden="1">{"'Sheet1'!$L$16"}</definedName>
    <definedName name="__________h2" localSheetId="0" hidden="1">{"'Sheet1'!$L$16"}</definedName>
    <definedName name="__________h2" localSheetId="6" hidden="1">{"'Sheet1'!$L$16"}</definedName>
    <definedName name="__________h2" localSheetId="9" hidden="1">{"'Sheet1'!$L$16"}</definedName>
    <definedName name="__________h2" hidden="1">{"'Sheet1'!$L$16"}</definedName>
    <definedName name="__________h3" localSheetId="0" hidden="1">{"'Sheet1'!$L$16"}</definedName>
    <definedName name="__________h3" localSheetId="6" hidden="1">{"'Sheet1'!$L$16"}</definedName>
    <definedName name="__________h3" localSheetId="9" hidden="1">{"'Sheet1'!$L$16"}</definedName>
    <definedName name="__________h3" hidden="1">{"'Sheet1'!$L$16"}</definedName>
    <definedName name="__________h5" localSheetId="0" hidden="1">{"'Sheet1'!$L$16"}</definedName>
    <definedName name="__________h5" localSheetId="6" hidden="1">{"'Sheet1'!$L$16"}</definedName>
    <definedName name="__________h5" localSheetId="9" hidden="1">{"'Sheet1'!$L$16"}</definedName>
    <definedName name="__________h5" hidden="1">{"'Sheet1'!$L$16"}</definedName>
    <definedName name="__________h6" localSheetId="0" hidden="1">{"'Sheet1'!$L$16"}</definedName>
    <definedName name="__________h6" localSheetId="6" hidden="1">{"'Sheet1'!$L$16"}</definedName>
    <definedName name="__________h6" localSheetId="9" hidden="1">{"'Sheet1'!$L$16"}</definedName>
    <definedName name="__________h6" hidden="1">{"'Sheet1'!$L$16"}</definedName>
    <definedName name="__________h7" localSheetId="0" hidden="1">{"'Sheet1'!$L$16"}</definedName>
    <definedName name="__________h7" localSheetId="6" hidden="1">{"'Sheet1'!$L$16"}</definedName>
    <definedName name="__________h7" localSheetId="9" hidden="1">{"'Sheet1'!$L$16"}</definedName>
    <definedName name="__________h7" hidden="1">{"'Sheet1'!$L$16"}</definedName>
    <definedName name="__________h8" localSheetId="0" hidden="1">{"'Sheet1'!$L$16"}</definedName>
    <definedName name="__________h8" localSheetId="6" hidden="1">{"'Sheet1'!$L$16"}</definedName>
    <definedName name="__________h8" localSheetId="9" hidden="1">{"'Sheet1'!$L$16"}</definedName>
    <definedName name="__________h8" hidden="1">{"'Sheet1'!$L$16"}</definedName>
    <definedName name="__________h9" localSheetId="0" hidden="1">{"'Sheet1'!$L$16"}</definedName>
    <definedName name="__________h9" localSheetId="6" hidden="1">{"'Sheet1'!$L$16"}</definedName>
    <definedName name="__________h9" localSheetId="9" hidden="1">{"'Sheet1'!$L$16"}</definedName>
    <definedName name="__________h9" hidden="1">{"'Sheet1'!$L$16"}</definedName>
    <definedName name="__________hsm2">1.1289</definedName>
    <definedName name="__________Lan1" localSheetId="0">{"Thuxm2.xls","Sheet1"}</definedName>
    <definedName name="__________Lan1" localSheetId="9">{"Thuxm2.xls","Sheet1"}</definedName>
    <definedName name="__________Lan1">{"Thuxm2.xls","Sheet1"}</definedName>
    <definedName name="__________LAN3" localSheetId="0" hidden="1">{"'Sheet1'!$L$16"}</definedName>
    <definedName name="__________LAN3" localSheetId="6" hidden="1">{"'Sheet1'!$L$16"}</definedName>
    <definedName name="__________LAN3" localSheetId="9" hidden="1">{"'Sheet1'!$L$16"}</definedName>
    <definedName name="__________LAN3" hidden="1">{"'Sheet1'!$L$16"}</definedName>
    <definedName name="__________PA3" localSheetId="0" hidden="1">{"'Sheet1'!$L$16"}</definedName>
    <definedName name="__________PA3" localSheetId="6" hidden="1">{"'Sheet1'!$L$16"}</definedName>
    <definedName name="__________PA3" localSheetId="9" hidden="1">{"'Sheet1'!$L$16"}</definedName>
    <definedName name="__________PA3" hidden="1">{"'Sheet1'!$L$16"}</definedName>
    <definedName name="__________tt3" localSheetId="0" hidden="1">{"'Sheet1'!$L$16"}</definedName>
    <definedName name="__________tt3" localSheetId="6" hidden="1">{"'Sheet1'!$L$16"}</definedName>
    <definedName name="__________tt3" localSheetId="9" hidden="1">{"'Sheet1'!$L$16"}</definedName>
    <definedName name="__________tt3" hidden="1">{"'Sheet1'!$L$16"}</definedName>
    <definedName name="_________a1" localSheetId="0" hidden="1">{"'Sheet1'!$L$16"}</definedName>
    <definedName name="_________a1" localSheetId="6" hidden="1">{"'Sheet1'!$L$16"}</definedName>
    <definedName name="_________a1" localSheetId="9" hidden="1">{"'Sheet1'!$L$16"}</definedName>
    <definedName name="_________a1" hidden="1">{"'Sheet1'!$L$16"}</definedName>
    <definedName name="_________ban2" localSheetId="0" hidden="1">{"'Sheet1'!$L$16"}</definedName>
    <definedName name="_________ban2" localSheetId="6" hidden="1">{"'Sheet1'!$L$16"}</definedName>
    <definedName name="_________ban2" localSheetId="9" hidden="1">{"'Sheet1'!$L$16"}</definedName>
    <definedName name="_________ban2" hidden="1">{"'Sheet1'!$L$16"}</definedName>
    <definedName name="_________DT12" localSheetId="0" hidden="1">{"'Sheet1'!$L$16"}</definedName>
    <definedName name="_________DT12" localSheetId="6" hidden="1">{"'Sheet1'!$L$16"}</definedName>
    <definedName name="_________DT12" localSheetId="9" hidden="1">{"'Sheet1'!$L$16"}</definedName>
    <definedName name="_________DT12" hidden="1">{"'Sheet1'!$L$16"}</definedName>
    <definedName name="_________h1" localSheetId="0" hidden="1">{"'Sheet1'!$L$16"}</definedName>
    <definedName name="_________h1" localSheetId="6" hidden="1">{"'Sheet1'!$L$16"}</definedName>
    <definedName name="_________h1" localSheetId="9" hidden="1">{"'Sheet1'!$L$16"}</definedName>
    <definedName name="_________h1" hidden="1">{"'Sheet1'!$L$16"}</definedName>
    <definedName name="_________h2" localSheetId="0" hidden="1">{"'Sheet1'!$L$16"}</definedName>
    <definedName name="_________h2" localSheetId="6" hidden="1">{"'Sheet1'!$L$16"}</definedName>
    <definedName name="_________h2" localSheetId="9" hidden="1">{"'Sheet1'!$L$16"}</definedName>
    <definedName name="_________h2" hidden="1">{"'Sheet1'!$L$16"}</definedName>
    <definedName name="_________h3" localSheetId="0" hidden="1">{"'Sheet1'!$L$16"}</definedName>
    <definedName name="_________h3" localSheetId="6" hidden="1">{"'Sheet1'!$L$16"}</definedName>
    <definedName name="_________h3" localSheetId="9" hidden="1">{"'Sheet1'!$L$16"}</definedName>
    <definedName name="_________h3" hidden="1">{"'Sheet1'!$L$16"}</definedName>
    <definedName name="_________h5" localSheetId="0" hidden="1">{"'Sheet1'!$L$16"}</definedName>
    <definedName name="_________h5" localSheetId="6" hidden="1">{"'Sheet1'!$L$16"}</definedName>
    <definedName name="_________h5" localSheetId="9" hidden="1">{"'Sheet1'!$L$16"}</definedName>
    <definedName name="_________h5" hidden="1">{"'Sheet1'!$L$16"}</definedName>
    <definedName name="_________h6" localSheetId="0" hidden="1">{"'Sheet1'!$L$16"}</definedName>
    <definedName name="_________h6" localSheetId="6" hidden="1">{"'Sheet1'!$L$16"}</definedName>
    <definedName name="_________h6" localSheetId="9" hidden="1">{"'Sheet1'!$L$16"}</definedName>
    <definedName name="_________h6" hidden="1">{"'Sheet1'!$L$16"}</definedName>
    <definedName name="_________h7" localSheetId="0" hidden="1">{"'Sheet1'!$L$16"}</definedName>
    <definedName name="_________h7" localSheetId="6" hidden="1">{"'Sheet1'!$L$16"}</definedName>
    <definedName name="_________h7" localSheetId="9" hidden="1">{"'Sheet1'!$L$16"}</definedName>
    <definedName name="_________h7" hidden="1">{"'Sheet1'!$L$16"}</definedName>
    <definedName name="_________h8" localSheetId="0" hidden="1">{"'Sheet1'!$L$16"}</definedName>
    <definedName name="_________h8" localSheetId="6" hidden="1">{"'Sheet1'!$L$16"}</definedName>
    <definedName name="_________h8" localSheetId="9" hidden="1">{"'Sheet1'!$L$16"}</definedName>
    <definedName name="_________h8" hidden="1">{"'Sheet1'!$L$16"}</definedName>
    <definedName name="_________h9" localSheetId="0" hidden="1">{"'Sheet1'!$L$16"}</definedName>
    <definedName name="_________h9" localSheetId="6" hidden="1">{"'Sheet1'!$L$16"}</definedName>
    <definedName name="_________h9" localSheetId="9" hidden="1">{"'Sheet1'!$L$16"}</definedName>
    <definedName name="_________h9" hidden="1">{"'Sheet1'!$L$16"}</definedName>
    <definedName name="_________hsm2">1.1289</definedName>
    <definedName name="_________hu1" localSheetId="0" hidden="1">{"'Sheet1'!$L$16"}</definedName>
    <definedName name="_________hu1" localSheetId="6" hidden="1">{"'Sheet1'!$L$16"}</definedName>
    <definedName name="_________hu1" localSheetId="9" hidden="1">{"'Sheet1'!$L$16"}</definedName>
    <definedName name="_________hu1" hidden="1">{"'Sheet1'!$L$16"}</definedName>
    <definedName name="_________hu2" localSheetId="0" hidden="1">{"'Sheet1'!$L$16"}</definedName>
    <definedName name="_________hu2" localSheetId="6" hidden="1">{"'Sheet1'!$L$16"}</definedName>
    <definedName name="_________hu2" localSheetId="9" hidden="1">{"'Sheet1'!$L$16"}</definedName>
    <definedName name="_________hu2" hidden="1">{"'Sheet1'!$L$16"}</definedName>
    <definedName name="_________hu5" localSheetId="0" hidden="1">{"'Sheet1'!$L$16"}</definedName>
    <definedName name="_________hu5" localSheetId="6" hidden="1">{"'Sheet1'!$L$16"}</definedName>
    <definedName name="_________hu5" localSheetId="9" hidden="1">{"'Sheet1'!$L$16"}</definedName>
    <definedName name="_________hu5" hidden="1">{"'Sheet1'!$L$16"}</definedName>
    <definedName name="_________hu6" localSheetId="0" hidden="1">{"'Sheet1'!$L$16"}</definedName>
    <definedName name="_________hu6" localSheetId="6" hidden="1">{"'Sheet1'!$L$16"}</definedName>
    <definedName name="_________hu6" localSheetId="9" hidden="1">{"'Sheet1'!$L$16"}</definedName>
    <definedName name="_________hu6" hidden="1">{"'Sheet1'!$L$16"}</definedName>
    <definedName name="_________Lan1" localSheetId="0">{"Thuxm2.xls","Sheet1"}</definedName>
    <definedName name="_________Lan1" localSheetId="9">{"Thuxm2.xls","Sheet1"}</definedName>
    <definedName name="_________Lan1">{"Thuxm2.xls","Sheet1"}</definedName>
    <definedName name="_________M36" localSheetId="0" hidden="1">{"'Sheet1'!$L$16"}</definedName>
    <definedName name="_________M36" localSheetId="6" hidden="1">{"'Sheet1'!$L$16"}</definedName>
    <definedName name="_________M36" localSheetId="9" hidden="1">{"'Sheet1'!$L$16"}</definedName>
    <definedName name="_________M36" hidden="1">{"'Sheet1'!$L$16"}</definedName>
    <definedName name="_________NSO2" localSheetId="0" hidden="1">{"'Sheet1'!$L$16"}</definedName>
    <definedName name="_________NSO2" localSheetId="6" hidden="1">{"'Sheet1'!$L$16"}</definedName>
    <definedName name="_________NSO2" localSheetId="9" hidden="1">{"'Sheet1'!$L$16"}</definedName>
    <definedName name="_________NSO2" hidden="1">{"'Sheet1'!$L$16"}</definedName>
    <definedName name="_________PA3" localSheetId="0" hidden="1">{"'Sheet1'!$L$16"}</definedName>
    <definedName name="_________PA3" localSheetId="6" hidden="1">{"'Sheet1'!$L$16"}</definedName>
    <definedName name="_________PA3" localSheetId="9" hidden="1">{"'Sheet1'!$L$16"}</definedName>
    <definedName name="_________PA3" hidden="1">{"'Sheet1'!$L$16"}</definedName>
    <definedName name="_________Tru21" localSheetId="0" hidden="1">{"'Sheet1'!$L$16"}</definedName>
    <definedName name="_________Tru21" localSheetId="6" hidden="1">{"'Sheet1'!$L$16"}</definedName>
    <definedName name="_________Tru21" localSheetId="9" hidden="1">{"'Sheet1'!$L$16"}</definedName>
    <definedName name="_________Tru21" hidden="1">{"'Sheet1'!$L$16"}</definedName>
    <definedName name="_________tt3" localSheetId="0" hidden="1">{"'Sheet1'!$L$16"}</definedName>
    <definedName name="_________tt3" localSheetId="6" hidden="1">{"'Sheet1'!$L$16"}</definedName>
    <definedName name="_________tt3" localSheetId="9" hidden="1">{"'Sheet1'!$L$16"}</definedName>
    <definedName name="_________tt3" hidden="1">{"'Sheet1'!$L$16"}</definedName>
    <definedName name="_________VLP2" localSheetId="0" hidden="1">{"'Sheet1'!$L$16"}</definedName>
    <definedName name="_________VLP2" localSheetId="6" hidden="1">{"'Sheet1'!$L$16"}</definedName>
    <definedName name="_________VLP2" localSheetId="9" hidden="1">{"'Sheet1'!$L$16"}</definedName>
    <definedName name="_________VLP2" hidden="1">{"'Sheet1'!$L$16"}</definedName>
    <definedName name="________a1" localSheetId="0" hidden="1">{"'Sheet1'!$L$16"}</definedName>
    <definedName name="________a1" localSheetId="6" hidden="1">{"'Sheet1'!$L$16"}</definedName>
    <definedName name="________a1" localSheetId="9" hidden="1">{"'Sheet1'!$L$16"}</definedName>
    <definedName name="________a1" hidden="1">{"'Sheet1'!$L$16"}</definedName>
    <definedName name="________a2" localSheetId="0" hidden="1">{"'Sheet1'!$L$16"}</definedName>
    <definedName name="________a2" localSheetId="6" hidden="1">{"'Sheet1'!$L$16"}</definedName>
    <definedName name="________a2" localSheetId="9" hidden="1">{"'Sheet1'!$L$16"}</definedName>
    <definedName name="________a2" hidden="1">{"'Sheet1'!$L$16"}</definedName>
    <definedName name="________DT12" localSheetId="0" hidden="1">{"'Sheet1'!$L$16"}</definedName>
    <definedName name="________DT12" localSheetId="6" hidden="1">{"'Sheet1'!$L$16"}</definedName>
    <definedName name="________DT12" localSheetId="9" hidden="1">{"'Sheet1'!$L$16"}</definedName>
    <definedName name="________DT12" hidden="1">{"'Sheet1'!$L$16"}</definedName>
    <definedName name="________Goi8" localSheetId="0" hidden="1">{"'Sheet1'!$L$16"}</definedName>
    <definedName name="________Goi8" localSheetId="6" hidden="1">{"'Sheet1'!$L$16"}</definedName>
    <definedName name="________Goi8" localSheetId="9" hidden="1">{"'Sheet1'!$L$16"}</definedName>
    <definedName name="________Goi8" hidden="1">{"'Sheet1'!$L$16"}</definedName>
    <definedName name="________h1" localSheetId="0" hidden="1">{"'Sheet1'!$L$16"}</definedName>
    <definedName name="________h1" localSheetId="6" hidden="1">{"'Sheet1'!$L$16"}</definedName>
    <definedName name="________h1" localSheetId="9" hidden="1">{"'Sheet1'!$L$16"}</definedName>
    <definedName name="________h1" hidden="1">{"'Sheet1'!$L$16"}</definedName>
    <definedName name="________h2" localSheetId="0" hidden="1">{"'Sheet1'!$L$16"}</definedName>
    <definedName name="________h2" localSheetId="6" hidden="1">{"'Sheet1'!$L$16"}</definedName>
    <definedName name="________h2" localSheetId="9" hidden="1">{"'Sheet1'!$L$16"}</definedName>
    <definedName name="________h2" hidden="1">{"'Sheet1'!$L$16"}</definedName>
    <definedName name="________h3" localSheetId="0" hidden="1">{"'Sheet1'!$L$16"}</definedName>
    <definedName name="________h3" localSheetId="6" hidden="1">{"'Sheet1'!$L$16"}</definedName>
    <definedName name="________h3" localSheetId="9" hidden="1">{"'Sheet1'!$L$16"}</definedName>
    <definedName name="________h3" hidden="1">{"'Sheet1'!$L$16"}</definedName>
    <definedName name="________h5" localSheetId="0" hidden="1">{"'Sheet1'!$L$16"}</definedName>
    <definedName name="________h5" localSheetId="6" hidden="1">{"'Sheet1'!$L$16"}</definedName>
    <definedName name="________h5" localSheetId="9" hidden="1">{"'Sheet1'!$L$16"}</definedName>
    <definedName name="________h5" hidden="1">{"'Sheet1'!$L$16"}</definedName>
    <definedName name="________h6" localSheetId="0" hidden="1">{"'Sheet1'!$L$16"}</definedName>
    <definedName name="________h6" localSheetId="6" hidden="1">{"'Sheet1'!$L$16"}</definedName>
    <definedName name="________h6" localSheetId="9" hidden="1">{"'Sheet1'!$L$16"}</definedName>
    <definedName name="________h6" hidden="1">{"'Sheet1'!$L$16"}</definedName>
    <definedName name="________h7" localSheetId="0" hidden="1">{"'Sheet1'!$L$16"}</definedName>
    <definedName name="________h7" localSheetId="6" hidden="1">{"'Sheet1'!$L$16"}</definedName>
    <definedName name="________h7" localSheetId="9" hidden="1">{"'Sheet1'!$L$16"}</definedName>
    <definedName name="________h7" hidden="1">{"'Sheet1'!$L$16"}</definedName>
    <definedName name="________h8" localSheetId="0" hidden="1">{"'Sheet1'!$L$16"}</definedName>
    <definedName name="________h8" localSheetId="6" hidden="1">{"'Sheet1'!$L$16"}</definedName>
    <definedName name="________h8" localSheetId="9" hidden="1">{"'Sheet1'!$L$16"}</definedName>
    <definedName name="________h8" hidden="1">{"'Sheet1'!$L$16"}</definedName>
    <definedName name="________h9" localSheetId="0" hidden="1">{"'Sheet1'!$L$16"}</definedName>
    <definedName name="________h9" localSheetId="6" hidden="1">{"'Sheet1'!$L$16"}</definedName>
    <definedName name="________h9" localSheetId="9" hidden="1">{"'Sheet1'!$L$16"}</definedName>
    <definedName name="________h9" hidden="1">{"'Sheet1'!$L$16"}</definedName>
    <definedName name="________hsm2">1.1289</definedName>
    <definedName name="________hu1" localSheetId="0" hidden="1">{"'Sheet1'!$L$16"}</definedName>
    <definedName name="________hu1" localSheetId="6" hidden="1">{"'Sheet1'!$L$16"}</definedName>
    <definedName name="________hu1" localSheetId="9" hidden="1">{"'Sheet1'!$L$16"}</definedName>
    <definedName name="________hu1" hidden="1">{"'Sheet1'!$L$16"}</definedName>
    <definedName name="________hu2" localSheetId="0" hidden="1">{"'Sheet1'!$L$16"}</definedName>
    <definedName name="________hu2" localSheetId="6" hidden="1">{"'Sheet1'!$L$16"}</definedName>
    <definedName name="________hu2" localSheetId="9" hidden="1">{"'Sheet1'!$L$16"}</definedName>
    <definedName name="________hu2" hidden="1">{"'Sheet1'!$L$16"}</definedName>
    <definedName name="________hu5" localSheetId="0" hidden="1">{"'Sheet1'!$L$16"}</definedName>
    <definedName name="________hu5" localSheetId="6" hidden="1">{"'Sheet1'!$L$16"}</definedName>
    <definedName name="________hu5" localSheetId="9" hidden="1">{"'Sheet1'!$L$16"}</definedName>
    <definedName name="________hu5" hidden="1">{"'Sheet1'!$L$16"}</definedName>
    <definedName name="________hu6" localSheetId="0" hidden="1">{"'Sheet1'!$L$16"}</definedName>
    <definedName name="________hu6" localSheetId="6" hidden="1">{"'Sheet1'!$L$16"}</definedName>
    <definedName name="________hu6" localSheetId="9" hidden="1">{"'Sheet1'!$L$16"}</definedName>
    <definedName name="________hu6" hidden="1">{"'Sheet1'!$L$16"}</definedName>
    <definedName name="________Lan1" localSheetId="0">{"Thuxm2.xls","Sheet1"}</definedName>
    <definedName name="________Lan1" localSheetId="9">{"Thuxm2.xls","Sheet1"}</definedName>
    <definedName name="________Lan1">{"Thuxm2.xls","Sheet1"}</definedName>
    <definedName name="________LAN3" localSheetId="0" hidden="1">{"'Sheet1'!$L$16"}</definedName>
    <definedName name="________LAN3" localSheetId="6" hidden="1">{"'Sheet1'!$L$16"}</definedName>
    <definedName name="________LAN3" localSheetId="9" hidden="1">{"'Sheet1'!$L$16"}</definedName>
    <definedName name="________LAN3" hidden="1">{"'Sheet1'!$L$16"}</definedName>
    <definedName name="________PA3" localSheetId="0" hidden="1">{"'Sheet1'!$L$16"}</definedName>
    <definedName name="________PA3" localSheetId="6" hidden="1">{"'Sheet1'!$L$16"}</definedName>
    <definedName name="________PA3" localSheetId="9" hidden="1">{"'Sheet1'!$L$16"}</definedName>
    <definedName name="________PA3" hidden="1">{"'Sheet1'!$L$16"}</definedName>
    <definedName name="________tt3" localSheetId="0" hidden="1">{"'Sheet1'!$L$16"}</definedName>
    <definedName name="________tt3" localSheetId="6" hidden="1">{"'Sheet1'!$L$16"}</definedName>
    <definedName name="________tt3" localSheetId="9" hidden="1">{"'Sheet1'!$L$16"}</definedName>
    <definedName name="________tt3" hidden="1">{"'Sheet1'!$L$16"}</definedName>
    <definedName name="________VLP2" localSheetId="0" hidden="1">{"'Sheet1'!$L$16"}</definedName>
    <definedName name="________VLP2" localSheetId="6" hidden="1">{"'Sheet1'!$L$16"}</definedName>
    <definedName name="________VLP2" localSheetId="9" hidden="1">{"'Sheet1'!$L$16"}</definedName>
    <definedName name="________VLP2" hidden="1">{"'Sheet1'!$L$16"}</definedName>
    <definedName name="_______a1" localSheetId="0" hidden="1">{"'Sheet1'!$L$16"}</definedName>
    <definedName name="_______a1" localSheetId="6" hidden="1">{"'Sheet1'!$L$16"}</definedName>
    <definedName name="_______a1" localSheetId="9" hidden="1">{"'Sheet1'!$L$16"}</definedName>
    <definedName name="_______a1" hidden="1">{"'Sheet1'!$L$16"}</definedName>
    <definedName name="_______a2" localSheetId="0" hidden="1">{"'Sheet1'!$L$16"}</definedName>
    <definedName name="_______a2" localSheetId="6" hidden="1">{"'Sheet1'!$L$16"}</definedName>
    <definedName name="_______a2" localSheetId="9" hidden="1">{"'Sheet1'!$L$16"}</definedName>
    <definedName name="_______a2" hidden="1">{"'Sheet1'!$L$16"}</definedName>
    <definedName name="_______ban2" localSheetId="0" hidden="1">{"'Sheet1'!$L$16"}</definedName>
    <definedName name="_______ban2" localSheetId="6" hidden="1">{"'Sheet1'!$L$16"}</definedName>
    <definedName name="_______ban2" localSheetId="9" hidden="1">{"'Sheet1'!$L$16"}</definedName>
    <definedName name="_______ban2" hidden="1">{"'Sheet1'!$L$16"}</definedName>
    <definedName name="_______DT12" localSheetId="0" hidden="1">{"'Sheet1'!$L$16"}</definedName>
    <definedName name="_______DT12" localSheetId="6" hidden="1">{"'Sheet1'!$L$16"}</definedName>
    <definedName name="_______DT12" localSheetId="9" hidden="1">{"'Sheet1'!$L$16"}</definedName>
    <definedName name="_______DT12" hidden="1">{"'Sheet1'!$L$16"}</definedName>
    <definedName name="_______Goi8" localSheetId="0" hidden="1">{"'Sheet1'!$L$16"}</definedName>
    <definedName name="_______Goi8" localSheetId="6" hidden="1">{"'Sheet1'!$L$16"}</definedName>
    <definedName name="_______Goi8" localSheetId="9" hidden="1">{"'Sheet1'!$L$16"}</definedName>
    <definedName name="_______Goi8" hidden="1">{"'Sheet1'!$L$16"}</definedName>
    <definedName name="_______h1" localSheetId="0" hidden="1">{"'Sheet1'!$L$16"}</definedName>
    <definedName name="_______h1" localSheetId="6" hidden="1">{"'Sheet1'!$L$16"}</definedName>
    <definedName name="_______h1" localSheetId="9" hidden="1">{"'Sheet1'!$L$16"}</definedName>
    <definedName name="_______h1" hidden="1">{"'Sheet1'!$L$16"}</definedName>
    <definedName name="_______h2" localSheetId="0" hidden="1">{"'Sheet1'!$L$16"}</definedName>
    <definedName name="_______h2" localSheetId="6" hidden="1">{"'Sheet1'!$L$16"}</definedName>
    <definedName name="_______h2" localSheetId="9" hidden="1">{"'Sheet1'!$L$16"}</definedName>
    <definedName name="_______h2" hidden="1">{"'Sheet1'!$L$16"}</definedName>
    <definedName name="_______h3" localSheetId="0" hidden="1">{"'Sheet1'!$L$16"}</definedName>
    <definedName name="_______h3" localSheetId="6" hidden="1">{"'Sheet1'!$L$16"}</definedName>
    <definedName name="_______h3" localSheetId="9" hidden="1">{"'Sheet1'!$L$16"}</definedName>
    <definedName name="_______h3" hidden="1">{"'Sheet1'!$L$16"}</definedName>
    <definedName name="_______h5" localSheetId="0" hidden="1">{"'Sheet1'!$L$16"}</definedName>
    <definedName name="_______h5" localSheetId="6" hidden="1">{"'Sheet1'!$L$16"}</definedName>
    <definedName name="_______h5" localSheetId="9" hidden="1">{"'Sheet1'!$L$16"}</definedName>
    <definedName name="_______h5" hidden="1">{"'Sheet1'!$L$16"}</definedName>
    <definedName name="_______h6" localSheetId="0" hidden="1">{"'Sheet1'!$L$16"}</definedName>
    <definedName name="_______h6" localSheetId="6" hidden="1">{"'Sheet1'!$L$16"}</definedName>
    <definedName name="_______h6" localSheetId="9" hidden="1">{"'Sheet1'!$L$16"}</definedName>
    <definedName name="_______h6" hidden="1">{"'Sheet1'!$L$16"}</definedName>
    <definedName name="_______h7" localSheetId="0" hidden="1">{"'Sheet1'!$L$16"}</definedName>
    <definedName name="_______h7" localSheetId="6" hidden="1">{"'Sheet1'!$L$16"}</definedName>
    <definedName name="_______h7" localSheetId="9" hidden="1">{"'Sheet1'!$L$16"}</definedName>
    <definedName name="_______h7" hidden="1">{"'Sheet1'!$L$16"}</definedName>
    <definedName name="_______h8" localSheetId="0" hidden="1">{"'Sheet1'!$L$16"}</definedName>
    <definedName name="_______h8" localSheetId="6" hidden="1">{"'Sheet1'!$L$16"}</definedName>
    <definedName name="_______h8" localSheetId="9" hidden="1">{"'Sheet1'!$L$16"}</definedName>
    <definedName name="_______h8" hidden="1">{"'Sheet1'!$L$16"}</definedName>
    <definedName name="_______h9" localSheetId="0" hidden="1">{"'Sheet1'!$L$16"}</definedName>
    <definedName name="_______h9" localSheetId="6" hidden="1">{"'Sheet1'!$L$16"}</definedName>
    <definedName name="_______h9" localSheetId="9" hidden="1">{"'Sheet1'!$L$16"}</definedName>
    <definedName name="_______h9" hidden="1">{"'Sheet1'!$L$16"}</definedName>
    <definedName name="_______hsm2">1.1289</definedName>
    <definedName name="_______hu1" localSheetId="0" hidden="1">{"'Sheet1'!$L$16"}</definedName>
    <definedName name="_______hu1" localSheetId="6" hidden="1">{"'Sheet1'!$L$16"}</definedName>
    <definedName name="_______hu1" localSheetId="9" hidden="1">{"'Sheet1'!$L$16"}</definedName>
    <definedName name="_______hu1" hidden="1">{"'Sheet1'!$L$16"}</definedName>
    <definedName name="_______hu2" localSheetId="0" hidden="1">{"'Sheet1'!$L$16"}</definedName>
    <definedName name="_______hu2" localSheetId="6" hidden="1">{"'Sheet1'!$L$16"}</definedName>
    <definedName name="_______hu2" localSheetId="9" hidden="1">{"'Sheet1'!$L$16"}</definedName>
    <definedName name="_______hu2" hidden="1">{"'Sheet1'!$L$16"}</definedName>
    <definedName name="_______hu5" localSheetId="0" hidden="1">{"'Sheet1'!$L$16"}</definedName>
    <definedName name="_______hu5" localSheetId="6" hidden="1">{"'Sheet1'!$L$16"}</definedName>
    <definedName name="_______hu5" localSheetId="9" hidden="1">{"'Sheet1'!$L$16"}</definedName>
    <definedName name="_______hu5" hidden="1">{"'Sheet1'!$L$16"}</definedName>
    <definedName name="_______hu6" localSheetId="0" hidden="1">{"'Sheet1'!$L$16"}</definedName>
    <definedName name="_______hu6" localSheetId="6" hidden="1">{"'Sheet1'!$L$16"}</definedName>
    <definedName name="_______hu6" localSheetId="9" hidden="1">{"'Sheet1'!$L$16"}</definedName>
    <definedName name="_______hu6" hidden="1">{"'Sheet1'!$L$16"}</definedName>
    <definedName name="_______Lan1" localSheetId="0">{"Thuxm2.xls","Sheet1"}</definedName>
    <definedName name="_______Lan1" localSheetId="9">{"Thuxm2.xls","Sheet1"}</definedName>
    <definedName name="_______Lan1">{"Thuxm2.xls","Sheet1"}</definedName>
    <definedName name="_______LAN3" localSheetId="0" hidden="1">{"'Sheet1'!$L$16"}</definedName>
    <definedName name="_______LAN3" localSheetId="6" hidden="1">{"'Sheet1'!$L$16"}</definedName>
    <definedName name="_______LAN3" localSheetId="9" hidden="1">{"'Sheet1'!$L$16"}</definedName>
    <definedName name="_______LAN3" hidden="1">{"'Sheet1'!$L$16"}</definedName>
    <definedName name="_______M36" localSheetId="0" hidden="1">{"'Sheet1'!$L$16"}</definedName>
    <definedName name="_______M36" localSheetId="6" hidden="1">{"'Sheet1'!$L$16"}</definedName>
    <definedName name="_______M36" localSheetId="9" hidden="1">{"'Sheet1'!$L$16"}</definedName>
    <definedName name="_______M36" hidden="1">{"'Sheet1'!$L$16"}</definedName>
    <definedName name="_______NSO2" localSheetId="0" hidden="1">{"'Sheet1'!$L$16"}</definedName>
    <definedName name="_______NSO2" localSheetId="6" hidden="1">{"'Sheet1'!$L$16"}</definedName>
    <definedName name="_______NSO2" localSheetId="9" hidden="1">{"'Sheet1'!$L$16"}</definedName>
    <definedName name="_______NSO2" hidden="1">{"'Sheet1'!$L$16"}</definedName>
    <definedName name="_______PA3" localSheetId="0" hidden="1">{"'Sheet1'!$L$16"}</definedName>
    <definedName name="_______PA3" localSheetId="6" hidden="1">{"'Sheet1'!$L$16"}</definedName>
    <definedName name="_______PA3" localSheetId="9" hidden="1">{"'Sheet1'!$L$16"}</definedName>
    <definedName name="_______PA3" hidden="1">{"'Sheet1'!$L$16"}</definedName>
    <definedName name="_______Tru21" localSheetId="0" hidden="1">{"'Sheet1'!$L$16"}</definedName>
    <definedName name="_______Tru21" localSheetId="6" hidden="1">{"'Sheet1'!$L$16"}</definedName>
    <definedName name="_______Tru21" localSheetId="9" hidden="1">{"'Sheet1'!$L$16"}</definedName>
    <definedName name="_______Tru21" hidden="1">{"'Sheet1'!$L$16"}</definedName>
    <definedName name="_______tt3" localSheetId="0" hidden="1">{"'Sheet1'!$L$16"}</definedName>
    <definedName name="_______tt3" localSheetId="6" hidden="1">{"'Sheet1'!$L$16"}</definedName>
    <definedName name="_______tt3" localSheetId="9" hidden="1">{"'Sheet1'!$L$16"}</definedName>
    <definedName name="_______tt3" hidden="1">{"'Sheet1'!$L$16"}</definedName>
    <definedName name="_______VLP2" localSheetId="0" hidden="1">{"'Sheet1'!$L$16"}</definedName>
    <definedName name="_______VLP2" localSheetId="6" hidden="1">{"'Sheet1'!$L$16"}</definedName>
    <definedName name="_______VLP2" localSheetId="9" hidden="1">{"'Sheet1'!$L$16"}</definedName>
    <definedName name="_______VLP2" hidden="1">{"'Sheet1'!$L$16"}</definedName>
    <definedName name="______a1" localSheetId="0" hidden="1">{"'Sheet1'!$L$16"}</definedName>
    <definedName name="______a1" localSheetId="6" hidden="1">{"'Sheet1'!$L$16"}</definedName>
    <definedName name="______a1" localSheetId="9" hidden="1">{"'Sheet1'!$L$16"}</definedName>
    <definedName name="______a1" hidden="1">{"'Sheet1'!$L$16"}</definedName>
    <definedName name="______a2" localSheetId="0" hidden="1">{"'Sheet1'!$L$16"}</definedName>
    <definedName name="______a2" localSheetId="6" hidden="1">{"'Sheet1'!$L$16"}</definedName>
    <definedName name="______a2" localSheetId="9" hidden="1">{"'Sheet1'!$L$16"}</definedName>
    <definedName name="______a2" hidden="1">{"'Sheet1'!$L$16"}</definedName>
    <definedName name="______B1" localSheetId="0" hidden="1">{"'Sheet1'!$L$16"}</definedName>
    <definedName name="______B1" localSheetId="6" hidden="1">{"'Sheet1'!$L$16"}</definedName>
    <definedName name="______B1" localSheetId="9" hidden="1">{"'Sheet1'!$L$16"}</definedName>
    <definedName name="______B1" hidden="1">{"'Sheet1'!$L$16"}</definedName>
    <definedName name="______ban2" localSheetId="0" hidden="1">{"'Sheet1'!$L$16"}</definedName>
    <definedName name="______ban2" localSheetId="6" hidden="1">{"'Sheet1'!$L$16"}</definedName>
    <definedName name="______ban2" localSheetId="9" hidden="1">{"'Sheet1'!$L$16"}</definedName>
    <definedName name="______ban2" hidden="1">{"'Sheet1'!$L$16"}</definedName>
    <definedName name="______DT12" localSheetId="0" hidden="1">{"'Sheet1'!$L$16"}</definedName>
    <definedName name="______DT12" localSheetId="6" hidden="1">{"'Sheet1'!$L$16"}</definedName>
    <definedName name="______DT12" localSheetId="9" hidden="1">{"'Sheet1'!$L$16"}</definedName>
    <definedName name="______DT12" hidden="1">{"'Sheet1'!$L$16"}</definedName>
    <definedName name="______Goi8" localSheetId="0" hidden="1">{"'Sheet1'!$L$16"}</definedName>
    <definedName name="______Goi8" localSheetId="6" hidden="1">{"'Sheet1'!$L$16"}</definedName>
    <definedName name="______Goi8" localSheetId="9" hidden="1">{"'Sheet1'!$L$16"}</definedName>
    <definedName name="______Goi8" hidden="1">{"'Sheet1'!$L$16"}</definedName>
    <definedName name="______h1" localSheetId="0" hidden="1">{"'Sheet1'!$L$16"}</definedName>
    <definedName name="______h1" localSheetId="6" hidden="1">{"'Sheet1'!$L$16"}</definedName>
    <definedName name="______h1" localSheetId="9" hidden="1">{"'Sheet1'!$L$16"}</definedName>
    <definedName name="______h1" hidden="1">{"'Sheet1'!$L$16"}</definedName>
    <definedName name="______h2" localSheetId="0" hidden="1">{"'Sheet1'!$L$16"}</definedName>
    <definedName name="______h2" localSheetId="6" hidden="1">{"'Sheet1'!$L$16"}</definedName>
    <definedName name="______h2" localSheetId="9" hidden="1">{"'Sheet1'!$L$16"}</definedName>
    <definedName name="______h2" hidden="1">{"'Sheet1'!$L$16"}</definedName>
    <definedName name="______h3" localSheetId="0" hidden="1">{"'Sheet1'!$L$16"}</definedName>
    <definedName name="______h3" localSheetId="6" hidden="1">{"'Sheet1'!$L$16"}</definedName>
    <definedName name="______h3" localSheetId="9" hidden="1">{"'Sheet1'!$L$16"}</definedName>
    <definedName name="______h3" hidden="1">{"'Sheet1'!$L$16"}</definedName>
    <definedName name="______h5" localSheetId="0" hidden="1">{"'Sheet1'!$L$16"}</definedName>
    <definedName name="______h5" localSheetId="6" hidden="1">{"'Sheet1'!$L$16"}</definedName>
    <definedName name="______h5" localSheetId="9" hidden="1">{"'Sheet1'!$L$16"}</definedName>
    <definedName name="______h5" hidden="1">{"'Sheet1'!$L$16"}</definedName>
    <definedName name="______h6" localSheetId="0" hidden="1">{"'Sheet1'!$L$16"}</definedName>
    <definedName name="______h6" localSheetId="6" hidden="1">{"'Sheet1'!$L$16"}</definedName>
    <definedName name="______h6" localSheetId="9" hidden="1">{"'Sheet1'!$L$16"}</definedName>
    <definedName name="______h6" hidden="1">{"'Sheet1'!$L$16"}</definedName>
    <definedName name="______h7" localSheetId="0" hidden="1">{"'Sheet1'!$L$16"}</definedName>
    <definedName name="______h7" localSheetId="6" hidden="1">{"'Sheet1'!$L$16"}</definedName>
    <definedName name="______h7" localSheetId="9" hidden="1">{"'Sheet1'!$L$16"}</definedName>
    <definedName name="______h7" hidden="1">{"'Sheet1'!$L$16"}</definedName>
    <definedName name="______h8" localSheetId="0" hidden="1">{"'Sheet1'!$L$16"}</definedName>
    <definedName name="______h8" localSheetId="6" hidden="1">{"'Sheet1'!$L$16"}</definedName>
    <definedName name="______h8" localSheetId="9" hidden="1">{"'Sheet1'!$L$16"}</definedName>
    <definedName name="______h8" hidden="1">{"'Sheet1'!$L$16"}</definedName>
    <definedName name="______h9" localSheetId="0" hidden="1">{"'Sheet1'!$L$16"}</definedName>
    <definedName name="______h9" localSheetId="6" hidden="1">{"'Sheet1'!$L$16"}</definedName>
    <definedName name="______h9" localSheetId="9" hidden="1">{"'Sheet1'!$L$16"}</definedName>
    <definedName name="______h9" hidden="1">{"'Sheet1'!$L$16"}</definedName>
    <definedName name="______hsm2">1.1289</definedName>
    <definedName name="______hu1" localSheetId="0" hidden="1">{"'Sheet1'!$L$16"}</definedName>
    <definedName name="______hu1" localSheetId="6" hidden="1">{"'Sheet1'!$L$16"}</definedName>
    <definedName name="______hu1" localSheetId="9" hidden="1">{"'Sheet1'!$L$16"}</definedName>
    <definedName name="______hu1" hidden="1">{"'Sheet1'!$L$16"}</definedName>
    <definedName name="______hu2" localSheetId="0" hidden="1">{"'Sheet1'!$L$16"}</definedName>
    <definedName name="______hu2" localSheetId="6" hidden="1">{"'Sheet1'!$L$16"}</definedName>
    <definedName name="______hu2" localSheetId="9" hidden="1">{"'Sheet1'!$L$16"}</definedName>
    <definedName name="______hu2" hidden="1">{"'Sheet1'!$L$16"}</definedName>
    <definedName name="______hu5" localSheetId="0" hidden="1">{"'Sheet1'!$L$16"}</definedName>
    <definedName name="______hu5" localSheetId="6" hidden="1">{"'Sheet1'!$L$16"}</definedName>
    <definedName name="______hu5" localSheetId="9" hidden="1">{"'Sheet1'!$L$16"}</definedName>
    <definedName name="______hu5" hidden="1">{"'Sheet1'!$L$16"}</definedName>
    <definedName name="______hu6" localSheetId="0" hidden="1">{"'Sheet1'!$L$16"}</definedName>
    <definedName name="______hu6" localSheetId="6" hidden="1">{"'Sheet1'!$L$16"}</definedName>
    <definedName name="______hu6" localSheetId="9" hidden="1">{"'Sheet1'!$L$16"}</definedName>
    <definedName name="______hu6" hidden="1">{"'Sheet1'!$L$16"}</definedName>
    <definedName name="______huy1" localSheetId="0" hidden="1">{"'Sheet1'!$L$16"}</definedName>
    <definedName name="______huy1" localSheetId="6" hidden="1">{"'Sheet1'!$L$16"}</definedName>
    <definedName name="______huy1" localSheetId="9" hidden="1">{"'Sheet1'!$L$16"}</definedName>
    <definedName name="______huy1" hidden="1">{"'Sheet1'!$L$16"}</definedName>
    <definedName name="______Lan1" localSheetId="0">{"Thuxm2.xls","Sheet1"}</definedName>
    <definedName name="______Lan1" localSheetId="9">{"Thuxm2.xls","Sheet1"}</definedName>
    <definedName name="______Lan1">{"Thuxm2.xls","Sheet1"}</definedName>
    <definedName name="______LAN3" localSheetId="0" hidden="1">{"'Sheet1'!$L$16"}</definedName>
    <definedName name="______LAN3" localSheetId="6" hidden="1">{"'Sheet1'!$L$16"}</definedName>
    <definedName name="______LAN3" localSheetId="9" hidden="1">{"'Sheet1'!$L$16"}</definedName>
    <definedName name="______LAN3" hidden="1">{"'Sheet1'!$L$16"}</definedName>
    <definedName name="______M36" localSheetId="0" hidden="1">{"'Sheet1'!$L$16"}</definedName>
    <definedName name="______M36" localSheetId="6" hidden="1">{"'Sheet1'!$L$16"}</definedName>
    <definedName name="______M36" localSheetId="9" hidden="1">{"'Sheet1'!$L$16"}</definedName>
    <definedName name="______M36" hidden="1">{"'Sheet1'!$L$16"}</definedName>
    <definedName name="______NSO2" localSheetId="0" hidden="1">{"'Sheet1'!$L$16"}</definedName>
    <definedName name="______NSO2" localSheetId="6" hidden="1">{"'Sheet1'!$L$16"}</definedName>
    <definedName name="______NSO2" localSheetId="9" hidden="1">{"'Sheet1'!$L$16"}</definedName>
    <definedName name="______NSO2" hidden="1">{"'Sheet1'!$L$16"}</definedName>
    <definedName name="______PA3" localSheetId="0" hidden="1">{"'Sheet1'!$L$16"}</definedName>
    <definedName name="______PA3" localSheetId="6" hidden="1">{"'Sheet1'!$L$16"}</definedName>
    <definedName name="______PA3" localSheetId="9" hidden="1">{"'Sheet1'!$L$16"}</definedName>
    <definedName name="______PA3" hidden="1">{"'Sheet1'!$L$16"}</definedName>
    <definedName name="______SCL4" localSheetId="0" hidden="1">{"'Sheet1'!$L$16"}</definedName>
    <definedName name="______SCL4" localSheetId="6" hidden="1">{"'Sheet1'!$L$16"}</definedName>
    <definedName name="______SCL4" localSheetId="9" hidden="1">{"'Sheet1'!$L$16"}</definedName>
    <definedName name="______SCL4" hidden="1">{"'Sheet1'!$L$16"}</definedName>
    <definedName name="______Tru21" localSheetId="0" hidden="1">{"'Sheet1'!$L$16"}</definedName>
    <definedName name="______Tru21" localSheetId="6" hidden="1">{"'Sheet1'!$L$16"}</definedName>
    <definedName name="______Tru21" localSheetId="9" hidden="1">{"'Sheet1'!$L$16"}</definedName>
    <definedName name="______Tru21" hidden="1">{"'Sheet1'!$L$16"}</definedName>
    <definedName name="______tt3" localSheetId="0" hidden="1">{"'Sheet1'!$L$16"}</definedName>
    <definedName name="______tt3" localSheetId="6" hidden="1">{"'Sheet1'!$L$16"}</definedName>
    <definedName name="______tt3" localSheetId="9" hidden="1">{"'Sheet1'!$L$16"}</definedName>
    <definedName name="______tt3" hidden="1">{"'Sheet1'!$L$16"}</definedName>
    <definedName name="______vl2" localSheetId="0" hidden="1">{"'Sheet1'!$L$16"}</definedName>
    <definedName name="______vl2" localSheetId="6" hidden="1">{"'Sheet1'!$L$16"}</definedName>
    <definedName name="______vl2" localSheetId="9" hidden="1">{"'Sheet1'!$L$16"}</definedName>
    <definedName name="______vl2" hidden="1">{"'Sheet1'!$L$16"}</definedName>
    <definedName name="_____a1" localSheetId="0" hidden="1">{"'Sheet1'!$L$16"}</definedName>
    <definedName name="_____a1" localSheetId="6" hidden="1">{"'Sheet1'!$L$16"}</definedName>
    <definedName name="_____a1" localSheetId="9" hidden="1">{"'Sheet1'!$L$16"}</definedName>
    <definedName name="_____a1" hidden="1">{"'Sheet1'!$L$16"}</definedName>
    <definedName name="_____a2" localSheetId="0" hidden="1">{"'Sheet1'!$L$16"}</definedName>
    <definedName name="_____a2" localSheetId="6" hidden="1">{"'Sheet1'!$L$16"}</definedName>
    <definedName name="_____a2" localSheetId="9" hidden="1">{"'Sheet1'!$L$16"}</definedName>
    <definedName name="_____a2" hidden="1">{"'Sheet1'!$L$16"}</definedName>
    <definedName name="_____B1" localSheetId="0" hidden="1">{"'Sheet1'!$L$16"}</definedName>
    <definedName name="_____B1" localSheetId="6" hidden="1">{"'Sheet1'!$L$16"}</definedName>
    <definedName name="_____B1" localSheetId="9" hidden="1">{"'Sheet1'!$L$16"}</definedName>
    <definedName name="_____B1" hidden="1">{"'Sheet1'!$L$16"}</definedName>
    <definedName name="_____ban2" localSheetId="0" hidden="1">{"'Sheet1'!$L$16"}</definedName>
    <definedName name="_____ban2" localSheetId="6" hidden="1">{"'Sheet1'!$L$16"}</definedName>
    <definedName name="_____ban2" localSheetId="9" hidden="1">{"'Sheet1'!$L$16"}</definedName>
    <definedName name="_____ban2" hidden="1">{"'Sheet1'!$L$16"}</definedName>
    <definedName name="_____DT12" localSheetId="0" hidden="1">{"'Sheet1'!$L$16"}</definedName>
    <definedName name="_____DT12" localSheetId="6" hidden="1">{"'Sheet1'!$L$16"}</definedName>
    <definedName name="_____DT12" localSheetId="9" hidden="1">{"'Sheet1'!$L$16"}</definedName>
    <definedName name="_____DT12" hidden="1">{"'Sheet1'!$L$16"}</definedName>
    <definedName name="_____Goi8" localSheetId="0" hidden="1">{"'Sheet1'!$L$16"}</definedName>
    <definedName name="_____Goi8" localSheetId="6" hidden="1">{"'Sheet1'!$L$16"}</definedName>
    <definedName name="_____Goi8" localSheetId="9" hidden="1">{"'Sheet1'!$L$16"}</definedName>
    <definedName name="_____Goi8" hidden="1">{"'Sheet1'!$L$16"}</definedName>
    <definedName name="_____h1" localSheetId="0" hidden="1">{"'Sheet1'!$L$16"}</definedName>
    <definedName name="_____h1" localSheetId="6" hidden="1">{"'Sheet1'!$L$16"}</definedName>
    <definedName name="_____h1" localSheetId="9" hidden="1">{"'Sheet1'!$L$16"}</definedName>
    <definedName name="_____h1" hidden="1">{"'Sheet1'!$L$16"}</definedName>
    <definedName name="_____h2" localSheetId="0" hidden="1">{"'Sheet1'!$L$16"}</definedName>
    <definedName name="_____h2" localSheetId="6" hidden="1">{"'Sheet1'!$L$16"}</definedName>
    <definedName name="_____h2" localSheetId="9" hidden="1">{"'Sheet1'!$L$16"}</definedName>
    <definedName name="_____h2" hidden="1">{"'Sheet1'!$L$16"}</definedName>
    <definedName name="_____h3" localSheetId="0" hidden="1">{"'Sheet1'!$L$16"}</definedName>
    <definedName name="_____h3" localSheetId="6" hidden="1">{"'Sheet1'!$L$16"}</definedName>
    <definedName name="_____h3" localSheetId="9" hidden="1">{"'Sheet1'!$L$16"}</definedName>
    <definedName name="_____h3" hidden="1">{"'Sheet1'!$L$16"}</definedName>
    <definedName name="_____h5" localSheetId="0" hidden="1">{"'Sheet1'!$L$16"}</definedName>
    <definedName name="_____h5" localSheetId="6" hidden="1">{"'Sheet1'!$L$16"}</definedName>
    <definedName name="_____h5" localSheetId="9" hidden="1">{"'Sheet1'!$L$16"}</definedName>
    <definedName name="_____h5" hidden="1">{"'Sheet1'!$L$16"}</definedName>
    <definedName name="_____h6" localSheetId="0" hidden="1">{"'Sheet1'!$L$16"}</definedName>
    <definedName name="_____h6" localSheetId="6" hidden="1">{"'Sheet1'!$L$16"}</definedName>
    <definedName name="_____h6" localSheetId="9" hidden="1">{"'Sheet1'!$L$16"}</definedName>
    <definedName name="_____h6" hidden="1">{"'Sheet1'!$L$16"}</definedName>
    <definedName name="_____h7" localSheetId="0" hidden="1">{"'Sheet1'!$L$16"}</definedName>
    <definedName name="_____h7" localSheetId="6" hidden="1">{"'Sheet1'!$L$16"}</definedName>
    <definedName name="_____h7" localSheetId="9" hidden="1">{"'Sheet1'!$L$16"}</definedName>
    <definedName name="_____h7" hidden="1">{"'Sheet1'!$L$16"}</definedName>
    <definedName name="_____h8" localSheetId="0" hidden="1">{"'Sheet1'!$L$16"}</definedName>
    <definedName name="_____h8" localSheetId="6" hidden="1">{"'Sheet1'!$L$16"}</definedName>
    <definedName name="_____h8" localSheetId="9" hidden="1">{"'Sheet1'!$L$16"}</definedName>
    <definedName name="_____h8" hidden="1">{"'Sheet1'!$L$16"}</definedName>
    <definedName name="_____h9" localSheetId="0" hidden="1">{"'Sheet1'!$L$16"}</definedName>
    <definedName name="_____h9" localSheetId="6" hidden="1">{"'Sheet1'!$L$16"}</definedName>
    <definedName name="_____h9" localSheetId="9" hidden="1">{"'Sheet1'!$L$16"}</definedName>
    <definedName name="_____h9" hidden="1">{"'Sheet1'!$L$16"}</definedName>
    <definedName name="_____hsm2">1.1289</definedName>
    <definedName name="_____hu1" localSheetId="0" hidden="1">{"'Sheet1'!$L$16"}</definedName>
    <definedName name="_____hu1" localSheetId="6" hidden="1">{"'Sheet1'!$L$16"}</definedName>
    <definedName name="_____hu1" localSheetId="9" hidden="1">{"'Sheet1'!$L$16"}</definedName>
    <definedName name="_____hu1" hidden="1">{"'Sheet1'!$L$16"}</definedName>
    <definedName name="_____hu2" localSheetId="0" hidden="1">{"'Sheet1'!$L$16"}</definedName>
    <definedName name="_____hu2" localSheetId="6" hidden="1">{"'Sheet1'!$L$16"}</definedName>
    <definedName name="_____hu2" localSheetId="9" hidden="1">{"'Sheet1'!$L$16"}</definedName>
    <definedName name="_____hu2" hidden="1">{"'Sheet1'!$L$16"}</definedName>
    <definedName name="_____hu5" localSheetId="0" hidden="1">{"'Sheet1'!$L$16"}</definedName>
    <definedName name="_____hu5" localSheetId="6" hidden="1">{"'Sheet1'!$L$16"}</definedName>
    <definedName name="_____hu5" localSheetId="9" hidden="1">{"'Sheet1'!$L$16"}</definedName>
    <definedName name="_____hu5" hidden="1">{"'Sheet1'!$L$16"}</definedName>
    <definedName name="_____hu6" localSheetId="0" hidden="1">{"'Sheet1'!$L$16"}</definedName>
    <definedName name="_____hu6" localSheetId="6" hidden="1">{"'Sheet1'!$L$16"}</definedName>
    <definedName name="_____hu6" localSheetId="9" hidden="1">{"'Sheet1'!$L$16"}</definedName>
    <definedName name="_____hu6" hidden="1">{"'Sheet1'!$L$16"}</definedName>
    <definedName name="_____huy1" localSheetId="0" hidden="1">{"'Sheet1'!$L$16"}</definedName>
    <definedName name="_____huy1" localSheetId="6" hidden="1">{"'Sheet1'!$L$16"}</definedName>
    <definedName name="_____huy1" localSheetId="9" hidden="1">{"'Sheet1'!$L$16"}</definedName>
    <definedName name="_____huy1" hidden="1">{"'Sheet1'!$L$16"}</definedName>
    <definedName name="_____Lan1" localSheetId="0">{"Thuxm2.xls","Sheet1"}</definedName>
    <definedName name="_____Lan1" localSheetId="9">{"Thuxm2.xls","Sheet1"}</definedName>
    <definedName name="_____Lan1">{"Thuxm2.xls","Sheet1"}</definedName>
    <definedName name="_____LAN3" localSheetId="0" hidden="1">{"'Sheet1'!$L$16"}</definedName>
    <definedName name="_____LAN3" localSheetId="6" hidden="1">{"'Sheet1'!$L$16"}</definedName>
    <definedName name="_____LAN3" localSheetId="9" hidden="1">{"'Sheet1'!$L$16"}</definedName>
    <definedName name="_____LAN3" hidden="1">{"'Sheet1'!$L$16"}</definedName>
    <definedName name="_____M36" localSheetId="0" hidden="1">{"'Sheet1'!$L$16"}</definedName>
    <definedName name="_____M36" localSheetId="6" hidden="1">{"'Sheet1'!$L$16"}</definedName>
    <definedName name="_____M36" localSheetId="9" hidden="1">{"'Sheet1'!$L$16"}</definedName>
    <definedName name="_____M36" hidden="1">{"'Sheet1'!$L$16"}</definedName>
    <definedName name="_____NSO2" localSheetId="0" hidden="1">{"'Sheet1'!$L$16"}</definedName>
    <definedName name="_____NSO2" localSheetId="6" hidden="1">{"'Sheet1'!$L$16"}</definedName>
    <definedName name="_____NSO2" localSheetId="9" hidden="1">{"'Sheet1'!$L$16"}</definedName>
    <definedName name="_____NSO2" hidden="1">{"'Sheet1'!$L$16"}</definedName>
    <definedName name="_____PA3" localSheetId="0" hidden="1">{"'Sheet1'!$L$16"}</definedName>
    <definedName name="_____PA3" localSheetId="6" hidden="1">{"'Sheet1'!$L$16"}</definedName>
    <definedName name="_____PA3" localSheetId="9" hidden="1">{"'Sheet1'!$L$16"}</definedName>
    <definedName name="_____PA3" hidden="1">{"'Sheet1'!$L$16"}</definedName>
    <definedName name="_____SCL4" localSheetId="0" hidden="1">{"'Sheet1'!$L$16"}</definedName>
    <definedName name="_____SCL4" localSheetId="6" hidden="1">{"'Sheet1'!$L$16"}</definedName>
    <definedName name="_____SCL4" localSheetId="9" hidden="1">{"'Sheet1'!$L$16"}</definedName>
    <definedName name="_____SCL4" hidden="1">{"'Sheet1'!$L$16"}</definedName>
    <definedName name="_____TK211" localSheetId="0" hidden="1">{"'Sheet1'!$L$16"}</definedName>
    <definedName name="_____TK211" localSheetId="6" hidden="1">{"'Sheet1'!$L$16"}</definedName>
    <definedName name="_____TK211" localSheetId="9" hidden="1">{"'Sheet1'!$L$16"}</definedName>
    <definedName name="_____TK211" hidden="1">{"'Sheet1'!$L$16"}</definedName>
    <definedName name="_____Tru21" localSheetId="0" hidden="1">{"'Sheet1'!$L$16"}</definedName>
    <definedName name="_____Tru21" localSheetId="6" hidden="1">{"'Sheet1'!$L$16"}</definedName>
    <definedName name="_____Tru21" localSheetId="9" hidden="1">{"'Sheet1'!$L$16"}</definedName>
    <definedName name="_____Tru21" hidden="1">{"'Sheet1'!$L$16"}</definedName>
    <definedName name="_____tt3" localSheetId="0" hidden="1">{"'Sheet1'!$L$16"}</definedName>
    <definedName name="_____tt3" localSheetId="6" hidden="1">{"'Sheet1'!$L$16"}</definedName>
    <definedName name="_____tt3" localSheetId="9" hidden="1">{"'Sheet1'!$L$16"}</definedName>
    <definedName name="_____tt3" hidden="1">{"'Sheet1'!$L$16"}</definedName>
    <definedName name="_____vl2" localSheetId="0" hidden="1">{"'Sheet1'!$L$16"}</definedName>
    <definedName name="_____vl2" localSheetId="6" hidden="1">{"'Sheet1'!$L$16"}</definedName>
    <definedName name="_____vl2" localSheetId="9" hidden="1">{"'Sheet1'!$L$16"}</definedName>
    <definedName name="_____vl2" hidden="1">{"'Sheet1'!$L$16"}</definedName>
    <definedName name="_____VLP2" localSheetId="0" hidden="1">{"'Sheet1'!$L$16"}</definedName>
    <definedName name="_____VLP2" localSheetId="6" hidden="1">{"'Sheet1'!$L$16"}</definedName>
    <definedName name="_____VLP2" localSheetId="9" hidden="1">{"'Sheet1'!$L$16"}</definedName>
    <definedName name="_____VLP2" hidden="1">{"'Sheet1'!$L$16"}</definedName>
    <definedName name="____a1" localSheetId="0" hidden="1">{"'Sheet1'!$L$16"}</definedName>
    <definedName name="____a1" localSheetId="6" hidden="1">{"'Sheet1'!$L$16"}</definedName>
    <definedName name="____a1" localSheetId="9" hidden="1">{"'Sheet1'!$L$16"}</definedName>
    <definedName name="____a1" hidden="1">{"'Sheet1'!$L$16"}</definedName>
    <definedName name="____a2" localSheetId="0" hidden="1">{"'Sheet1'!$L$16"}</definedName>
    <definedName name="____a2" localSheetId="6" hidden="1">{"'Sheet1'!$L$16"}</definedName>
    <definedName name="____a2" localSheetId="9" hidden="1">{"'Sheet1'!$L$16"}</definedName>
    <definedName name="____a2" hidden="1">{"'Sheet1'!$L$16"}</definedName>
    <definedName name="____B1" localSheetId="0" hidden="1">{"'Sheet1'!$L$16"}</definedName>
    <definedName name="____B1" localSheetId="6" hidden="1">{"'Sheet1'!$L$16"}</definedName>
    <definedName name="____B1" localSheetId="9" hidden="1">{"'Sheet1'!$L$16"}</definedName>
    <definedName name="____B1" hidden="1">{"'Sheet1'!$L$16"}</definedName>
    <definedName name="____ban2" localSheetId="0" hidden="1">{"'Sheet1'!$L$16"}</definedName>
    <definedName name="____ban2" localSheetId="6" hidden="1">{"'Sheet1'!$L$16"}</definedName>
    <definedName name="____ban2" localSheetId="9" hidden="1">{"'Sheet1'!$L$16"}</definedName>
    <definedName name="____ban2" hidden="1">{"'Sheet1'!$L$16"}</definedName>
    <definedName name="____cep1" localSheetId="0" hidden="1">{"'Sheet1'!$L$16"}</definedName>
    <definedName name="____cep1" localSheetId="6" hidden="1">{"'Sheet1'!$L$16"}</definedName>
    <definedName name="____cep1" localSheetId="9" hidden="1">{"'Sheet1'!$L$16"}</definedName>
    <definedName name="____cep1" hidden="1">{"'Sheet1'!$L$16"}</definedName>
    <definedName name="____Coc39" localSheetId="0" hidden="1">{"'Sheet1'!$L$16"}</definedName>
    <definedName name="____Coc39" localSheetId="6" hidden="1">{"'Sheet1'!$L$16"}</definedName>
    <definedName name="____Coc39" localSheetId="9" hidden="1">{"'Sheet1'!$L$16"}</definedName>
    <definedName name="____Coc39" hidden="1">{"'Sheet1'!$L$16"}</definedName>
    <definedName name="____DT12" localSheetId="0" hidden="1">{"'Sheet1'!$L$16"}</definedName>
    <definedName name="____DT12" localSheetId="6" hidden="1">{"'Sheet1'!$L$16"}</definedName>
    <definedName name="____DT12" localSheetId="9" hidden="1">{"'Sheet1'!$L$16"}</definedName>
    <definedName name="____DT12" hidden="1">{"'Sheet1'!$L$16"}</definedName>
    <definedName name="____f5" localSheetId="0" hidden="1">{"'Sheet1'!$L$16"}</definedName>
    <definedName name="____f5" localSheetId="6" hidden="1">{"'Sheet1'!$L$16"}</definedName>
    <definedName name="____f5" localSheetId="9" hidden="1">{"'Sheet1'!$L$16"}</definedName>
    <definedName name="____f5" hidden="1">{"'Sheet1'!$L$16"}</definedName>
    <definedName name="____Goi8" localSheetId="0" hidden="1">{"'Sheet1'!$L$16"}</definedName>
    <definedName name="____Goi8" localSheetId="6" hidden="1">{"'Sheet1'!$L$16"}</definedName>
    <definedName name="____Goi8" localSheetId="9" hidden="1">{"'Sheet1'!$L$16"}</definedName>
    <definedName name="____Goi8" hidden="1">{"'Sheet1'!$L$16"}</definedName>
    <definedName name="____h1" localSheetId="0" hidden="1">{"'Sheet1'!$L$16"}</definedName>
    <definedName name="____h1" localSheetId="6" hidden="1">{"'Sheet1'!$L$16"}</definedName>
    <definedName name="____h1" localSheetId="9" hidden="1">{"'Sheet1'!$L$16"}</definedName>
    <definedName name="____h1" hidden="1">{"'Sheet1'!$L$16"}</definedName>
    <definedName name="____h2" localSheetId="0" hidden="1">{"'Sheet1'!$L$16"}</definedName>
    <definedName name="____h2" localSheetId="6" hidden="1">{"'Sheet1'!$L$16"}</definedName>
    <definedName name="____h2" localSheetId="9" hidden="1">{"'Sheet1'!$L$16"}</definedName>
    <definedName name="____h2" hidden="1">{"'Sheet1'!$L$16"}</definedName>
    <definedName name="____h3" localSheetId="0" hidden="1">{"'Sheet1'!$L$16"}</definedName>
    <definedName name="____h3" localSheetId="6" hidden="1">{"'Sheet1'!$L$16"}</definedName>
    <definedName name="____h3" localSheetId="9" hidden="1">{"'Sheet1'!$L$16"}</definedName>
    <definedName name="____h3" hidden="1">{"'Sheet1'!$L$16"}</definedName>
    <definedName name="____h5" localSheetId="0" hidden="1">{"'Sheet1'!$L$16"}</definedName>
    <definedName name="____h5" localSheetId="6" hidden="1">{"'Sheet1'!$L$16"}</definedName>
    <definedName name="____h5" localSheetId="9" hidden="1">{"'Sheet1'!$L$16"}</definedName>
    <definedName name="____h5" hidden="1">{"'Sheet1'!$L$16"}</definedName>
    <definedName name="____h6" localSheetId="0" hidden="1">{"'Sheet1'!$L$16"}</definedName>
    <definedName name="____h6" localSheetId="6" hidden="1">{"'Sheet1'!$L$16"}</definedName>
    <definedName name="____h6" localSheetId="9" hidden="1">{"'Sheet1'!$L$16"}</definedName>
    <definedName name="____h6" hidden="1">{"'Sheet1'!$L$16"}</definedName>
    <definedName name="____h7" localSheetId="0" hidden="1">{"'Sheet1'!$L$16"}</definedName>
    <definedName name="____h7" localSheetId="6" hidden="1">{"'Sheet1'!$L$16"}</definedName>
    <definedName name="____h7" localSheetId="9" hidden="1">{"'Sheet1'!$L$16"}</definedName>
    <definedName name="____h7" hidden="1">{"'Sheet1'!$L$16"}</definedName>
    <definedName name="____h8" localSheetId="0" hidden="1">{"'Sheet1'!$L$16"}</definedName>
    <definedName name="____h8" localSheetId="6" hidden="1">{"'Sheet1'!$L$16"}</definedName>
    <definedName name="____h8" localSheetId="9" hidden="1">{"'Sheet1'!$L$16"}</definedName>
    <definedName name="____h8" hidden="1">{"'Sheet1'!$L$16"}</definedName>
    <definedName name="____h9" localSheetId="0" hidden="1">{"'Sheet1'!$L$16"}</definedName>
    <definedName name="____h9" localSheetId="6" hidden="1">{"'Sheet1'!$L$16"}</definedName>
    <definedName name="____h9" localSheetId="9" hidden="1">{"'Sheet1'!$L$16"}</definedName>
    <definedName name="____h9" hidden="1">{"'Sheet1'!$L$16"}</definedName>
    <definedName name="____hsm2">1.1289</definedName>
    <definedName name="____hu1" localSheetId="0" hidden="1">{"'Sheet1'!$L$16"}</definedName>
    <definedName name="____hu1" localSheetId="6" hidden="1">{"'Sheet1'!$L$16"}</definedName>
    <definedName name="____hu1" localSheetId="9" hidden="1">{"'Sheet1'!$L$16"}</definedName>
    <definedName name="____hu1" hidden="1">{"'Sheet1'!$L$16"}</definedName>
    <definedName name="____hu2" localSheetId="0" hidden="1">{"'Sheet1'!$L$16"}</definedName>
    <definedName name="____hu2" localSheetId="6" hidden="1">{"'Sheet1'!$L$16"}</definedName>
    <definedName name="____hu2" localSheetId="9" hidden="1">{"'Sheet1'!$L$16"}</definedName>
    <definedName name="____hu2" hidden="1">{"'Sheet1'!$L$16"}</definedName>
    <definedName name="____hu5" localSheetId="0" hidden="1">{"'Sheet1'!$L$16"}</definedName>
    <definedName name="____hu5" localSheetId="6" hidden="1">{"'Sheet1'!$L$16"}</definedName>
    <definedName name="____hu5" localSheetId="9" hidden="1">{"'Sheet1'!$L$16"}</definedName>
    <definedName name="____hu5" hidden="1">{"'Sheet1'!$L$16"}</definedName>
    <definedName name="____hu6" localSheetId="0" hidden="1">{"'Sheet1'!$L$16"}</definedName>
    <definedName name="____hu6" localSheetId="6" hidden="1">{"'Sheet1'!$L$16"}</definedName>
    <definedName name="____hu6" localSheetId="9" hidden="1">{"'Sheet1'!$L$16"}</definedName>
    <definedName name="____hu6" hidden="1">{"'Sheet1'!$L$16"}</definedName>
    <definedName name="____huy1" localSheetId="0" hidden="1">{"'Sheet1'!$L$16"}</definedName>
    <definedName name="____huy1" localSheetId="6" hidden="1">{"'Sheet1'!$L$16"}</definedName>
    <definedName name="____huy1" localSheetId="9" hidden="1">{"'Sheet1'!$L$16"}</definedName>
    <definedName name="____huy1" hidden="1">{"'Sheet1'!$L$16"}</definedName>
    <definedName name="____kl11" localSheetId="0" hidden="1">{"'Sheet1'!$L$16"}</definedName>
    <definedName name="____kl11" localSheetId="6" hidden="1">{"'Sheet1'!$L$16"}</definedName>
    <definedName name="____kl11" localSheetId="9" hidden="1">{"'Sheet1'!$L$16"}</definedName>
    <definedName name="____kl11" hidden="1">{"'Sheet1'!$L$16"}</definedName>
    <definedName name="____kl4" localSheetId="0" hidden="1">{"'Sheet1'!$L$16"}</definedName>
    <definedName name="____kl4" localSheetId="6" hidden="1">{"'Sheet1'!$L$16"}</definedName>
    <definedName name="____kl4" localSheetId="9" hidden="1">{"'Sheet1'!$L$16"}</definedName>
    <definedName name="____kl4" hidden="1">{"'Sheet1'!$L$16"}</definedName>
    <definedName name="____kl6" localSheetId="0" hidden="1">{"'Sheet1'!$L$16"}</definedName>
    <definedName name="____kl6" localSheetId="6" hidden="1">{"'Sheet1'!$L$16"}</definedName>
    <definedName name="____kl6" localSheetId="9" hidden="1">{"'Sheet1'!$L$16"}</definedName>
    <definedName name="____kl6" hidden="1">{"'Sheet1'!$L$16"}</definedName>
    <definedName name="____Lan1" localSheetId="0" hidden="1">{"'Sheet1'!$L$16"}</definedName>
    <definedName name="____Lan1" localSheetId="6" hidden="1">{"'Sheet1'!$L$16"}</definedName>
    <definedName name="____Lan1" localSheetId="9" hidden="1">{"'Sheet1'!$L$16"}</definedName>
    <definedName name="____Lan1" hidden="1">{"'Sheet1'!$L$16"}</definedName>
    <definedName name="____LAN3" localSheetId="0" hidden="1">{"'Sheet1'!$L$16"}</definedName>
    <definedName name="____LAN3" localSheetId="6" hidden="1">{"'Sheet1'!$L$16"}</definedName>
    <definedName name="____LAN3" localSheetId="9" hidden="1">{"'Sheet1'!$L$16"}</definedName>
    <definedName name="____LAN3" hidden="1">{"'Sheet1'!$L$16"}</definedName>
    <definedName name="____lk2" localSheetId="0" hidden="1">{"'Sheet1'!$L$16"}</definedName>
    <definedName name="____lk2" localSheetId="6" hidden="1">{"'Sheet1'!$L$16"}</definedName>
    <definedName name="____lk2" localSheetId="9" hidden="1">{"'Sheet1'!$L$16"}</definedName>
    <definedName name="____lk2" hidden="1">{"'Sheet1'!$L$16"}</definedName>
    <definedName name="____M36" localSheetId="0" hidden="1">{"'Sheet1'!$L$16"}</definedName>
    <definedName name="____M36" localSheetId="6" hidden="1">{"'Sheet1'!$L$16"}</definedName>
    <definedName name="____M36" localSheetId="9" hidden="1">{"'Sheet1'!$L$16"}</definedName>
    <definedName name="____M36" hidden="1">{"'Sheet1'!$L$16"}</definedName>
    <definedName name="____NSO2" localSheetId="0" hidden="1">{"'Sheet1'!$L$16"}</definedName>
    <definedName name="____NSO2" localSheetId="6" hidden="1">{"'Sheet1'!$L$16"}</definedName>
    <definedName name="____NSO2" localSheetId="9" hidden="1">{"'Sheet1'!$L$16"}</definedName>
    <definedName name="____NSO2" hidden="1">{"'Sheet1'!$L$16"}</definedName>
    <definedName name="____PA3" localSheetId="0" hidden="1">{"'Sheet1'!$L$16"}</definedName>
    <definedName name="____PA3" localSheetId="6" hidden="1">{"'Sheet1'!$L$16"}</definedName>
    <definedName name="____PA3" localSheetId="9" hidden="1">{"'Sheet1'!$L$16"}</definedName>
    <definedName name="____PA3" hidden="1">{"'Sheet1'!$L$16"}</definedName>
    <definedName name="____Pl2" localSheetId="0" hidden="1">{"'Sheet1'!$L$16"}</definedName>
    <definedName name="____Pl2" localSheetId="6" hidden="1">{"'Sheet1'!$L$16"}</definedName>
    <definedName name="____Pl2" localSheetId="9" hidden="1">{"'Sheet1'!$L$16"}</definedName>
    <definedName name="____Pl2" hidden="1">{"'Sheet1'!$L$16"}</definedName>
    <definedName name="____SCL4" localSheetId="0" hidden="1">{"'Sheet1'!$L$16"}</definedName>
    <definedName name="____SCL4" localSheetId="6" hidden="1">{"'Sheet1'!$L$16"}</definedName>
    <definedName name="____SCL4" localSheetId="9" hidden="1">{"'Sheet1'!$L$16"}</definedName>
    <definedName name="____SCL4" hidden="1">{"'Sheet1'!$L$16"}</definedName>
    <definedName name="____TH1" localSheetId="0" hidden="1">{"'Sheet1'!$L$16"}</definedName>
    <definedName name="____TH1" localSheetId="6" hidden="1">{"'Sheet1'!$L$16"}</definedName>
    <definedName name="____TH1" localSheetId="9" hidden="1">{"'Sheet1'!$L$16"}</definedName>
    <definedName name="____TH1" hidden="1">{"'Sheet1'!$L$16"}</definedName>
    <definedName name="____TK211" localSheetId="0" hidden="1">{"'Sheet1'!$L$16"}</definedName>
    <definedName name="____TK211" localSheetId="6" hidden="1">{"'Sheet1'!$L$16"}</definedName>
    <definedName name="____TK211" localSheetId="9" hidden="1">{"'Sheet1'!$L$16"}</definedName>
    <definedName name="____TK211" hidden="1">{"'Sheet1'!$L$16"}</definedName>
    <definedName name="____Tru21" localSheetId="0" hidden="1">{"'Sheet1'!$L$16"}</definedName>
    <definedName name="____Tru21" localSheetId="6" hidden="1">{"'Sheet1'!$L$16"}</definedName>
    <definedName name="____Tru21" localSheetId="9" hidden="1">{"'Sheet1'!$L$16"}</definedName>
    <definedName name="____Tru21" hidden="1">{"'Sheet1'!$L$16"}</definedName>
    <definedName name="____tt3" localSheetId="0" hidden="1">{"'Sheet1'!$L$16"}</definedName>
    <definedName name="____tt3" localSheetId="6" hidden="1">{"'Sheet1'!$L$16"}</definedName>
    <definedName name="____tt3" localSheetId="9" hidden="1">{"'Sheet1'!$L$16"}</definedName>
    <definedName name="____tt3" hidden="1">{"'Sheet1'!$L$16"}</definedName>
    <definedName name="____TT31" localSheetId="0" hidden="1">{"'Sheet1'!$L$16"}</definedName>
    <definedName name="____TT31" localSheetId="6" hidden="1">{"'Sheet1'!$L$16"}</definedName>
    <definedName name="____TT31" localSheetId="9" hidden="1">{"'Sheet1'!$L$16"}</definedName>
    <definedName name="____TT31" hidden="1">{"'Sheet1'!$L$16"}</definedName>
    <definedName name="____vl1" localSheetId="0" hidden="1">{"'Sheet1'!$L$16"}</definedName>
    <definedName name="____vl1" localSheetId="6" hidden="1">{"'Sheet1'!$L$16"}</definedName>
    <definedName name="____vl1" localSheetId="9" hidden="1">{"'Sheet1'!$L$16"}</definedName>
    <definedName name="____vl1" hidden="1">{"'Sheet1'!$L$16"}</definedName>
    <definedName name="____vl2" localSheetId="0" hidden="1">{"'Sheet1'!$L$16"}</definedName>
    <definedName name="____vl2" localSheetId="6" hidden="1">{"'Sheet1'!$L$16"}</definedName>
    <definedName name="____vl2" localSheetId="9" hidden="1">{"'Sheet1'!$L$16"}</definedName>
    <definedName name="____vl2" hidden="1">{"'Sheet1'!$L$16"}</definedName>
    <definedName name="____VLP2" localSheetId="0" hidden="1">{"'Sheet1'!$L$16"}</definedName>
    <definedName name="____VLP2" localSheetId="6" hidden="1">{"'Sheet1'!$L$16"}</definedName>
    <definedName name="____VLP2" localSheetId="9" hidden="1">{"'Sheet1'!$L$16"}</definedName>
    <definedName name="____VLP2" hidden="1">{"'Sheet1'!$L$16"}</definedName>
    <definedName name="___a1" localSheetId="0" hidden="1">{"'Sheet1'!$L$16"}</definedName>
    <definedName name="___a1" localSheetId="6" hidden="1">{"'Sheet1'!$L$16"}</definedName>
    <definedName name="___a1" localSheetId="9" hidden="1">{"'Sheet1'!$L$16"}</definedName>
    <definedName name="___a1" hidden="1">{"'Sheet1'!$L$16"}</definedName>
    <definedName name="___a2" localSheetId="0" hidden="1">{"'Sheet1'!$L$16"}</definedName>
    <definedName name="___a2" localSheetId="6" hidden="1">{"'Sheet1'!$L$16"}</definedName>
    <definedName name="___a2" localSheetId="9" hidden="1">{"'Sheet1'!$L$16"}</definedName>
    <definedName name="___a2" hidden="1">{"'Sheet1'!$L$16"}</definedName>
    <definedName name="___B1" localSheetId="0" hidden="1">{"'Sheet1'!$L$16"}</definedName>
    <definedName name="___B1" localSheetId="6" hidden="1">{"'Sheet1'!$L$16"}</definedName>
    <definedName name="___B1" localSheetId="9" hidden="1">{"'Sheet1'!$L$16"}</definedName>
    <definedName name="___B1" hidden="1">{"'Sheet1'!$L$16"}</definedName>
    <definedName name="___ban2" localSheetId="0" hidden="1">{"'Sheet1'!$L$16"}</definedName>
    <definedName name="___ban2" localSheetId="6" hidden="1">{"'Sheet1'!$L$16"}</definedName>
    <definedName name="___ban2" localSheetId="9" hidden="1">{"'Sheet1'!$L$16"}</definedName>
    <definedName name="___ban2" hidden="1">{"'Sheet1'!$L$16"}</definedName>
    <definedName name="___cep1" localSheetId="0" hidden="1">{"'Sheet1'!$L$16"}</definedName>
    <definedName name="___cep1" localSheetId="6" hidden="1">{"'Sheet1'!$L$16"}</definedName>
    <definedName name="___cep1" localSheetId="9" hidden="1">{"'Sheet1'!$L$16"}</definedName>
    <definedName name="___cep1" hidden="1">{"'Sheet1'!$L$16"}</definedName>
    <definedName name="___Coc39" localSheetId="0" hidden="1">{"'Sheet1'!$L$16"}</definedName>
    <definedName name="___Coc39" localSheetId="6" hidden="1">{"'Sheet1'!$L$16"}</definedName>
    <definedName name="___Coc39" localSheetId="9" hidden="1">{"'Sheet1'!$L$16"}</definedName>
    <definedName name="___Coc39" hidden="1">{"'Sheet1'!$L$16"}</definedName>
    <definedName name="___DT12" localSheetId="0" hidden="1">{"'Sheet1'!$L$16"}</definedName>
    <definedName name="___DT12" localSheetId="6" hidden="1">{"'Sheet1'!$L$16"}</definedName>
    <definedName name="___DT12" localSheetId="9" hidden="1">{"'Sheet1'!$L$16"}</definedName>
    <definedName name="___DT12" hidden="1">{"'Sheet1'!$L$16"}</definedName>
    <definedName name="___f5" localSheetId="0" hidden="1">{"'Sheet1'!$L$16"}</definedName>
    <definedName name="___f5" localSheetId="6" hidden="1">{"'Sheet1'!$L$16"}</definedName>
    <definedName name="___f5" localSheetId="9" hidden="1">{"'Sheet1'!$L$16"}</definedName>
    <definedName name="___f5" hidden="1">{"'Sheet1'!$L$16"}</definedName>
    <definedName name="___Goi8" localSheetId="0" hidden="1">{"'Sheet1'!$L$16"}</definedName>
    <definedName name="___Goi8" localSheetId="6" hidden="1">{"'Sheet1'!$L$16"}</definedName>
    <definedName name="___Goi8" localSheetId="9" hidden="1">{"'Sheet1'!$L$16"}</definedName>
    <definedName name="___Goi8" hidden="1">{"'Sheet1'!$L$16"}</definedName>
    <definedName name="___h1" localSheetId="0" hidden="1">{"'Sheet1'!$L$16"}</definedName>
    <definedName name="___h1" localSheetId="6" hidden="1">{"'Sheet1'!$L$16"}</definedName>
    <definedName name="___h1" localSheetId="9" hidden="1">{"'Sheet1'!$L$16"}</definedName>
    <definedName name="___h1" hidden="1">{"'Sheet1'!$L$16"}</definedName>
    <definedName name="___h2" localSheetId="0" hidden="1">{"'Sheet1'!$L$16"}</definedName>
    <definedName name="___h2" localSheetId="6" hidden="1">{"'Sheet1'!$L$16"}</definedName>
    <definedName name="___h2" localSheetId="9" hidden="1">{"'Sheet1'!$L$16"}</definedName>
    <definedName name="___h2" hidden="1">{"'Sheet1'!$L$16"}</definedName>
    <definedName name="___h3" localSheetId="0" hidden="1">{"'Sheet1'!$L$16"}</definedName>
    <definedName name="___h3" localSheetId="6" hidden="1">{"'Sheet1'!$L$16"}</definedName>
    <definedName name="___h3" localSheetId="9" hidden="1">{"'Sheet1'!$L$16"}</definedName>
    <definedName name="___h3" hidden="1">{"'Sheet1'!$L$16"}</definedName>
    <definedName name="___h5" localSheetId="0" hidden="1">{"'Sheet1'!$L$16"}</definedName>
    <definedName name="___h5" localSheetId="6" hidden="1">{"'Sheet1'!$L$16"}</definedName>
    <definedName name="___h5" localSheetId="9" hidden="1">{"'Sheet1'!$L$16"}</definedName>
    <definedName name="___h5" hidden="1">{"'Sheet1'!$L$16"}</definedName>
    <definedName name="___h6" localSheetId="0" hidden="1">{"'Sheet1'!$L$16"}</definedName>
    <definedName name="___h6" localSheetId="6" hidden="1">{"'Sheet1'!$L$16"}</definedName>
    <definedName name="___h6" localSheetId="9" hidden="1">{"'Sheet1'!$L$16"}</definedName>
    <definedName name="___h6" hidden="1">{"'Sheet1'!$L$16"}</definedName>
    <definedName name="___h7" localSheetId="0" hidden="1">{"'Sheet1'!$L$16"}</definedName>
    <definedName name="___h7" localSheetId="6" hidden="1">{"'Sheet1'!$L$16"}</definedName>
    <definedName name="___h7" localSheetId="9" hidden="1">{"'Sheet1'!$L$16"}</definedName>
    <definedName name="___h7" hidden="1">{"'Sheet1'!$L$16"}</definedName>
    <definedName name="___h8" localSheetId="0" hidden="1">{"'Sheet1'!$L$16"}</definedName>
    <definedName name="___h8" localSheetId="6" hidden="1">{"'Sheet1'!$L$16"}</definedName>
    <definedName name="___h8" localSheetId="9" hidden="1">{"'Sheet1'!$L$16"}</definedName>
    <definedName name="___h8" hidden="1">{"'Sheet1'!$L$16"}</definedName>
    <definedName name="___h9" localSheetId="0" hidden="1">{"'Sheet1'!$L$16"}</definedName>
    <definedName name="___h9" localSheetId="6" hidden="1">{"'Sheet1'!$L$16"}</definedName>
    <definedName name="___h9" localSheetId="9" hidden="1">{"'Sheet1'!$L$16"}</definedName>
    <definedName name="___h9" hidden="1">{"'Sheet1'!$L$16"}</definedName>
    <definedName name="___hsm2">1.1289</definedName>
    <definedName name="___hu1" localSheetId="0" hidden="1">{"'Sheet1'!$L$16"}</definedName>
    <definedName name="___hu1" localSheetId="6" hidden="1">{"'Sheet1'!$L$16"}</definedName>
    <definedName name="___hu1" localSheetId="9" hidden="1">{"'Sheet1'!$L$16"}</definedName>
    <definedName name="___hu1" hidden="1">{"'Sheet1'!$L$16"}</definedName>
    <definedName name="___hu2" localSheetId="0" hidden="1">{"'Sheet1'!$L$16"}</definedName>
    <definedName name="___hu2" localSheetId="6" hidden="1">{"'Sheet1'!$L$16"}</definedName>
    <definedName name="___hu2" localSheetId="9" hidden="1">{"'Sheet1'!$L$16"}</definedName>
    <definedName name="___hu2" hidden="1">{"'Sheet1'!$L$16"}</definedName>
    <definedName name="___hu5" localSheetId="0" hidden="1">{"'Sheet1'!$L$16"}</definedName>
    <definedName name="___hu5" localSheetId="6" hidden="1">{"'Sheet1'!$L$16"}</definedName>
    <definedName name="___hu5" localSheetId="9" hidden="1">{"'Sheet1'!$L$16"}</definedName>
    <definedName name="___hu5" hidden="1">{"'Sheet1'!$L$16"}</definedName>
    <definedName name="___hu6" localSheetId="0" hidden="1">{"'Sheet1'!$L$16"}</definedName>
    <definedName name="___hu6" localSheetId="6" hidden="1">{"'Sheet1'!$L$16"}</definedName>
    <definedName name="___hu6" localSheetId="9" hidden="1">{"'Sheet1'!$L$16"}</definedName>
    <definedName name="___hu6" hidden="1">{"'Sheet1'!$L$16"}</definedName>
    <definedName name="___huy1" localSheetId="0" hidden="1">{"'Sheet1'!$L$16"}</definedName>
    <definedName name="___huy1" localSheetId="6" hidden="1">{"'Sheet1'!$L$16"}</definedName>
    <definedName name="___huy1" localSheetId="9" hidden="1">{"'Sheet1'!$L$16"}</definedName>
    <definedName name="___huy1" hidden="1">{"'Sheet1'!$L$16"}</definedName>
    <definedName name="___isc1">0.035</definedName>
    <definedName name="___isc2">0.02</definedName>
    <definedName name="___isc3">0.054</definedName>
    <definedName name="___Lan1" localSheetId="0" hidden="1">{"'Sheet1'!$L$16"}</definedName>
    <definedName name="___Lan1" localSheetId="6" hidden="1">{"'Sheet1'!$L$16"}</definedName>
    <definedName name="___Lan1" localSheetId="9" hidden="1">{"'Sheet1'!$L$16"}</definedName>
    <definedName name="___Lan1" hidden="1">{"'Sheet1'!$L$16"}</definedName>
    <definedName name="___LAN3" localSheetId="0" hidden="1">{"'Sheet1'!$L$16"}</definedName>
    <definedName name="___LAN3" localSheetId="6" hidden="1">{"'Sheet1'!$L$16"}</definedName>
    <definedName name="___LAN3" localSheetId="9" hidden="1">{"'Sheet1'!$L$16"}</definedName>
    <definedName name="___LAN3" hidden="1">{"'Sheet1'!$L$16"}</definedName>
    <definedName name="___lk2" localSheetId="0" hidden="1">{"'Sheet1'!$L$16"}</definedName>
    <definedName name="___lk2" localSheetId="6" hidden="1">{"'Sheet1'!$L$16"}</definedName>
    <definedName name="___lk2" localSheetId="9" hidden="1">{"'Sheet1'!$L$16"}</definedName>
    <definedName name="___lk2" hidden="1">{"'Sheet1'!$L$16"}</definedName>
    <definedName name="___M36" localSheetId="0" hidden="1">{"'Sheet1'!$L$16"}</definedName>
    <definedName name="___M36" localSheetId="6" hidden="1">{"'Sheet1'!$L$16"}</definedName>
    <definedName name="___M36" localSheetId="9" hidden="1">{"'Sheet1'!$L$16"}</definedName>
    <definedName name="___M36" hidden="1">{"'Sheet1'!$L$16"}</definedName>
    <definedName name="___NSO2" localSheetId="0" hidden="1">{"'Sheet1'!$L$16"}</definedName>
    <definedName name="___NSO2" localSheetId="6" hidden="1">{"'Sheet1'!$L$16"}</definedName>
    <definedName name="___NSO2" localSheetId="9" hidden="1">{"'Sheet1'!$L$16"}</definedName>
    <definedName name="___NSO2" hidden="1">{"'Sheet1'!$L$16"}</definedName>
    <definedName name="___PA3" localSheetId="0" hidden="1">{"'Sheet1'!$L$16"}</definedName>
    <definedName name="___PA3" localSheetId="6" hidden="1">{"'Sheet1'!$L$16"}</definedName>
    <definedName name="___PA3" localSheetId="9" hidden="1">{"'Sheet1'!$L$16"}</definedName>
    <definedName name="___PA3" hidden="1">{"'Sheet1'!$L$16"}</definedName>
    <definedName name="___Pl2" localSheetId="0" hidden="1">{"'Sheet1'!$L$16"}</definedName>
    <definedName name="___Pl2" localSheetId="6" hidden="1">{"'Sheet1'!$L$16"}</definedName>
    <definedName name="___Pl2" localSheetId="9" hidden="1">{"'Sheet1'!$L$16"}</definedName>
    <definedName name="___Pl2" hidden="1">{"'Sheet1'!$L$16"}</definedName>
    <definedName name="___SCL4" localSheetId="0" hidden="1">{"'Sheet1'!$L$16"}</definedName>
    <definedName name="___SCL4" localSheetId="6" hidden="1">{"'Sheet1'!$L$16"}</definedName>
    <definedName name="___SCL4" localSheetId="9" hidden="1">{"'Sheet1'!$L$16"}</definedName>
    <definedName name="___SCL4" hidden="1">{"'Sheet1'!$L$16"}</definedName>
    <definedName name="___SOC10">0.3456</definedName>
    <definedName name="___SOC8">0.2827</definedName>
    <definedName name="___Sta1">531.877</definedName>
    <definedName name="___Sta2">561.952</definedName>
    <definedName name="___Sta3">712.202</definedName>
    <definedName name="___Sta4">762.202</definedName>
    <definedName name="___TK211" localSheetId="0" hidden="1">{"'Sheet1'!$L$16"}</definedName>
    <definedName name="___TK211" localSheetId="6" hidden="1">{"'Sheet1'!$L$16"}</definedName>
    <definedName name="___TK211" localSheetId="9" hidden="1">{"'Sheet1'!$L$16"}</definedName>
    <definedName name="___TK211" hidden="1">{"'Sheet1'!$L$16"}</definedName>
    <definedName name="___Tru21" localSheetId="0">{"'Sheet1'!$L$16"}</definedName>
    <definedName name="___Tru21" localSheetId="9">{"'Sheet1'!$L$16"}</definedName>
    <definedName name="___Tru21">{"'Sheet1'!$L$16"}</definedName>
    <definedName name="___tt3" localSheetId="0">{"'Sheet1'!$L$16"}</definedName>
    <definedName name="___tt3" localSheetId="9">{"'Sheet1'!$L$16"}</definedName>
    <definedName name="___tt3">{"'Sheet1'!$L$16"}</definedName>
    <definedName name="___TT31" localSheetId="0" hidden="1">{"'Sheet1'!$L$16"}</definedName>
    <definedName name="___TT31" localSheetId="6" hidden="1">{"'Sheet1'!$L$16"}</definedName>
    <definedName name="___TT31" localSheetId="9" hidden="1">{"'Sheet1'!$L$16"}</definedName>
    <definedName name="___TT31" hidden="1">{"'Sheet1'!$L$16"}</definedName>
    <definedName name="___vl2" localSheetId="0" hidden="1">{"'Sheet1'!$L$16"}</definedName>
    <definedName name="___vl2" localSheetId="6" hidden="1">{"'Sheet1'!$L$16"}</definedName>
    <definedName name="___vl2" localSheetId="9" hidden="1">{"'Sheet1'!$L$16"}</definedName>
    <definedName name="___vl2" hidden="1">{"'Sheet1'!$L$16"}</definedName>
    <definedName name="___VLP2" localSheetId="0" hidden="1">{"'Sheet1'!$L$16"}</definedName>
    <definedName name="___VLP2" localSheetId="6" hidden="1">{"'Sheet1'!$L$16"}</definedName>
    <definedName name="___VLP2" localSheetId="9" hidden="1">{"'Sheet1'!$L$16"}</definedName>
    <definedName name="___VLP2" hidden="1">{"'Sheet1'!$L$16"}</definedName>
    <definedName name="__a1" localSheetId="0" hidden="1">{"'Sheet1'!$L$16"}</definedName>
    <definedName name="__a1" localSheetId="6" hidden="1">{"'Sheet1'!$L$16"}</definedName>
    <definedName name="__a1" localSheetId="9" hidden="1">{"'Sheet1'!$L$16"}</definedName>
    <definedName name="__a1" hidden="1">{"'Sheet1'!$L$16"}</definedName>
    <definedName name="__a2" localSheetId="0" hidden="1">{"'Sheet1'!$L$16"}</definedName>
    <definedName name="__a2" localSheetId="6" hidden="1">{"'Sheet1'!$L$16"}</definedName>
    <definedName name="__a2" localSheetId="9" hidden="1">{"'Sheet1'!$L$16"}</definedName>
    <definedName name="__a2" hidden="1">{"'Sheet1'!$L$16"}</definedName>
    <definedName name="__B1" localSheetId="0" hidden="1">{"'Sheet1'!$L$16"}</definedName>
    <definedName name="__B1" localSheetId="6" hidden="1">{"'Sheet1'!$L$16"}</definedName>
    <definedName name="__B1" localSheetId="9" hidden="1">{"'Sheet1'!$L$16"}</definedName>
    <definedName name="__B1" hidden="1">{"'Sheet1'!$L$16"}</definedName>
    <definedName name="__ban2" localSheetId="0" hidden="1">{"'Sheet1'!$L$16"}</definedName>
    <definedName name="__ban2" localSheetId="6" hidden="1">{"'Sheet1'!$L$16"}</definedName>
    <definedName name="__ban2" localSheetId="9" hidden="1">{"'Sheet1'!$L$16"}</definedName>
    <definedName name="__ban2" hidden="1">{"'Sheet1'!$L$16"}</definedName>
    <definedName name="__cep1" localSheetId="0" hidden="1">{"'Sheet1'!$L$16"}</definedName>
    <definedName name="__cep1" localSheetId="6" hidden="1">{"'Sheet1'!$L$16"}</definedName>
    <definedName name="__cep1" localSheetId="9" hidden="1">{"'Sheet1'!$L$16"}</definedName>
    <definedName name="__cep1" hidden="1">{"'Sheet1'!$L$16"}</definedName>
    <definedName name="__Coc39" localSheetId="0" hidden="1">{"'Sheet1'!$L$16"}</definedName>
    <definedName name="__Coc39" localSheetId="6" hidden="1">{"'Sheet1'!$L$16"}</definedName>
    <definedName name="__Coc39" localSheetId="9" hidden="1">{"'Sheet1'!$L$16"}</definedName>
    <definedName name="__Coc39" hidden="1">{"'Sheet1'!$L$16"}</definedName>
    <definedName name="__Count">9</definedName>
    <definedName name="__DT12" localSheetId="0" hidden="1">{"'Sheet1'!$L$16"}</definedName>
    <definedName name="__DT12" localSheetId="6" hidden="1">{"'Sheet1'!$L$16"}</definedName>
    <definedName name="__DT12" localSheetId="9" hidden="1">{"'Sheet1'!$L$16"}</definedName>
    <definedName name="__DT12" hidden="1">{"'Sheet1'!$L$16"}</definedName>
    <definedName name="__f5" localSheetId="0" hidden="1">{"'Sheet1'!$L$16"}</definedName>
    <definedName name="__f5" localSheetId="6" hidden="1">{"'Sheet1'!$L$16"}</definedName>
    <definedName name="__f5" localSheetId="9" hidden="1">{"'Sheet1'!$L$16"}</definedName>
    <definedName name="__f5" hidden="1">{"'Sheet1'!$L$16"}</definedName>
    <definedName name="__Goi8" localSheetId="0" hidden="1">{"'Sheet1'!$L$16"}</definedName>
    <definedName name="__Goi8" localSheetId="6" hidden="1">{"'Sheet1'!$L$16"}</definedName>
    <definedName name="__Goi8" localSheetId="9" hidden="1">{"'Sheet1'!$L$16"}</definedName>
    <definedName name="__Goi8" hidden="1">{"'Sheet1'!$L$16"}</definedName>
    <definedName name="__h1" localSheetId="0" hidden="1">{"'Sheet1'!$L$16"}</definedName>
    <definedName name="__h1" localSheetId="6" hidden="1">{"'Sheet1'!$L$16"}</definedName>
    <definedName name="__h1" localSheetId="9" hidden="1">{"'Sheet1'!$L$16"}</definedName>
    <definedName name="__h1" hidden="1">{"'Sheet1'!$L$16"}</definedName>
    <definedName name="__h2" localSheetId="0" hidden="1">{"'Sheet1'!$L$16"}</definedName>
    <definedName name="__h2" localSheetId="6" hidden="1">{"'Sheet1'!$L$16"}</definedName>
    <definedName name="__h2" localSheetId="9" hidden="1">{"'Sheet1'!$L$16"}</definedName>
    <definedName name="__h2" hidden="1">{"'Sheet1'!$L$16"}</definedName>
    <definedName name="__h3" localSheetId="0" hidden="1">{"'Sheet1'!$L$16"}</definedName>
    <definedName name="__h3" localSheetId="6" hidden="1">{"'Sheet1'!$L$16"}</definedName>
    <definedName name="__h3" localSheetId="9" hidden="1">{"'Sheet1'!$L$16"}</definedName>
    <definedName name="__h3" hidden="1">{"'Sheet1'!$L$16"}</definedName>
    <definedName name="__h5" localSheetId="0" hidden="1">{"'Sheet1'!$L$16"}</definedName>
    <definedName name="__h5" localSheetId="6" hidden="1">{"'Sheet1'!$L$16"}</definedName>
    <definedName name="__h5" localSheetId="9" hidden="1">{"'Sheet1'!$L$16"}</definedName>
    <definedName name="__h5" hidden="1">{"'Sheet1'!$L$16"}</definedName>
    <definedName name="__h6" localSheetId="0" hidden="1">{"'Sheet1'!$L$16"}</definedName>
    <definedName name="__h6" localSheetId="6" hidden="1">{"'Sheet1'!$L$16"}</definedName>
    <definedName name="__h6" localSheetId="9" hidden="1">{"'Sheet1'!$L$16"}</definedName>
    <definedName name="__h6" hidden="1">{"'Sheet1'!$L$16"}</definedName>
    <definedName name="__h7" localSheetId="0" hidden="1">{"'Sheet1'!$L$16"}</definedName>
    <definedName name="__h7" localSheetId="6" hidden="1">{"'Sheet1'!$L$16"}</definedName>
    <definedName name="__h7" localSheetId="9" hidden="1">{"'Sheet1'!$L$16"}</definedName>
    <definedName name="__h7" hidden="1">{"'Sheet1'!$L$16"}</definedName>
    <definedName name="__h8" localSheetId="0" hidden="1">{"'Sheet1'!$L$16"}</definedName>
    <definedName name="__h8" localSheetId="6" hidden="1">{"'Sheet1'!$L$16"}</definedName>
    <definedName name="__h8" localSheetId="9" hidden="1">{"'Sheet1'!$L$16"}</definedName>
    <definedName name="__h8" hidden="1">{"'Sheet1'!$L$16"}</definedName>
    <definedName name="__h9" localSheetId="0" hidden="1">{"'Sheet1'!$L$16"}</definedName>
    <definedName name="__h9" localSheetId="6" hidden="1">{"'Sheet1'!$L$16"}</definedName>
    <definedName name="__h9" localSheetId="9" hidden="1">{"'Sheet1'!$L$16"}</definedName>
    <definedName name="__h9" hidden="1">{"'Sheet1'!$L$16"}</definedName>
    <definedName name="__hsm2">1.1289</definedName>
    <definedName name="__hu1" localSheetId="0" hidden="1">{"'Sheet1'!$L$16"}</definedName>
    <definedName name="__hu1" localSheetId="6" hidden="1">{"'Sheet1'!$L$16"}</definedName>
    <definedName name="__hu1" localSheetId="9" hidden="1">{"'Sheet1'!$L$16"}</definedName>
    <definedName name="__hu1" hidden="1">{"'Sheet1'!$L$16"}</definedName>
    <definedName name="__hu2" localSheetId="0" hidden="1">{"'Sheet1'!$L$16"}</definedName>
    <definedName name="__hu2" localSheetId="6" hidden="1">{"'Sheet1'!$L$16"}</definedName>
    <definedName name="__hu2" localSheetId="9" hidden="1">{"'Sheet1'!$L$16"}</definedName>
    <definedName name="__hu2" hidden="1">{"'Sheet1'!$L$16"}</definedName>
    <definedName name="__hu5" localSheetId="0" hidden="1">{"'Sheet1'!$L$16"}</definedName>
    <definedName name="__hu5" localSheetId="6" hidden="1">{"'Sheet1'!$L$16"}</definedName>
    <definedName name="__hu5" localSheetId="9" hidden="1">{"'Sheet1'!$L$16"}</definedName>
    <definedName name="__hu5" hidden="1">{"'Sheet1'!$L$16"}</definedName>
    <definedName name="__hu6" localSheetId="0" hidden="1">{"'Sheet1'!$L$16"}</definedName>
    <definedName name="__hu6" localSheetId="6" hidden="1">{"'Sheet1'!$L$16"}</definedName>
    <definedName name="__hu6" localSheetId="9" hidden="1">{"'Sheet1'!$L$16"}</definedName>
    <definedName name="__hu6" hidden="1">{"'Sheet1'!$L$16"}</definedName>
    <definedName name="__huy1" localSheetId="0" hidden="1">{"'Sheet1'!$L$16"}</definedName>
    <definedName name="__huy1" localSheetId="6" hidden="1">{"'Sheet1'!$L$16"}</definedName>
    <definedName name="__huy1" localSheetId="9" hidden="1">{"'Sheet1'!$L$16"}</definedName>
    <definedName name="__huy1" hidden="1">{"'Sheet1'!$L$16"}</definedName>
    <definedName name="__IntlFixup" hidden="1">TRUE</definedName>
    <definedName name="__isc1">0.035</definedName>
    <definedName name="__isc2">0.02</definedName>
    <definedName name="__isc3">0.054</definedName>
    <definedName name="__kl11" localSheetId="0" hidden="1">{"'Sheet1'!$L$16"}</definedName>
    <definedName name="__kl11" localSheetId="6" hidden="1">{"'Sheet1'!$L$16"}</definedName>
    <definedName name="__kl11" localSheetId="9" hidden="1">{"'Sheet1'!$L$16"}</definedName>
    <definedName name="__kl11" hidden="1">{"'Sheet1'!$L$16"}</definedName>
    <definedName name="__kl4" localSheetId="0" hidden="1">{"'Sheet1'!$L$16"}</definedName>
    <definedName name="__kl4" localSheetId="6" hidden="1">{"'Sheet1'!$L$16"}</definedName>
    <definedName name="__kl4" localSheetId="9" hidden="1">{"'Sheet1'!$L$16"}</definedName>
    <definedName name="__kl4" hidden="1">{"'Sheet1'!$L$16"}</definedName>
    <definedName name="__kl6" localSheetId="0" hidden="1">{"'Sheet1'!$L$16"}</definedName>
    <definedName name="__kl6" localSheetId="6" hidden="1">{"'Sheet1'!$L$16"}</definedName>
    <definedName name="__kl6" localSheetId="9" hidden="1">{"'Sheet1'!$L$16"}</definedName>
    <definedName name="__kl6" hidden="1">{"'Sheet1'!$L$16"}</definedName>
    <definedName name="__Lan1" localSheetId="0" hidden="1">{"'Sheet1'!$L$16"}</definedName>
    <definedName name="__Lan1" localSheetId="6" hidden="1">{"'Sheet1'!$L$16"}</definedName>
    <definedName name="__Lan1" localSheetId="9" hidden="1">{"'Sheet1'!$L$16"}</definedName>
    <definedName name="__Lan1" hidden="1">{"'Sheet1'!$L$16"}</definedName>
    <definedName name="__LAN3" localSheetId="0" hidden="1">{"'Sheet1'!$L$16"}</definedName>
    <definedName name="__LAN3" localSheetId="6" hidden="1">{"'Sheet1'!$L$16"}</definedName>
    <definedName name="__LAN3" localSheetId="9" hidden="1">{"'Sheet1'!$L$16"}</definedName>
    <definedName name="__LAN3" hidden="1">{"'Sheet1'!$L$16"}</definedName>
    <definedName name="__lk2" localSheetId="0" hidden="1">{"'Sheet1'!$L$16"}</definedName>
    <definedName name="__lk2" localSheetId="6" hidden="1">{"'Sheet1'!$L$16"}</definedName>
    <definedName name="__lk2" localSheetId="9" hidden="1">{"'Sheet1'!$L$16"}</definedName>
    <definedName name="__lk2" hidden="1">{"'Sheet1'!$L$16"}</definedName>
    <definedName name="__M36" localSheetId="0" hidden="1">{"'Sheet1'!$L$16"}</definedName>
    <definedName name="__M36" localSheetId="6" hidden="1">{"'Sheet1'!$L$16"}</definedName>
    <definedName name="__M36" localSheetId="9" hidden="1">{"'Sheet1'!$L$16"}</definedName>
    <definedName name="__M36" hidden="1">{"'Sheet1'!$L$16"}</definedName>
    <definedName name="__NSO2" localSheetId="0" hidden="1">{"'Sheet1'!$L$16"}</definedName>
    <definedName name="__NSO2" localSheetId="6" hidden="1">{"'Sheet1'!$L$16"}</definedName>
    <definedName name="__NSO2" localSheetId="9" hidden="1">{"'Sheet1'!$L$16"}</definedName>
    <definedName name="__NSO2" hidden="1">{"'Sheet1'!$L$16"}</definedName>
    <definedName name="__PA3" localSheetId="0" hidden="1">{"'Sheet1'!$L$16"}</definedName>
    <definedName name="__PA3" localSheetId="6" hidden="1">{"'Sheet1'!$L$16"}</definedName>
    <definedName name="__PA3" localSheetId="9" hidden="1">{"'Sheet1'!$L$16"}</definedName>
    <definedName name="__PA3" hidden="1">{"'Sheet1'!$L$16"}</definedName>
    <definedName name="__Pl2" localSheetId="0" hidden="1">{"'Sheet1'!$L$16"}</definedName>
    <definedName name="__Pl2" localSheetId="6" hidden="1">{"'Sheet1'!$L$16"}</definedName>
    <definedName name="__Pl2" localSheetId="9" hidden="1">{"'Sheet1'!$L$16"}</definedName>
    <definedName name="__Pl2" hidden="1">{"'Sheet1'!$L$16"}</definedName>
    <definedName name="__SCL4" localSheetId="0" hidden="1">{"'Sheet1'!$L$16"}</definedName>
    <definedName name="__SCL4" localSheetId="6" hidden="1">{"'Sheet1'!$L$16"}</definedName>
    <definedName name="__SCL4" localSheetId="9" hidden="1">{"'Sheet1'!$L$16"}</definedName>
    <definedName name="__SCL4" hidden="1">{"'Sheet1'!$L$16"}</definedName>
    <definedName name="__SOC10">0.3456</definedName>
    <definedName name="__SOC8">0.2827</definedName>
    <definedName name="__Sta1">531.877</definedName>
    <definedName name="__Sta2">561.952</definedName>
    <definedName name="__Sta3">712.202</definedName>
    <definedName name="__Sta4">762.202</definedName>
    <definedName name="__TH1" localSheetId="0" hidden="1">{"'Sheet1'!$L$16"}</definedName>
    <definedName name="__TH1" localSheetId="6" hidden="1">{"'Sheet1'!$L$16"}</definedName>
    <definedName name="__TH1" localSheetId="9" hidden="1">{"'Sheet1'!$L$16"}</definedName>
    <definedName name="__TH1" hidden="1">{"'Sheet1'!$L$16"}</definedName>
    <definedName name="__TK211" localSheetId="0" hidden="1">{"'Sheet1'!$L$16"}</definedName>
    <definedName name="__TK211" localSheetId="6" hidden="1">{"'Sheet1'!$L$16"}</definedName>
    <definedName name="__TK211" localSheetId="9" hidden="1">{"'Sheet1'!$L$16"}</definedName>
    <definedName name="__TK211" hidden="1">{"'Sheet1'!$L$16"}</definedName>
    <definedName name="__Tru21" localSheetId="0" hidden="1">{"'Sheet1'!$L$16"}</definedName>
    <definedName name="__Tru21" localSheetId="6" hidden="1">{"'Sheet1'!$L$16"}</definedName>
    <definedName name="__Tru21" localSheetId="9" hidden="1">{"'Sheet1'!$L$16"}</definedName>
    <definedName name="__Tru21" hidden="1">{"'Sheet1'!$L$16"}</definedName>
    <definedName name="__tt3" localSheetId="0" hidden="1">{"'Sheet1'!$L$16"}</definedName>
    <definedName name="__tt3" localSheetId="6" hidden="1">{"'Sheet1'!$L$16"}</definedName>
    <definedName name="__tt3" localSheetId="9" hidden="1">{"'Sheet1'!$L$16"}</definedName>
    <definedName name="__tt3" hidden="1">{"'Sheet1'!$L$16"}</definedName>
    <definedName name="__TT31" localSheetId="0" hidden="1">{"'Sheet1'!$L$16"}</definedName>
    <definedName name="__TT31" localSheetId="6" hidden="1">{"'Sheet1'!$L$16"}</definedName>
    <definedName name="__TT31" localSheetId="9" hidden="1">{"'Sheet1'!$L$16"}</definedName>
    <definedName name="__TT31" hidden="1">{"'Sheet1'!$L$16"}</definedName>
    <definedName name="__vl1" localSheetId="0" hidden="1">{"'Sheet1'!$L$16"}</definedName>
    <definedName name="__vl1" localSheetId="6" hidden="1">{"'Sheet1'!$L$16"}</definedName>
    <definedName name="__vl1" localSheetId="9" hidden="1">{"'Sheet1'!$L$16"}</definedName>
    <definedName name="__vl1" hidden="1">{"'Sheet1'!$L$16"}</definedName>
    <definedName name="__vl2" localSheetId="0" hidden="1">{"'Sheet1'!$L$16"}</definedName>
    <definedName name="__vl2" localSheetId="6" hidden="1">{"'Sheet1'!$L$16"}</definedName>
    <definedName name="__vl2" localSheetId="9" hidden="1">{"'Sheet1'!$L$16"}</definedName>
    <definedName name="__vl2" hidden="1">{"'Sheet1'!$L$16"}</definedName>
    <definedName name="__VLP2" localSheetId="0" hidden="1">{"'Sheet1'!$L$16"}</definedName>
    <definedName name="__VLP2" localSheetId="6" hidden="1">{"'Sheet1'!$L$16"}</definedName>
    <definedName name="__VLP2" localSheetId="9" hidden="1">{"'Sheet1'!$L$16"}</definedName>
    <definedName name="__VLP2" hidden="1">{"'Sheet1'!$L$16"}</definedName>
    <definedName name="_40x4">5100</definedName>
    <definedName name="_7.37_x_1.5_x_128_x_5000">"®¬n gi¸ 1 trang x hÖ sè khæ x sè trang x sè l­îng cuèn"</definedName>
    <definedName name="_a1" localSheetId="0" hidden="1">{"'Sheet1'!$L$16"}</definedName>
    <definedName name="_a1" localSheetId="6" hidden="1">{"'Sheet1'!$L$16"}</definedName>
    <definedName name="_a1" localSheetId="9" hidden="1">{"'Sheet1'!$L$16"}</definedName>
    <definedName name="_a1" hidden="1">{"'Sheet1'!$L$16"}</definedName>
    <definedName name="_A4" localSheetId="0" hidden="1">{"'Sheet1'!$L$16"}</definedName>
    <definedName name="_A4" localSheetId="6" hidden="1">{"'Sheet1'!$L$16"}</definedName>
    <definedName name="_A4" localSheetId="9" hidden="1">{"'Sheet1'!$L$16"}</definedName>
    <definedName name="_A4" hidden="1">{"'Sheet1'!$L$16"}</definedName>
    <definedName name="_B1" localSheetId="0" hidden="1">{"'Sheet1'!$L$16"}</definedName>
    <definedName name="_B1" localSheetId="6" hidden="1">{"'Sheet1'!$L$16"}</definedName>
    <definedName name="_B1" localSheetId="9" hidden="1">{"'Sheet1'!$L$16"}</definedName>
    <definedName name="_B1" hidden="1">{"'Sheet1'!$L$16"}</definedName>
    <definedName name="_b4" localSheetId="0" hidden="1">{"'Sheet1'!$L$16"}</definedName>
    <definedName name="_b4" localSheetId="6" hidden="1">{"'Sheet1'!$L$16"}</definedName>
    <definedName name="_b4" localSheetId="9" hidden="1">{"'Sheet1'!$L$16"}</definedName>
    <definedName name="_b4" hidden="1">{"'Sheet1'!$L$16"}</definedName>
    <definedName name="_ban2" localSheetId="0" hidden="1">{"'Sheet1'!$L$16"}</definedName>
    <definedName name="_ban2" localSheetId="6" hidden="1">{"'Sheet1'!$L$16"}</definedName>
    <definedName name="_ban2" localSheetId="9" hidden="1">{"'Sheet1'!$L$16"}</definedName>
    <definedName name="_ban2" hidden="1">{"'Sheet1'!$L$16"}</definedName>
    <definedName name="_CD2" localSheetId="0" hidden="1">{"'Sheet1'!$L$16"}</definedName>
    <definedName name="_CD2" localSheetId="6" hidden="1">{"'Sheet1'!$L$16"}</definedName>
    <definedName name="_CD2" localSheetId="9" hidden="1">{"'Sheet1'!$L$16"}</definedName>
    <definedName name="_CD2" hidden="1">{"'Sheet1'!$L$16"}</definedName>
    <definedName name="_cep1" localSheetId="0" hidden="1">{"'Sheet1'!$L$16"}</definedName>
    <definedName name="_cep1" localSheetId="6" hidden="1">{"'Sheet1'!$L$16"}</definedName>
    <definedName name="_cep1" localSheetId="9" hidden="1">{"'Sheet1'!$L$16"}</definedName>
    <definedName name="_cep1" hidden="1">{"'Sheet1'!$L$16"}</definedName>
    <definedName name="_Coc39" localSheetId="0" hidden="1">{"'Sheet1'!$L$16"}</definedName>
    <definedName name="_Coc39" localSheetId="6" hidden="1">{"'Sheet1'!$L$16"}</definedName>
    <definedName name="_Coc39" localSheetId="9" hidden="1">{"'Sheet1'!$L$16"}</definedName>
    <definedName name="_Coc39" hidden="1">{"'Sheet1'!$L$16"}</definedName>
    <definedName name="_Count">4</definedName>
    <definedName name="_d1500" localSheetId="0" hidden="1">{"'Sheet1'!$L$16"}</definedName>
    <definedName name="_d1500" localSheetId="6" hidden="1">{"'Sheet1'!$L$16"}</definedName>
    <definedName name="_d1500" localSheetId="9" hidden="1">{"'Sheet1'!$L$16"}</definedName>
    <definedName name="_d1500" hidden="1">{"'Sheet1'!$L$16"}</definedName>
    <definedName name="_DT12" localSheetId="0" hidden="1">{"'Sheet1'!$L$16"}</definedName>
    <definedName name="_DT12" localSheetId="6" hidden="1">{"'Sheet1'!$L$16"}</definedName>
    <definedName name="_DT12" localSheetId="9" hidden="1">{"'Sheet1'!$L$16"}</definedName>
    <definedName name="_DT12" hidden="1">{"'Sheet1'!$L$16"}</definedName>
    <definedName name="_f5" localSheetId="0" hidden="1">{"'Sheet1'!$L$16"}</definedName>
    <definedName name="_f5" localSheetId="6" hidden="1">{"'Sheet1'!$L$16"}</definedName>
    <definedName name="_f5" localSheetId="9" hidden="1">{"'Sheet1'!$L$16"}</definedName>
    <definedName name="_f5" hidden="1">{"'Sheet1'!$L$16"}</definedName>
    <definedName name="_xlnm._FilterDatabase" localSheetId="1" hidden="1">'3.14.Đăk Hà'!$E$8:$K$12</definedName>
    <definedName name="_xlnm._FilterDatabase" localSheetId="2" hidden="1">'3.15.Đăk Tô'!$C$7:$E$115</definedName>
    <definedName name="_xlnm._FilterDatabase" localSheetId="4" hidden="1">'3.17.Ngọc Hồi'!$A$7:$CC$11</definedName>
    <definedName name="_xlnm._FilterDatabase" localSheetId="5" hidden="1">'3.18.Đăk Glei'!$A$11:$CC$103</definedName>
    <definedName name="_xlnm._FilterDatabase" localSheetId="6" hidden="1">'3.19.Sa Thầy'!$A$12:$BX$83</definedName>
    <definedName name="_xlnm._FilterDatabase" localSheetId="7" hidden="1">'3.20.Ia HDrai'!$A$11:$CF$108</definedName>
    <definedName name="_xlnm._FilterDatabase" localSheetId="8" hidden="1">'3.21.Kon Rẫy'!$A$11:$BZ$130</definedName>
    <definedName name="_Goi8" localSheetId="0" hidden="1">{"'Sheet1'!$L$16"}</definedName>
    <definedName name="_Goi8" localSheetId="6" hidden="1">{"'Sheet1'!$L$16"}</definedName>
    <definedName name="_Goi8" localSheetId="9" hidden="1">{"'Sheet1'!$L$16"}</definedName>
    <definedName name="_Goi8" hidden="1">{"'Sheet1'!$L$16"}</definedName>
    <definedName name="_h1" localSheetId="0" hidden="1">{"'Sheet1'!$L$16"}</definedName>
    <definedName name="_h1" localSheetId="6" hidden="1">{"'Sheet1'!$L$16"}</definedName>
    <definedName name="_h1" localSheetId="9" hidden="1">{"'Sheet1'!$L$16"}</definedName>
    <definedName name="_h1" hidden="1">{"'Sheet1'!$L$16"}</definedName>
    <definedName name="_h2" localSheetId="0" hidden="1">{"'Sheet1'!$L$16"}</definedName>
    <definedName name="_h2" localSheetId="6" hidden="1">{"'Sheet1'!$L$16"}</definedName>
    <definedName name="_h2" localSheetId="9" hidden="1">{"'Sheet1'!$L$16"}</definedName>
    <definedName name="_h2" hidden="1">{"'Sheet1'!$L$16"}</definedName>
    <definedName name="_h3" localSheetId="0" hidden="1">{"'Sheet1'!$L$16"}</definedName>
    <definedName name="_h3" localSheetId="6" hidden="1">{"'Sheet1'!$L$16"}</definedName>
    <definedName name="_h3" localSheetId="9" hidden="1">{"'Sheet1'!$L$16"}</definedName>
    <definedName name="_h3" hidden="1">{"'Sheet1'!$L$16"}</definedName>
    <definedName name="_h5" localSheetId="0" hidden="1">{"'Sheet1'!$L$16"}</definedName>
    <definedName name="_h5" localSheetId="6" hidden="1">{"'Sheet1'!$L$16"}</definedName>
    <definedName name="_h5" localSheetId="9" hidden="1">{"'Sheet1'!$L$16"}</definedName>
    <definedName name="_h5" hidden="1">{"'Sheet1'!$L$16"}</definedName>
    <definedName name="_h6" localSheetId="0" hidden="1">{"'Sheet1'!$L$16"}</definedName>
    <definedName name="_h6" localSheetId="6" hidden="1">{"'Sheet1'!$L$16"}</definedName>
    <definedName name="_h6" localSheetId="9" hidden="1">{"'Sheet1'!$L$16"}</definedName>
    <definedName name="_h6" hidden="1">{"'Sheet1'!$L$16"}</definedName>
    <definedName name="_h7" localSheetId="0" hidden="1">{"'Sheet1'!$L$16"}</definedName>
    <definedName name="_h7" localSheetId="6" hidden="1">{"'Sheet1'!$L$16"}</definedName>
    <definedName name="_h7" localSheetId="9" hidden="1">{"'Sheet1'!$L$16"}</definedName>
    <definedName name="_h7" hidden="1">{"'Sheet1'!$L$16"}</definedName>
    <definedName name="_h8" localSheetId="0" hidden="1">{"'Sheet1'!$L$16"}</definedName>
    <definedName name="_h8" localSheetId="6" hidden="1">{"'Sheet1'!$L$16"}</definedName>
    <definedName name="_h8" localSheetId="9" hidden="1">{"'Sheet1'!$L$16"}</definedName>
    <definedName name="_h8" hidden="1">{"'Sheet1'!$L$16"}</definedName>
    <definedName name="_h9" localSheetId="0" hidden="1">{"'Sheet1'!$L$16"}</definedName>
    <definedName name="_h9" localSheetId="6" hidden="1">{"'Sheet1'!$L$16"}</definedName>
    <definedName name="_h9" localSheetId="9" hidden="1">{"'Sheet1'!$L$16"}</definedName>
    <definedName name="_h9" hidden="1">{"'Sheet1'!$L$16"}</definedName>
    <definedName name="_hsm2">1.1289</definedName>
    <definedName name="_hu1" localSheetId="0" hidden="1">{"'Sheet1'!$L$16"}</definedName>
    <definedName name="_hu1" localSheetId="6" hidden="1">{"'Sheet1'!$L$16"}</definedName>
    <definedName name="_hu1" localSheetId="9" hidden="1">{"'Sheet1'!$L$16"}</definedName>
    <definedName name="_hu1" hidden="1">{"'Sheet1'!$L$16"}</definedName>
    <definedName name="_hu2" localSheetId="0" hidden="1">{"'Sheet1'!$L$16"}</definedName>
    <definedName name="_hu2" localSheetId="6" hidden="1">{"'Sheet1'!$L$16"}</definedName>
    <definedName name="_hu2" localSheetId="9" hidden="1">{"'Sheet1'!$L$16"}</definedName>
    <definedName name="_hu2" hidden="1">{"'Sheet1'!$L$16"}</definedName>
    <definedName name="_hu5" localSheetId="0" hidden="1">{"'Sheet1'!$L$16"}</definedName>
    <definedName name="_hu5" localSheetId="6" hidden="1">{"'Sheet1'!$L$16"}</definedName>
    <definedName name="_hu5" localSheetId="9" hidden="1">{"'Sheet1'!$L$16"}</definedName>
    <definedName name="_hu5" hidden="1">{"'Sheet1'!$L$16"}</definedName>
    <definedName name="_hu6" localSheetId="0" hidden="1">{"'Sheet1'!$L$16"}</definedName>
    <definedName name="_hu6" localSheetId="6" hidden="1">{"'Sheet1'!$L$16"}</definedName>
    <definedName name="_hu6" localSheetId="9" hidden="1">{"'Sheet1'!$L$16"}</definedName>
    <definedName name="_hu6" hidden="1">{"'Sheet1'!$L$16"}</definedName>
    <definedName name="_huy1" localSheetId="0" hidden="1">{"'Sheet1'!$L$16"}</definedName>
    <definedName name="_huy1" localSheetId="6" hidden="1">{"'Sheet1'!$L$16"}</definedName>
    <definedName name="_huy1" localSheetId="9" hidden="1">{"'Sheet1'!$L$16"}</definedName>
    <definedName name="_huy1" hidden="1">{"'Sheet1'!$L$16"}</definedName>
    <definedName name="_isc1">0.035</definedName>
    <definedName name="_isc2">0.02</definedName>
    <definedName name="_isc3">0.054</definedName>
    <definedName name="_K146" localSheetId="0" hidden="1">{"'Sheet1'!$L$16"}</definedName>
    <definedName name="_K146" localSheetId="6" hidden="1">{"'Sheet1'!$L$16"}</definedName>
    <definedName name="_K146" localSheetId="9" hidden="1">{"'Sheet1'!$L$16"}</definedName>
    <definedName name="_K146" hidden="1">{"'Sheet1'!$L$16"}</definedName>
    <definedName name="_k27" localSheetId="0" hidden="1">{"'Sheet1'!$L$16"}</definedName>
    <definedName name="_k27" localSheetId="6" hidden="1">{"'Sheet1'!$L$16"}</definedName>
    <definedName name="_k27" localSheetId="9" hidden="1">{"'Sheet1'!$L$16"}</definedName>
    <definedName name="_k27" hidden="1">{"'Sheet1'!$L$16"}</definedName>
    <definedName name="_kl11" localSheetId="0" hidden="1">{"'Sheet1'!$L$16"}</definedName>
    <definedName name="_kl11" localSheetId="6" hidden="1">{"'Sheet1'!$L$16"}</definedName>
    <definedName name="_kl11" localSheetId="9" hidden="1">{"'Sheet1'!$L$16"}</definedName>
    <definedName name="_kl11" hidden="1">{"'Sheet1'!$L$16"}</definedName>
    <definedName name="_kl4" localSheetId="0" hidden="1">{"'Sheet1'!$L$16"}</definedName>
    <definedName name="_kl4" localSheetId="6" hidden="1">{"'Sheet1'!$L$16"}</definedName>
    <definedName name="_kl4" localSheetId="9" hidden="1">{"'Sheet1'!$L$16"}</definedName>
    <definedName name="_kl4" hidden="1">{"'Sheet1'!$L$16"}</definedName>
    <definedName name="_kl6" localSheetId="0" hidden="1">{"'Sheet1'!$L$16"}</definedName>
    <definedName name="_kl6" localSheetId="6" hidden="1">{"'Sheet1'!$L$16"}</definedName>
    <definedName name="_kl6" localSheetId="9" hidden="1">{"'Sheet1'!$L$16"}</definedName>
    <definedName name="_kl6" hidden="1">{"'Sheet1'!$L$16"}</definedName>
    <definedName name="_km03" localSheetId="0" hidden="1">{"'Sheet1'!$L$16"}</definedName>
    <definedName name="_km03" localSheetId="6" hidden="1">{"'Sheet1'!$L$16"}</definedName>
    <definedName name="_km03" localSheetId="9" hidden="1">{"'Sheet1'!$L$16"}</definedName>
    <definedName name="_km03" hidden="1">{"'Sheet1'!$L$16"}</definedName>
    <definedName name="_L123" localSheetId="0" hidden="1">{"'Sheet1'!$L$16"}</definedName>
    <definedName name="_L123" localSheetId="6" hidden="1">{"'Sheet1'!$L$16"}</definedName>
    <definedName name="_L123" localSheetId="9" hidden="1">{"'Sheet1'!$L$16"}</definedName>
    <definedName name="_L123" hidden="1">{"'Sheet1'!$L$16"}</definedName>
    <definedName name="_L1234" localSheetId="0" hidden="1">{"'Sheet1'!$L$16"}</definedName>
    <definedName name="_L1234" localSheetId="6" hidden="1">{"'Sheet1'!$L$16"}</definedName>
    <definedName name="_L1234" localSheetId="9" hidden="1">{"'Sheet1'!$L$16"}</definedName>
    <definedName name="_L1234" hidden="1">{"'Sheet1'!$L$16"}</definedName>
    <definedName name="_Lan1" localSheetId="0" hidden="1">{"'Sheet1'!$L$16"}</definedName>
    <definedName name="_Lan1" localSheetId="6" hidden="1">{"'Sheet1'!$L$16"}</definedName>
    <definedName name="_Lan1" localSheetId="9" hidden="1">{"'Sheet1'!$L$16"}</definedName>
    <definedName name="_Lan1" hidden="1">{"'Sheet1'!$L$16"}</definedName>
    <definedName name="_LAN3" localSheetId="0" hidden="1">{"'Sheet1'!$L$16"}</definedName>
    <definedName name="_LAN3" localSheetId="6" hidden="1">{"'Sheet1'!$L$16"}</definedName>
    <definedName name="_LAN3" localSheetId="9" hidden="1">{"'Sheet1'!$L$16"}</definedName>
    <definedName name="_LAN3" hidden="1">{"'Sheet1'!$L$16"}</definedName>
    <definedName name="_lk2" localSheetId="0" hidden="1">{"'Sheet1'!$L$16"}</definedName>
    <definedName name="_lk2" localSheetId="6" hidden="1">{"'Sheet1'!$L$16"}</definedName>
    <definedName name="_lk2" localSheetId="9" hidden="1">{"'Sheet1'!$L$16"}</definedName>
    <definedName name="_lk2" hidden="1">{"'Sheet1'!$L$16"}</definedName>
    <definedName name="_m1233" localSheetId="0" hidden="1">{"'Sheet1'!$L$16"}</definedName>
    <definedName name="_m1233" localSheetId="6" hidden="1">{"'Sheet1'!$L$16"}</definedName>
    <definedName name="_m1233" localSheetId="9" hidden="1">{"'Sheet1'!$L$16"}</definedName>
    <definedName name="_m1233" hidden="1">{"'Sheet1'!$L$16"}</definedName>
    <definedName name="_M2" localSheetId="0" hidden="1">{"'Sheet1'!$L$16"}</definedName>
    <definedName name="_M2" localSheetId="6" hidden="1">{"'Sheet1'!$L$16"}</definedName>
    <definedName name="_M2" localSheetId="9" hidden="1">{"'Sheet1'!$L$16"}</definedName>
    <definedName name="_M2" hidden="1">{"'Sheet1'!$L$16"}</definedName>
    <definedName name="_M36" localSheetId="0" hidden="1">{"'Sheet1'!$L$16"}</definedName>
    <definedName name="_M36" localSheetId="6" hidden="1">{"'Sheet1'!$L$16"}</definedName>
    <definedName name="_M36" localSheetId="9" hidden="1">{"'Sheet1'!$L$16"}</definedName>
    <definedName name="_M36" hidden="1">{"'Sheet1'!$L$16"}</definedName>
    <definedName name="_MTL12" localSheetId="0" hidden="1">{"'Sheet1'!$L$16"}</definedName>
    <definedName name="_MTL12" localSheetId="6" hidden="1">{"'Sheet1'!$L$16"}</definedName>
    <definedName name="_MTL12" localSheetId="9" hidden="1">{"'Sheet1'!$L$16"}</definedName>
    <definedName name="_MTL12" hidden="1">{"'Sheet1'!$L$16"}</definedName>
    <definedName name="_nam1" localSheetId="0" hidden="1">{"'Sheet1'!$L$16"}</definedName>
    <definedName name="_nam1" localSheetId="6" hidden="1">{"'Sheet1'!$L$16"}</definedName>
    <definedName name="_nam1" localSheetId="9" hidden="1">{"'Sheet1'!$L$16"}</definedName>
    <definedName name="_nam1" hidden="1">{"'Sheet1'!$L$16"}</definedName>
    <definedName name="_nam3" localSheetId="0" hidden="1">{"'Sheet1'!$L$16"}</definedName>
    <definedName name="_nam3" localSheetId="6" hidden="1">{"'Sheet1'!$L$16"}</definedName>
    <definedName name="_nam3" localSheetId="9" hidden="1">{"'Sheet1'!$L$16"}</definedName>
    <definedName name="_nam3" hidden="1">{"'Sheet1'!$L$16"}</definedName>
    <definedName name="_NSO2" localSheetId="0" hidden="1">{"'Sheet1'!$L$16"}</definedName>
    <definedName name="_NSO2" localSheetId="6" hidden="1">{"'Sheet1'!$L$16"}</definedName>
    <definedName name="_NSO2" localSheetId="9" hidden="1">{"'Sheet1'!$L$16"}</definedName>
    <definedName name="_NSO2" hidden="1">{"'Sheet1'!$L$16"}</definedName>
    <definedName name="_Order1" hidden="1">255</definedName>
    <definedName name="_Order2" hidden="1">255</definedName>
    <definedName name="_PA3" localSheetId="0" hidden="1">{"'Sheet1'!$L$16"}</definedName>
    <definedName name="_PA3" localSheetId="6" hidden="1">{"'Sheet1'!$L$16"}</definedName>
    <definedName name="_PA3" localSheetId="9" hidden="1">{"'Sheet1'!$L$16"}</definedName>
    <definedName name="_PA3" hidden="1">{"'Sheet1'!$L$16"}</definedName>
    <definedName name="_phu3" localSheetId="0" hidden="1">{"'Sheet1'!$L$16"}</definedName>
    <definedName name="_phu3" localSheetId="6" hidden="1">{"'Sheet1'!$L$16"}</definedName>
    <definedName name="_phu3" localSheetId="9" hidden="1">{"'Sheet1'!$L$16"}</definedName>
    <definedName name="_phu3" hidden="1">{"'Sheet1'!$L$16"}</definedName>
    <definedName name="_Pl2" localSheetId="0" hidden="1">{"'Sheet1'!$L$16"}</definedName>
    <definedName name="_Pl2" localSheetId="6" hidden="1">{"'Sheet1'!$L$16"}</definedName>
    <definedName name="_Pl2" localSheetId="9" hidden="1">{"'Sheet1'!$L$16"}</definedName>
    <definedName name="_Pl2" hidden="1">{"'Sheet1'!$L$16"}</definedName>
    <definedName name="_SCL4" localSheetId="0" hidden="1">{"'Sheet1'!$L$16"}</definedName>
    <definedName name="_SCL4" localSheetId="6" hidden="1">{"'Sheet1'!$L$16"}</definedName>
    <definedName name="_SCL4" localSheetId="9" hidden="1">{"'Sheet1'!$L$16"}</definedName>
    <definedName name="_SCL4" hidden="1">{"'Sheet1'!$L$16"}</definedName>
    <definedName name="_sg3" localSheetId="0">{"Thuxm2.xls","Sheet1"}</definedName>
    <definedName name="_sg3" localSheetId="9">{"Thuxm2.xls","Sheet1"}</definedName>
    <definedName name="_sg3">{"Thuxm2.xls","Sheet1"}</definedName>
    <definedName name="_SOC10">0.3456</definedName>
    <definedName name="_SOC8">0.2827</definedName>
    <definedName name="_Sta1">531.877</definedName>
    <definedName name="_Sta2">561.952</definedName>
    <definedName name="_Sta3">712.202</definedName>
    <definedName name="_Sta4">762.202</definedName>
    <definedName name="_T12" localSheetId="0">{"'Sheet1'!$L$16"}</definedName>
    <definedName name="_T12" localSheetId="9">{"'Sheet1'!$L$16"}</definedName>
    <definedName name="_T12">{"'Sheet1'!$L$16"}</definedName>
    <definedName name="_TC07" localSheetId="0" hidden="1">{"'Sheet1'!$L$16"}</definedName>
    <definedName name="_TC07" localSheetId="6" hidden="1">{"'Sheet1'!$L$16"}</definedName>
    <definedName name="_TC07" localSheetId="9" hidden="1">{"'Sheet1'!$L$16"}</definedName>
    <definedName name="_TC07" hidden="1">{"'Sheet1'!$L$16"}</definedName>
    <definedName name="_TH1" localSheetId="0" hidden="1">{"'Sheet1'!$L$16"}</definedName>
    <definedName name="_TH1" localSheetId="6" hidden="1">{"'Sheet1'!$L$16"}</definedName>
    <definedName name="_TH1" localSheetId="9" hidden="1">{"'Sheet1'!$L$16"}</definedName>
    <definedName name="_TH1" hidden="1">{"'Sheet1'!$L$16"}</definedName>
    <definedName name="_TH2" localSheetId="0" hidden="1">{"'Sheet1'!$L$16"}</definedName>
    <definedName name="_TH2" localSheetId="6" hidden="1">{"'Sheet1'!$L$16"}</definedName>
    <definedName name="_TH2" localSheetId="9" hidden="1">{"'Sheet1'!$L$16"}</definedName>
    <definedName name="_TH2" hidden="1">{"'Sheet1'!$L$16"}</definedName>
    <definedName name="_TK211" localSheetId="0" hidden="1">{"'Sheet1'!$L$16"}</definedName>
    <definedName name="_TK211" localSheetId="6" hidden="1">{"'Sheet1'!$L$16"}</definedName>
    <definedName name="_TK211" localSheetId="9" hidden="1">{"'Sheet1'!$L$16"}</definedName>
    <definedName name="_TK211" hidden="1">{"'Sheet1'!$L$16"}</definedName>
    <definedName name="_TM2" localSheetId="0" hidden="1">{"'Sheet1'!$L$16"}</definedName>
    <definedName name="_TM2" localSheetId="6" hidden="1">{"'Sheet1'!$L$16"}</definedName>
    <definedName name="_TM2" localSheetId="9" hidden="1">{"'Sheet1'!$L$16"}</definedName>
    <definedName name="_TM2" hidden="1">{"'Sheet1'!$L$16"}</definedName>
    <definedName name="_Tru21" localSheetId="0" hidden="1">{"'Sheet1'!$L$16"}</definedName>
    <definedName name="_Tru21" localSheetId="6" hidden="1">{"'Sheet1'!$L$16"}</definedName>
    <definedName name="_Tru21" localSheetId="9" hidden="1">{"'Sheet1'!$L$16"}</definedName>
    <definedName name="_Tru21" hidden="1">{"'Sheet1'!$L$16"}</definedName>
    <definedName name="_tt3" localSheetId="0" hidden="1">{"'Sheet1'!$L$16"}</definedName>
    <definedName name="_tt3" localSheetId="6" hidden="1">{"'Sheet1'!$L$16"}</definedName>
    <definedName name="_tt3" localSheetId="9" hidden="1">{"'Sheet1'!$L$16"}</definedName>
    <definedName name="_tt3" hidden="1">{"'Sheet1'!$L$16"}</definedName>
    <definedName name="_TT31" localSheetId="0" hidden="1">{"'Sheet1'!$L$16"}</definedName>
    <definedName name="_TT31" localSheetId="6" hidden="1">{"'Sheet1'!$L$16"}</definedName>
    <definedName name="_TT31" localSheetId="9" hidden="1">{"'Sheet1'!$L$16"}</definedName>
    <definedName name="_TT31" hidden="1">{"'Sheet1'!$L$16"}</definedName>
    <definedName name="_vl1" localSheetId="0" hidden="1">{"'Sheet1'!$L$16"}</definedName>
    <definedName name="_vl1" localSheetId="6" hidden="1">{"'Sheet1'!$L$16"}</definedName>
    <definedName name="_vl1" localSheetId="9" hidden="1">{"'Sheet1'!$L$16"}</definedName>
    <definedName name="_vl1" hidden="1">{"'Sheet1'!$L$16"}</definedName>
    <definedName name="_vl2" localSheetId="0" hidden="1">{"'Sheet1'!$L$16"}</definedName>
    <definedName name="_vl2" localSheetId="6" hidden="1">{"'Sheet1'!$L$16"}</definedName>
    <definedName name="_vl2" localSheetId="9" hidden="1">{"'Sheet1'!$L$16"}</definedName>
    <definedName name="_vl2" hidden="1">{"'Sheet1'!$L$16"}</definedName>
    <definedName name="_VLP2" localSheetId="0" hidden="1">{"'Sheet1'!$L$16"}</definedName>
    <definedName name="_VLP2" localSheetId="6" hidden="1">{"'Sheet1'!$L$16"}</definedName>
    <definedName name="_VLP2" localSheetId="9" hidden="1">{"'Sheet1'!$L$16"}</definedName>
    <definedName name="_VLP2" hidden="1">{"'Sheet1'!$L$16"}</definedName>
    <definedName name="a" localSheetId="0" hidden="1">{"'Sheet1'!$L$16"}</definedName>
    <definedName name="a" localSheetId="6" hidden="1">{"'Sheet1'!$L$16"}</definedName>
    <definedName name="a" localSheetId="9" hidden="1">{"'Sheet1'!$L$16"}</definedName>
    <definedName name="a" hidden="1">{"'Sheet1'!$L$16"}</definedName>
    <definedName name="â" localSheetId="0" hidden="1">{"'Sheet1'!$L$16"}</definedName>
    <definedName name="â" localSheetId="6" hidden="1">{"'Sheet1'!$L$16"}</definedName>
    <definedName name="â" localSheetId="9" hidden="1">{"'Sheet1'!$L$16"}</definedName>
    <definedName name="â" hidden="1">{"'Sheet1'!$L$16"}</definedName>
    <definedName name="a1moi" localSheetId="0" hidden="1">{"'Sheet1'!$L$16"}</definedName>
    <definedName name="a1moi" localSheetId="6" hidden="1">{"'Sheet1'!$L$16"}</definedName>
    <definedName name="a1moi" localSheetId="9" hidden="1">{"'Sheet1'!$L$16"}</definedName>
    <definedName name="a1moi" hidden="1">{"'Sheet1'!$L$16"}</definedName>
    <definedName name="aass" localSheetId="0" hidden="1">{"'Sheet1'!$L$16"}</definedName>
    <definedName name="aass" localSheetId="6" hidden="1">{"'Sheet1'!$L$16"}</definedName>
    <definedName name="aass" localSheetId="9" hidden="1">{"'Sheet1'!$L$16"}</definedName>
    <definedName name="aass" hidden="1">{"'Sheet1'!$L$16"}</definedName>
    <definedName name="ac">3</definedName>
    <definedName name="ad">3</definedName>
    <definedName name="ADADADD" localSheetId="0">{"'Sheet1'!$L$16"}</definedName>
    <definedName name="ADADADD" localSheetId="9">{"'Sheet1'!$L$16"}</definedName>
    <definedName name="ADADADD">{"'Sheet1'!$L$16"}</definedName>
    <definedName name="ae" localSheetId="0" hidden="1">{"'Sheet1'!$L$16"}</definedName>
    <definedName name="ae" localSheetId="6" hidden="1">{"'Sheet1'!$L$16"}</definedName>
    <definedName name="ae" localSheetId="9" hidden="1">{"'Sheet1'!$L$16"}</definedName>
    <definedName name="ae" hidden="1">{"'Sheet1'!$L$16"}</definedName>
    <definedName name="anhan" localSheetId="0" hidden="1">{"'Sheet1'!$L$16"}</definedName>
    <definedName name="anhan" localSheetId="6" hidden="1">{"'Sheet1'!$L$16"}</definedName>
    <definedName name="anhan" localSheetId="9" hidden="1">{"'Sheet1'!$L$16"}</definedName>
    <definedName name="anhan" hidden="1">{"'Sheet1'!$L$16"}</definedName>
    <definedName name="anhlang" localSheetId="0" hidden="1">{"'Sheet1'!$L$16"}</definedName>
    <definedName name="anhlang" localSheetId="6" hidden="1">{"'Sheet1'!$L$16"}</definedName>
    <definedName name="anhlang" localSheetId="9" hidden="1">{"'Sheet1'!$L$16"}</definedName>
    <definedName name="anhlang" hidden="1">{"'Sheet1'!$L$16"}</definedName>
    <definedName name="anscount" hidden="1">3</definedName>
    <definedName name="AS2DocOpenMode">"AS2DocumentEdit"</definedName>
    <definedName name="AS2HasNoAutoHeaderFooter" hidden="1">" "</definedName>
    <definedName name="AS2ReportLS" hidden="1">1</definedName>
    <definedName name="AS2SyncStepLS" hidden="1">0</definedName>
    <definedName name="AS2VersionLS" hidden="1">300</definedName>
    <definedName name="asss" localSheetId="0">{"'Sheet1'!$L$16"}</definedName>
    <definedName name="asss" localSheetId="9">{"'Sheet1'!$L$16"}</definedName>
    <definedName name="asss">{"'Sheet1'!$L$16"}</definedName>
    <definedName name="asssss" localSheetId="0" hidden="1">{"'Sheet1'!$L$16"}</definedName>
    <definedName name="asssss" localSheetId="6" hidden="1">{"'Sheet1'!$L$16"}</definedName>
    <definedName name="asssss" localSheetId="9" hidden="1">{"'Sheet1'!$L$16"}</definedName>
    <definedName name="asssss" hidden="1">{"'Sheet1'!$L$16"}</definedName>
    <definedName name="ATGT" localSheetId="0" hidden="1">{"'Sheet1'!$L$16"}</definedName>
    <definedName name="ATGT" localSheetId="6" hidden="1">{"'Sheet1'!$L$16"}</definedName>
    <definedName name="ATGT" localSheetId="9" hidden="1">{"'Sheet1'!$L$16"}</definedName>
    <definedName name="ATGT" hidden="1">{"'Sheet1'!$L$16"}</definedName>
    <definedName name="AU" localSheetId="0" hidden="1">{"'Sheet1'!$L$16"}</definedName>
    <definedName name="AU" localSheetId="6" hidden="1">{"'Sheet1'!$L$16"}</definedName>
    <definedName name="AU" localSheetId="9" hidden="1">{"'Sheet1'!$L$16"}</definedName>
    <definedName name="AU" hidden="1">{"'Sheet1'!$L$16"}</definedName>
    <definedName name="B.nuamat">7.25</definedName>
    <definedName name="B_n_tuyÓn_than_Cöa__ng">"tco"</definedName>
    <definedName name="B1THs" localSheetId="0" hidden="1">{"'Sheet1'!$L$16"}</definedName>
    <definedName name="B1THs" localSheetId="6" hidden="1">{"'Sheet1'!$L$16"}</definedName>
    <definedName name="B1THs" localSheetId="9" hidden="1">{"'Sheet1'!$L$16"}</definedName>
    <definedName name="B1THs" hidden="1">{"'Sheet1'!$L$16"}</definedName>
    <definedName name="banql" localSheetId="0" hidden="1">{"'Sheet1'!$L$16"}</definedName>
    <definedName name="banql" localSheetId="6" hidden="1">{"'Sheet1'!$L$16"}</definedName>
    <definedName name="banql" localSheetId="9" hidden="1">{"'Sheet1'!$L$16"}</definedName>
    <definedName name="banql" hidden="1">{"'Sheet1'!$L$16"}</definedName>
    <definedName name="BBe" localSheetId="0" hidden="1">{"'Sheet1'!$L$16"}</definedName>
    <definedName name="BBe" localSheetId="6" hidden="1">{"'Sheet1'!$L$16"}</definedName>
    <definedName name="BBe" localSheetId="9" hidden="1">{"'Sheet1'!$L$16"}</definedName>
    <definedName name="BBe" hidden="1">{"'Sheet1'!$L$16"}</definedName>
    <definedName name="BCBo" localSheetId="0" hidden="1">{"'Sheet1'!$L$16"}</definedName>
    <definedName name="BCBo" localSheetId="6" hidden="1">{"'Sheet1'!$L$16"}</definedName>
    <definedName name="BCBo" localSheetId="9" hidden="1">{"'Sheet1'!$L$16"}</definedName>
    <definedName name="BCBo" hidden="1">{"'Sheet1'!$L$16"}</definedName>
    <definedName name="bdd">1.5</definedName>
    <definedName name="bdv" localSheetId="0" hidden="1">{"'Sheet1'!$L$16"}</definedName>
    <definedName name="bdv" localSheetId="6" hidden="1">{"'Sheet1'!$L$16"}</definedName>
    <definedName name="bdv" localSheetId="9" hidden="1">{"'Sheet1'!$L$16"}</definedName>
    <definedName name="bdv" hidden="1">{"'Sheet1'!$L$16"}</definedName>
    <definedName name="beta">20</definedName>
    <definedName name="BG_Del" hidden="1">15</definedName>
    <definedName name="BG_Ins" hidden="1">4</definedName>
    <definedName name="BG_Mod" hidden="1">6</definedName>
    <definedName name="Bgiang" localSheetId="0" hidden="1">{"'Sheet1'!$L$16"}</definedName>
    <definedName name="Bgiang" localSheetId="6" hidden="1">{"'Sheet1'!$L$16"}</definedName>
    <definedName name="Bgiang" localSheetId="9" hidden="1">{"'Sheet1'!$L$16"}</definedName>
    <definedName name="Bgiang" hidden="1">{"'Sheet1'!$L$16"}</definedName>
    <definedName name="bhfh" localSheetId="0" hidden="1">{"'Sheet1'!$L$16"}</definedName>
    <definedName name="bhfh" localSheetId="6" hidden="1">{"'Sheet1'!$L$16"}</definedName>
    <definedName name="bhfh" localSheetId="9" hidden="1">{"'Sheet1'!$L$16"}</definedName>
    <definedName name="bhfh" hidden="1">{"'Sheet1'!$L$16"}</definedName>
    <definedName name="Bieu18" localSheetId="0" hidden="1">{"'Sheet1'!$L$16"}</definedName>
    <definedName name="Bieu18" localSheetId="6" hidden="1">{"'Sheet1'!$L$16"}</definedName>
    <definedName name="Bieu18" localSheetId="9" hidden="1">{"'Sheet1'!$L$16"}</definedName>
    <definedName name="Bieu18" hidden="1">{"'Sheet1'!$L$16"}</definedName>
    <definedName name="BMS" localSheetId="0" hidden="1">{"'Sheet1'!$L$16"}</definedName>
    <definedName name="BMS" localSheetId="6" hidden="1">{"'Sheet1'!$L$16"}</definedName>
    <definedName name="BMS" localSheetId="9" hidden="1">{"'Sheet1'!$L$16"}</definedName>
    <definedName name="BMS" hidden="1">{"'Sheet1'!$L$16"}</definedName>
    <definedName name="Bn">6.5</definedName>
    <definedName name="BookName">"Bao_cao_cua_NVTK_tai_NPP_bieu_mau_moi_4___Mau_moi.xls"</definedName>
    <definedName name="btl" localSheetId="0" hidden="1">{"'Sheet1'!$L$16"}</definedName>
    <definedName name="btl" localSheetId="6" hidden="1">{"'Sheet1'!$L$16"}</definedName>
    <definedName name="btl" localSheetId="9" hidden="1">{"'Sheet1'!$L$16"}</definedName>
    <definedName name="btl" hidden="1">{"'Sheet1'!$L$16"}</definedName>
    <definedName name="bùc" localSheetId="0">{"Book1","Dt tonghop.xls"}</definedName>
    <definedName name="bùc" localSheetId="9">{"Book1","Dt tonghop.xls"}</definedName>
    <definedName name="bùc">{"Book1","Dt tonghop.xls"}</definedName>
    <definedName name="Bulongma">8700</definedName>
    <definedName name="BUM" localSheetId="0" hidden="1">{"'Sheet1'!$L$16"}</definedName>
    <definedName name="BUM" localSheetId="6" hidden="1">{"'Sheet1'!$L$16"}</definedName>
    <definedName name="BUM" localSheetId="9" hidden="1">{"'Sheet1'!$L$16"}</definedName>
    <definedName name="BUM" hidden="1">{"'Sheet1'!$L$16"}</definedName>
    <definedName name="BVTINH" localSheetId="0" hidden="1">{"'Sheet1'!$L$16"}</definedName>
    <definedName name="BVTINH" localSheetId="6" hidden="1">{"'Sheet1'!$L$16"}</definedName>
    <definedName name="BVTINH" localSheetId="9" hidden="1">{"'Sheet1'!$L$16"}</definedName>
    <definedName name="BVTINH" hidden="1">{"'Sheet1'!$L$16"}</definedName>
    <definedName name="C.doc1">540</definedName>
    <definedName name="C.doc2">740</definedName>
    <definedName name="CACAU">298161</definedName>
    <definedName name="cam" localSheetId="0" hidden="1">{"'Sheet1'!$L$16"}</definedName>
    <definedName name="cam" localSheetId="6" hidden="1">{"'Sheet1'!$L$16"}</definedName>
    <definedName name="cam" localSheetId="9" hidden="1">{"'Sheet1'!$L$16"}</definedName>
    <definedName name="cam" hidden="1">{"'Sheet1'!$L$16"}</definedName>
    <definedName name="CBTH" localSheetId="0" hidden="1">{"'Sheet1'!$L$16"}</definedName>
    <definedName name="CBTH" localSheetId="6" hidden="1">{"'Sheet1'!$L$16"}</definedName>
    <definedName name="CBTH" localSheetId="9" hidden="1">{"'Sheet1'!$L$16"}</definedName>
    <definedName name="CBTH" hidden="1">{"'Sheet1'!$L$16"}</definedName>
    <definedName name="ccc" localSheetId="0" hidden="1">{"'Sheet1'!$L$16"}</definedName>
    <definedName name="ccc" localSheetId="6" hidden="1">{"'Sheet1'!$L$16"}</definedName>
    <definedName name="ccc" localSheetId="9" hidden="1">{"'Sheet1'!$L$16"}</definedName>
    <definedName name="ccc" hidden="1">{"'Sheet1'!$L$16"}</definedName>
    <definedName name="CDTK_tim">31.77</definedName>
    <definedName name="Chiettinh" localSheetId="0" hidden="1">{"'Sheet1'!$L$16"}</definedName>
    <definedName name="Chiettinh" localSheetId="6" hidden="1">{"'Sheet1'!$L$16"}</definedName>
    <definedName name="Chiettinh" localSheetId="9" hidden="1">{"'Sheet1'!$L$16"}</definedName>
    <definedName name="Chiettinh" hidden="1">{"'Sheet1'!$L$16"}</definedName>
    <definedName name="chilk" localSheetId="0" hidden="1">{"'Sheet1'!$L$16"}</definedName>
    <definedName name="chilk" localSheetId="6" hidden="1">{"'Sheet1'!$L$16"}</definedName>
    <definedName name="chilk" localSheetId="9" hidden="1">{"'Sheet1'!$L$16"}</definedName>
    <definedName name="chilk" hidden="1">{"'Sheet1'!$L$16"}</definedName>
    <definedName name="chitietbgiang2" localSheetId="0" hidden="1">{"'Sheet1'!$L$16"}</definedName>
    <definedName name="chitietbgiang2" localSheetId="6" hidden="1">{"'Sheet1'!$L$16"}</definedName>
    <definedName name="chitietbgiang2" localSheetId="9" hidden="1">{"'Sheet1'!$L$16"}</definedName>
    <definedName name="chitietbgiang2" hidden="1">{"'Sheet1'!$L$16"}</definedName>
    <definedName name="chitietTT" localSheetId="0" hidden="1">{"'Sheet1'!$L$16"}</definedName>
    <definedName name="chitietTT" localSheetId="6" hidden="1">{"'Sheet1'!$L$16"}</definedName>
    <definedName name="chitietTT" localSheetId="9" hidden="1">{"'Sheet1'!$L$16"}</definedName>
    <definedName name="chitietTT" hidden="1">{"'Sheet1'!$L$16"}</definedName>
    <definedName name="chl" localSheetId="0" hidden="1">{"'Sheet1'!$L$16"}</definedName>
    <definedName name="chl" localSheetId="6" hidden="1">{"'Sheet1'!$L$16"}</definedName>
    <definedName name="chl" localSheetId="9" hidden="1">{"'Sheet1'!$L$16"}</definedName>
    <definedName name="chl" hidden="1">{"'Sheet1'!$L$16"}</definedName>
    <definedName name="chung">66</definedName>
    <definedName name="chuyen" localSheetId="0" hidden="1">{"'Sheet1'!$L$16"}</definedName>
    <definedName name="chuyen" localSheetId="6" hidden="1">{"'Sheet1'!$L$16"}</definedName>
    <definedName name="chuyen" localSheetId="9" hidden="1">{"'Sheet1'!$L$16"}</definedName>
    <definedName name="chuyen" hidden="1">{"'Sheet1'!$L$16"}</definedName>
    <definedName name="CLVC3">0.1</definedName>
    <definedName name="CN" localSheetId="0" hidden="1">{"'Sheet1'!$L$16"}</definedName>
    <definedName name="CN" localSheetId="6" hidden="1">{"'Sheet1'!$L$16"}</definedName>
    <definedName name="CN" localSheetId="9" hidden="1">{"'Sheet1'!$L$16"}</definedName>
    <definedName name="CN" hidden="1">{"'Sheet1'!$L$16"}</definedName>
    <definedName name="Coc_60" localSheetId="0" hidden="1">{"'Sheet1'!$L$16"}</definedName>
    <definedName name="Coc_60" localSheetId="6" hidden="1">{"'Sheet1'!$L$16"}</definedName>
    <definedName name="Coc_60" localSheetId="9" hidden="1">{"'Sheet1'!$L$16"}</definedName>
    <definedName name="Coc_60" hidden="1">{"'Sheet1'!$L$16"}</definedName>
    <definedName name="CoCauN" localSheetId="0" hidden="1">{"'Sheet1'!$L$16"}</definedName>
    <definedName name="CoCauN" localSheetId="6" hidden="1">{"'Sheet1'!$L$16"}</definedName>
    <definedName name="CoCauN" localSheetId="9" hidden="1">{"'Sheet1'!$L$16"}</definedName>
    <definedName name="CoCauN" hidden="1">{"'Sheet1'!$L$16"}</definedName>
    <definedName name="Cotsatma">9726</definedName>
    <definedName name="Cotthepma">9726</definedName>
    <definedName name="CPCD">51%</definedName>
    <definedName name="CPCM">2.5%</definedName>
    <definedName name="CPCX">64%</definedName>
    <definedName name="ct" localSheetId="0" hidden="1">{"'Sheet1'!$L$16"}</definedName>
    <definedName name="ct" localSheetId="6" hidden="1">{"'Sheet1'!$L$16"}</definedName>
    <definedName name="ct" localSheetId="9" hidden="1">{"'Sheet1'!$L$16"}</definedName>
    <definedName name="ct" hidden="1">{"'Sheet1'!$L$16"}</definedName>
    <definedName name="ctbbt" localSheetId="0" hidden="1">{"'Sheet1'!$L$16"}</definedName>
    <definedName name="ctbbt" localSheetId="6" hidden="1">{"'Sheet1'!$L$16"}</definedName>
    <definedName name="ctbbt" localSheetId="9" hidden="1">{"'Sheet1'!$L$16"}</definedName>
    <definedName name="ctbbt" hidden="1">{"'Sheet1'!$L$16"}</definedName>
    <definedName name="Ctchi2011" localSheetId="0" hidden="1">{"'Sheet1'!$L$16"}</definedName>
    <definedName name="Ctchi2011" localSheetId="6" hidden="1">{"'Sheet1'!$L$16"}</definedName>
    <definedName name="Ctchi2011" localSheetId="9" hidden="1">{"'Sheet1'!$L$16"}</definedName>
    <definedName name="Ctchi2011" hidden="1">{"'Sheet1'!$L$16"}</definedName>
    <definedName name="CTCT1" localSheetId="0">{"'Sheet1'!$L$16"}</definedName>
    <definedName name="CTCT1" localSheetId="9">{"'Sheet1'!$L$16"}</definedName>
    <definedName name="CTCT1">{"'Sheet1'!$L$16"}</definedName>
    <definedName name="CTCT2" localSheetId="0" hidden="1">{"'Sheet1'!$L$16"}</definedName>
    <definedName name="CTCT2" localSheetId="6" hidden="1">{"'Sheet1'!$L$16"}</definedName>
    <definedName name="CTCT2" localSheetId="9" hidden="1">{"'Sheet1'!$L$16"}</definedName>
    <definedName name="CTCT2" hidden="1">{"'Sheet1'!$L$16"}</definedName>
    <definedName name="ctieu" localSheetId="0" hidden="1">{"'Sheet1'!$L$16"}</definedName>
    <definedName name="ctieu" localSheetId="6" hidden="1">{"'Sheet1'!$L$16"}</definedName>
    <definedName name="ctieu" localSheetId="9" hidden="1">{"'Sheet1'!$L$16"}</definedName>
    <definedName name="ctieu" hidden="1">{"'Sheet1'!$L$16"}</definedName>
    <definedName name="cvcv" localSheetId="0" hidden="1">{"'Sheet1'!$L$16"}</definedName>
    <definedName name="cvcv" localSheetId="6" hidden="1">{"'Sheet1'!$L$16"}</definedName>
    <definedName name="cvcv" localSheetId="9" hidden="1">{"'Sheet1'!$L$16"}</definedName>
    <definedName name="cvcv" hidden="1">{"'Sheet1'!$L$16"}</definedName>
    <definedName name="d" localSheetId="0" hidden="1">{"'Sheet1'!$L$16"}</definedName>
    <definedName name="d" localSheetId="6" hidden="1">{"'Sheet1'!$L$16"}</definedName>
    <definedName name="d" localSheetId="9" hidden="1">{"'Sheet1'!$L$16"}</definedName>
    <definedName name="d" hidden="1">{"'Sheet1'!$L$16"}</definedName>
    <definedName name="Dautu" localSheetId="0" hidden="1">{"'Sheet1'!$L$16"}</definedName>
    <definedName name="Dautu" localSheetId="6" hidden="1">{"'Sheet1'!$L$16"}</definedName>
    <definedName name="Dautu" localSheetId="9" hidden="1">{"'Sheet1'!$L$16"}</definedName>
    <definedName name="Dautu" hidden="1">{"'Sheet1'!$L$16"}</definedName>
    <definedName name="DCL_22">12117600</definedName>
    <definedName name="DCL_35">25490000</definedName>
    <definedName name="dđ" localSheetId="0">{"'Sheet1'!$L$16"}</definedName>
    <definedName name="dđ" localSheetId="9">{"'Sheet1'!$L$16"}</definedName>
    <definedName name="dđ">{"'Sheet1'!$L$16"}</definedName>
    <definedName name="ddd" localSheetId="0" hidden="1">{"'Sheet1'!$L$16"}</definedName>
    <definedName name="ddd" localSheetId="6" hidden="1">{"'Sheet1'!$L$16"}</definedName>
    <definedName name="ddd" localSheetId="9" hidden="1">{"'Sheet1'!$L$16"}</definedName>
    <definedName name="ddd" hidden="1">{"'Sheet1'!$L$16"}</definedName>
    <definedName name="dddd" localSheetId="0" hidden="1">{"'Sheet1'!$L$16"}</definedName>
    <definedName name="dddd" localSheetId="6" hidden="1">{"'Sheet1'!$L$16"}</definedName>
    <definedName name="dddd" localSheetId="9" hidden="1">{"'Sheet1'!$L$16"}</definedName>
    <definedName name="dddd" hidden="1">{"'Sheet1'!$L$16"}</definedName>
    <definedName name="dddem">0.1</definedName>
    <definedName name="DenDK" localSheetId="0">{"'Sheet1'!$L$16"}</definedName>
    <definedName name="DenDK" localSheetId="9">{"'Sheet1'!$L$16"}</definedName>
    <definedName name="DenDK">{"'Sheet1'!$L$16"}</definedName>
    <definedName name="dfg" localSheetId="0" hidden="1">{"'Sheet1'!$L$16"}</definedName>
    <definedName name="dfg" localSheetId="6" hidden="1">{"'Sheet1'!$L$16"}</definedName>
    <definedName name="dfg" localSheetId="9" hidden="1">{"'Sheet1'!$L$16"}</definedName>
    <definedName name="dfg" hidden="1">{"'Sheet1'!$L$16"}</definedName>
    <definedName name="DFSDF" localSheetId="0" hidden="1">{"'Sheet1'!$L$16"}</definedName>
    <definedName name="DFSDF" localSheetId="6" hidden="1">{"'Sheet1'!$L$16"}</definedName>
    <definedName name="DFSDF" localSheetId="9" hidden="1">{"'Sheet1'!$L$16"}</definedName>
    <definedName name="DFSDF" hidden="1">{"'Sheet1'!$L$16"}</definedName>
    <definedName name="dgctp2" localSheetId="0">{"'Sheet1'!$L$16"}</definedName>
    <definedName name="dgctp2" localSheetId="9">{"'Sheet1'!$L$16"}</definedName>
    <definedName name="dgctp2">{"'Sheet1'!$L$16"}</definedName>
    <definedName name="dien" localSheetId="0">{"'Sheet1'!$L$16"}</definedName>
    <definedName name="dien" localSheetId="9">{"'Sheet1'!$L$16"}</definedName>
    <definedName name="dien">{"'Sheet1'!$L$16"}</definedName>
    <definedName name="DKTINH" localSheetId="0" hidden="1">{"'Sheet1'!$L$16"}</definedName>
    <definedName name="DKTINH" localSheetId="6" hidden="1">{"'Sheet1'!$L$16"}</definedName>
    <definedName name="DKTINH" localSheetId="9" hidden="1">{"'Sheet1'!$L$16"}</definedName>
    <definedName name="DKTINH" hidden="1">{"'Sheet1'!$L$16"}</definedName>
    <definedName name="dmxl2" localSheetId="0" hidden="1">{"'Sheet1'!$L$16"}</definedName>
    <definedName name="dmxl2" localSheetId="6" hidden="1">{"'Sheet1'!$L$16"}</definedName>
    <definedName name="dmxl2" localSheetId="9" hidden="1">{"'Sheet1'!$L$16"}</definedName>
    <definedName name="dmxl2" hidden="1">{"'Sheet1'!$L$16"}</definedName>
    <definedName name="docdoc">0.03125</definedName>
    <definedName name="Document_array" localSheetId="0">{"Thuxm2.xls","Sheet1"}</definedName>
    <definedName name="Document_array" localSheetId="9">{"Thuxm2.xls","Sheet1"}</definedName>
    <definedName name="Document_array">{"Thuxm2.xls","Sheet1"}</definedName>
    <definedName name="Dot" localSheetId="0">{"'Sheet1'!$L$16"}</definedName>
    <definedName name="Dot" localSheetId="9">{"'Sheet1'!$L$16"}</definedName>
    <definedName name="Dot">{"'Sheet1'!$L$16"}</definedName>
    <definedName name="dotcong">1</definedName>
    <definedName name="Drawpoints">1</definedName>
    <definedName name="Drop1">"Drop Down 3"</definedName>
    <definedName name="dsds" localSheetId="0" hidden="1">{"'Sheet1'!$L$16"}</definedName>
    <definedName name="dsds" localSheetId="6" hidden="1">{"'Sheet1'!$L$16"}</definedName>
    <definedName name="dsds" localSheetId="9" hidden="1">{"'Sheet1'!$L$16"}</definedName>
    <definedName name="dsds" hidden="1">{"'Sheet1'!$L$16"}</definedName>
    <definedName name="DT_2012" localSheetId="0" hidden="1">{"'Sheet1'!$L$16"}</definedName>
    <definedName name="DT_2012" localSheetId="6" hidden="1">{"'Sheet1'!$L$16"}</definedName>
    <definedName name="DT_2012" localSheetId="9" hidden="1">{"'Sheet1'!$L$16"}</definedName>
    <definedName name="DT_2012" hidden="1">{"'Sheet1'!$L$16"}</definedName>
    <definedName name="DT_khoi_dang_2012" localSheetId="0" hidden="1">{"'Sheet1'!$L$16"}</definedName>
    <definedName name="DT_khoi_dang_2012" localSheetId="6" hidden="1">{"'Sheet1'!$L$16"}</definedName>
    <definedName name="DT_khoi_dang_2012" localSheetId="9" hidden="1">{"'Sheet1'!$L$16"}</definedName>
    <definedName name="DT_khoi_dang_2012" hidden="1">{"'Sheet1'!$L$16"}</definedName>
    <definedName name="dt10.1" localSheetId="0" hidden="1">{"'Sheet1'!$L$16"}</definedName>
    <definedName name="dt10.1" localSheetId="6" hidden="1">{"'Sheet1'!$L$16"}</definedName>
    <definedName name="dt10.1" localSheetId="9" hidden="1">{"'Sheet1'!$L$16"}</definedName>
    <definedName name="dt10.1" hidden="1">{"'Sheet1'!$L$16"}</definedName>
    <definedName name="DT12DienLuc" localSheetId="0">{"ÿÿÿÿÿ"}</definedName>
    <definedName name="DT12DienLuc" localSheetId="9">{"ÿÿÿÿÿ"}</definedName>
    <definedName name="DT12DienLuc">{"ÿÿÿÿÿ"}</definedName>
    <definedName name="DT12Dluc" localSheetId="0" hidden="1">{"'Sheet1'!$L$16"}</definedName>
    <definedName name="DT12Dluc" localSheetId="6" hidden="1">{"'Sheet1'!$L$16"}</definedName>
    <definedName name="DT12Dluc" localSheetId="9" hidden="1">{"'Sheet1'!$L$16"}</definedName>
    <definedName name="DT12Dluc" hidden="1">{"'Sheet1'!$L$16"}</definedName>
    <definedName name="DT12HoangThach" localSheetId="0" hidden="1">{"'Sheet1'!$L$16"}</definedName>
    <definedName name="DT12HoangThach" localSheetId="6" hidden="1">{"'Sheet1'!$L$16"}</definedName>
    <definedName name="DT12HoangThach" localSheetId="9" hidden="1">{"'Sheet1'!$L$16"}</definedName>
    <definedName name="DT12HoangThach" hidden="1">{"'Sheet1'!$L$16"}</definedName>
    <definedName name="DT8.1" localSheetId="0" hidden="1">{"'Sheet1'!$L$16"}</definedName>
    <definedName name="DT8.1" localSheetId="6" hidden="1">{"'Sheet1'!$L$16"}</definedName>
    <definedName name="DT8.1" localSheetId="9" hidden="1">{"'Sheet1'!$L$16"}</definedName>
    <definedName name="DT8.1" hidden="1">{"'Sheet1'!$L$16"}</definedName>
    <definedName name="DT8.2" localSheetId="0" hidden="1">{"'Sheet1'!$L$16"}</definedName>
    <definedName name="DT8.2" localSheetId="6" hidden="1">{"'Sheet1'!$L$16"}</definedName>
    <definedName name="DT8.2" localSheetId="9" hidden="1">{"'Sheet1'!$L$16"}</definedName>
    <definedName name="DT8.2" hidden="1">{"'Sheet1'!$L$16"}</definedName>
    <definedName name="duc" localSheetId="0" hidden="1">{"'Sheet1'!$L$16"}</definedName>
    <definedName name="duc" localSheetId="6" hidden="1">{"'Sheet1'!$L$16"}</definedName>
    <definedName name="duc" localSheetId="9" hidden="1">{"'Sheet1'!$L$16"}</definedName>
    <definedName name="duc" hidden="1">{"'Sheet1'!$L$16"}</definedName>
    <definedName name="DUCANH" localSheetId="0" hidden="1">{"'Sheet1'!$L$16"}</definedName>
    <definedName name="DUCANH" localSheetId="6" hidden="1">{"'Sheet1'!$L$16"}</definedName>
    <definedName name="DUCANH" localSheetId="9" hidden="1">{"'Sheet1'!$L$16"}</definedName>
    <definedName name="DUCANH" hidden="1">{"'Sheet1'!$L$16"}</definedName>
    <definedName name="dung" localSheetId="0" hidden="1">{"'Sheet1'!$L$16"}</definedName>
    <definedName name="dung" localSheetId="6" hidden="1">{"'Sheet1'!$L$16"}</definedName>
    <definedName name="dung" localSheetId="9" hidden="1">{"'Sheet1'!$L$16"}</definedName>
    <definedName name="dung" hidden="1">{"'Sheet1'!$L$16"}</definedName>
    <definedName name="dungkh" localSheetId="0" hidden="1">{"'Sheet1'!$L$16"}</definedName>
    <definedName name="dungkh" localSheetId="6" hidden="1">{"'Sheet1'!$L$16"}</definedName>
    <definedName name="dungkh" localSheetId="9" hidden="1">{"'Sheet1'!$L$16"}</definedName>
    <definedName name="dungkh" hidden="1">{"'Sheet1'!$L$16"}</definedName>
    <definedName name="Duongnaco" localSheetId="0">{"'Sheet1'!$L$16"}</definedName>
    <definedName name="Duongnaco" localSheetId="9">{"'Sheet1'!$L$16"}</definedName>
    <definedName name="Duongnaco">{"'Sheet1'!$L$16"}</definedName>
    <definedName name="duongvt" localSheetId="0" hidden="1">{"'Sheet1'!$L$16"}</definedName>
    <definedName name="duongvt" localSheetId="6" hidden="1">{"'Sheet1'!$L$16"}</definedName>
    <definedName name="duongvt" localSheetId="9" hidden="1">{"'Sheet1'!$L$16"}</definedName>
    <definedName name="duongvt" hidden="1">{"'Sheet1'!$L$16"}</definedName>
    <definedName name="E.chandoc">8.875</definedName>
    <definedName name="E.PC">10.438</definedName>
    <definedName name="E.PVI">12</definedName>
    <definedName name="Ea">2100000</definedName>
    <definedName name="Eb">240000</definedName>
    <definedName name="En">240000</definedName>
    <definedName name="f_Cap" localSheetId="0">IF(ISBLANK(CT_TMinh),0,IF(CT_TMinh="270",4,IF(CT_TMinh="440",5,IF(RIGHT(CT_TMinh,2)="00",1,IF(RIGHT(CT_TMinh,1)="0",2,3)))))</definedName>
    <definedName name="f_Cap" localSheetId="9">IF(ISBLANK(CT_TMinh),0,IF(CT_TMinh="270",4,IF(CT_TMinh="440",5,IF(RIGHT(CT_TMinh,2)="00",1,IF(RIGHT(CT_TMinh,1)="0",2,3)))))</definedName>
    <definedName name="f_Cap">IF(ISBLANK(CT_TMinh),0,IF(CT_TMinh="270",4,IF(CT_TMinh="440",5,IF(RIGHT(CT_TMinh,2)="00",1,IF(RIGHT(CT_TMinh,1)="0",2,3)))))</definedName>
    <definedName name="fasf" localSheetId="0" hidden="1">{"'Sheet1'!$L$16"}</definedName>
    <definedName name="fasf" localSheetId="6" hidden="1">{"'Sheet1'!$L$16"}</definedName>
    <definedName name="fasf" localSheetId="9" hidden="1">{"'Sheet1'!$L$16"}</definedName>
    <definedName name="fasf" hidden="1">{"'Sheet1'!$L$16"}</definedName>
    <definedName name="fbsdggdsf" localSheetId="0">{"DZ-TDTB2.XLS","Dcksat.xls"}</definedName>
    <definedName name="fbsdggdsf" localSheetId="9">{"DZ-TDTB2.XLS","Dcksat.xls"}</definedName>
    <definedName name="fbsdggdsf">{"DZ-TDTB2.XLS","Dcksat.xls"}</definedName>
    <definedName name="fds" localSheetId="0" hidden="1">{"'Sheet1'!$L$16"}</definedName>
    <definedName name="fds" localSheetId="6" hidden="1">{"'Sheet1'!$L$16"}</definedName>
    <definedName name="fds" localSheetId="9" hidden="1">{"'Sheet1'!$L$16"}</definedName>
    <definedName name="fds" hidden="1">{"'Sheet1'!$L$16"}</definedName>
    <definedName name="fff" localSheetId="0">{"'Sheet1'!$L$16"}</definedName>
    <definedName name="fff" localSheetId="9">{"'Sheet1'!$L$16"}</definedName>
    <definedName name="fff">{"'Sheet1'!$L$16"}</definedName>
    <definedName name="fg" localSheetId="0" hidden="1">{"'Sheet1'!$L$16"}</definedName>
    <definedName name="fg" localSheetId="6" hidden="1">{"'Sheet1'!$L$16"}</definedName>
    <definedName name="fg" localSheetId="9" hidden="1">{"'Sheet1'!$L$16"}</definedName>
    <definedName name="fg" hidden="1">{"'Sheet1'!$L$16"}</definedName>
    <definedName name="fgđff" localSheetId="0" hidden="1">{"'Sheet1'!$L$16"}</definedName>
    <definedName name="fgđff" localSheetId="6" hidden="1">{"'Sheet1'!$L$16"}</definedName>
    <definedName name="fgđff" localSheetId="9" hidden="1">{"'Sheet1'!$L$16"}</definedName>
    <definedName name="fgđff" hidden="1">{"'Sheet1'!$L$16"}</definedName>
    <definedName name="fgffdf" localSheetId="0" hidden="1">{"'Sheet1'!$L$16"}</definedName>
    <definedName name="fgffdf" localSheetId="6" hidden="1">{"'Sheet1'!$L$16"}</definedName>
    <definedName name="fgffdf" localSheetId="9" hidden="1">{"'Sheet1'!$L$16"}</definedName>
    <definedName name="fgffdf" hidden="1">{"'Sheet1'!$L$16"}</definedName>
    <definedName name="fgn" localSheetId="0" hidden="1">{"'Sheet1'!$L$16"}</definedName>
    <definedName name="fgn" localSheetId="6" hidden="1">{"'Sheet1'!$L$16"}</definedName>
    <definedName name="fgn" localSheetId="9" hidden="1">{"'Sheet1'!$L$16"}</definedName>
    <definedName name="fgn" hidden="1">{"'Sheet1'!$L$16"}</definedName>
    <definedName name="FI_12">4820</definedName>
    <definedName name="fml_DoRongCT" localSheetId="0">LEN(CT_TMinh)</definedName>
    <definedName name="fml_DoRongCT" localSheetId="9">LEN(CT_TMinh)</definedName>
    <definedName name="fml_DoRongCT">LEN(CT_TMinh)</definedName>
    <definedName name="fsd" localSheetId="0" hidden="1">{"'Sheet1'!$L$16"}</definedName>
    <definedName name="fsd" localSheetId="6" hidden="1">{"'Sheet1'!$L$16"}</definedName>
    <definedName name="fsd" localSheetId="9" hidden="1">{"'Sheet1'!$L$16"}</definedName>
    <definedName name="fsd" hidden="1">{"'Sheet1'!$L$16"}</definedName>
    <definedName name="fsdfdsf" localSheetId="0" hidden="1">{"'Sheet1'!$L$16"}</definedName>
    <definedName name="fsdfdsf" localSheetId="6" hidden="1">{"'Sheet1'!$L$16"}</definedName>
    <definedName name="fsdfdsf" localSheetId="9" hidden="1">{"'Sheet1'!$L$16"}</definedName>
    <definedName name="fsdfdsf" hidden="1">{"'Sheet1'!$L$16"}</definedName>
    <definedName name="fsgsdg" localSheetId="0">{"'Sheet1'!$L$16"}</definedName>
    <definedName name="fsgsdg" localSheetId="9">{"'Sheet1'!$L$16"}</definedName>
    <definedName name="fsgsdg">{"'Sheet1'!$L$16"}</definedName>
    <definedName name="g" localSheetId="0" hidden="1">{"'Sheet1'!$L$16"}</definedName>
    <definedName name="g" localSheetId="6" hidden="1">{"'Sheet1'!$L$16"}</definedName>
    <definedName name="g" localSheetId="9" hidden="1">{"'Sheet1'!$L$16"}</definedName>
    <definedName name="g" hidden="1">{"'Sheet1'!$L$16"}</definedName>
    <definedName name="gfdgfd" localSheetId="0" hidden="1">{"'Sheet1'!$L$16"}</definedName>
    <definedName name="gfdgfd" localSheetId="6" hidden="1">{"'Sheet1'!$L$16"}</definedName>
    <definedName name="gfdgfd" localSheetId="9" hidden="1">{"'Sheet1'!$L$16"}</definedName>
    <definedName name="gfdgfd" hidden="1">{"'Sheet1'!$L$16"}</definedName>
    <definedName name="gffh" localSheetId="0" hidden="1">{"'Sheet1'!$L$16"}</definedName>
    <definedName name="gffh" localSheetId="6" hidden="1">{"'Sheet1'!$L$16"}</definedName>
    <definedName name="gffh" localSheetId="9" hidden="1">{"'Sheet1'!$L$16"}</definedName>
    <definedName name="gffh" hidden="1">{"'Sheet1'!$L$16"}</definedName>
    <definedName name="ggg" localSheetId="0" hidden="1">{"'Sheet1'!$L$16"}</definedName>
    <definedName name="ggg" localSheetId="6" hidden="1">{"'Sheet1'!$L$16"}</definedName>
    <definedName name="ggg" localSheetId="9" hidden="1">{"'Sheet1'!$L$16"}</definedName>
    <definedName name="ggg" hidden="1">{"'Sheet1'!$L$16"}</definedName>
    <definedName name="gggggggggggg" localSheetId="0" hidden="1">{"'Sheet1'!$L$16"}</definedName>
    <definedName name="gggggggggggg" localSheetId="6" hidden="1">{"'Sheet1'!$L$16"}</definedName>
    <definedName name="gggggggggggg" localSheetId="9" hidden="1">{"'Sheet1'!$L$16"}</definedName>
    <definedName name="gggggggggggg" hidden="1">{"'Sheet1'!$L$16"}</definedName>
    <definedName name="ggh" localSheetId="0" hidden="1">{"'Sheet1'!$L$16"}</definedName>
    <definedName name="ggh" localSheetId="6" hidden="1">{"'Sheet1'!$L$16"}</definedName>
    <definedName name="ggh" localSheetId="9" hidden="1">{"'Sheet1'!$L$16"}</definedName>
    <definedName name="ggh" hidden="1">{"'Sheet1'!$L$16"}</definedName>
    <definedName name="gi">0.4</definedName>
    <definedName name="GiaTon06">55000</definedName>
    <definedName name="gra" localSheetId="0">{"'Sheet1'!$L$16"}</definedName>
    <definedName name="gra" localSheetId="9">{"'Sheet1'!$L$16"}</definedName>
    <definedName name="gra">{"'Sheet1'!$L$16"}</definedName>
    <definedName name="gt">10%</definedName>
    <definedName name="gthep">1</definedName>
    <definedName name="GU" localSheetId="0" hidden="1">{"'Sheet1'!$L$16"}</definedName>
    <definedName name="GU" localSheetId="6" hidden="1">{"'Sheet1'!$L$16"}</definedName>
    <definedName name="GU" localSheetId="9" hidden="1">{"'Sheet1'!$L$16"}</definedName>
    <definedName name="GU" hidden="1">{"'Sheet1'!$L$16"}</definedName>
    <definedName name="h" localSheetId="0" hidden="1">{"'Sheet1'!$L$16"}</definedName>
    <definedName name="h" localSheetId="6" hidden="1">{"'Sheet1'!$L$16"}</definedName>
    <definedName name="h" localSheetId="9" hidden="1">{"'Sheet1'!$L$16"}</definedName>
    <definedName name="h" hidden="1">{"'Sheet1'!$L$16"}</definedName>
    <definedName name="hanh" localSheetId="0" hidden="1">{"'Sheet1'!$L$16"}</definedName>
    <definedName name="hanh" localSheetId="6" hidden="1">{"'Sheet1'!$L$16"}</definedName>
    <definedName name="hanh" localSheetId="9" hidden="1">{"'Sheet1'!$L$16"}</definedName>
    <definedName name="hanh" hidden="1">{"'Sheet1'!$L$16"}</definedName>
    <definedName name="HCNA" localSheetId="0" hidden="1">{"'Sheet1'!$L$16"}</definedName>
    <definedName name="HCNA" localSheetId="6" hidden="1">{"'Sheet1'!$L$16"}</definedName>
    <definedName name="HCNA" localSheetId="9" hidden="1">{"'Sheet1'!$L$16"}</definedName>
    <definedName name="HCNA" hidden="1">{"'Sheet1'!$L$16"}</definedName>
    <definedName name="Hdao">0.3</definedName>
    <definedName name="Hdap">5.2</definedName>
    <definedName name="Heä_soá_laép_xaø_H">1.7</definedName>
    <definedName name="Hesotang">1.05</definedName>
    <definedName name="Hesoton">1</definedName>
    <definedName name="hgh" localSheetId="0" hidden="1">{"'Sheet1'!$L$16"}</definedName>
    <definedName name="hgh" localSheetId="6" hidden="1">{"'Sheet1'!$L$16"}</definedName>
    <definedName name="hgh" localSheetId="9" hidden="1">{"'Sheet1'!$L$16"}</definedName>
    <definedName name="hgh" hidden="1">{"'Sheet1'!$L$16"}</definedName>
    <definedName name="HIHIHIHOI" localSheetId="0" hidden="1">{"'Sheet1'!$L$16"}</definedName>
    <definedName name="HIHIHIHOI" localSheetId="6" hidden="1">{"'Sheet1'!$L$16"}</definedName>
    <definedName name="HIHIHIHOI" localSheetId="9" hidden="1">{"'Sheet1'!$L$16"}</definedName>
    <definedName name="HIHIHIHOI" hidden="1">{"'Sheet1'!$L$16"}</definedName>
    <definedName name="Hinh_thuc">"bangtra"</definedName>
    <definedName name="hjjkl" localSheetId="0">{"'Sheet1'!$L$16"}</definedName>
    <definedName name="hjjkl" localSheetId="9">{"'Sheet1'!$L$16"}</definedName>
    <definedName name="hjjkl">{"'Sheet1'!$L$16"}</definedName>
    <definedName name="HJKL" localSheetId="0" hidden="1">{"'Sheet1'!$L$16"}</definedName>
    <definedName name="HJKL" localSheetId="6" hidden="1">{"'Sheet1'!$L$16"}</definedName>
    <definedName name="HJKL" localSheetId="9" hidden="1">{"'Sheet1'!$L$16"}</definedName>
    <definedName name="HJKL" hidden="1">{"'Sheet1'!$L$16"}</definedName>
    <definedName name="hoa" localSheetId="0" hidden="1">{"'Sheet1'!$L$16"}</definedName>
    <definedName name="hoa" localSheetId="6" hidden="1">{"'Sheet1'!$L$16"}</definedName>
    <definedName name="hoa" localSheetId="9" hidden="1">{"'Sheet1'!$L$16"}</definedName>
    <definedName name="hoa" hidden="1">{"'Sheet1'!$L$16"}</definedName>
    <definedName name="hoc">55000</definedName>
    <definedName name="Hong" localSheetId="0">{"'Sheet1'!$L$16"}</definedName>
    <definedName name="Hong" localSheetId="9">{"'Sheet1'!$L$16"}</definedName>
    <definedName name="Hong">{"'Sheet1'!$L$16"}</definedName>
    <definedName name="hp" localSheetId="0" hidden="1">{"'Sheet1'!$L$16"}</definedName>
    <definedName name="hp" localSheetId="6" hidden="1">{"'Sheet1'!$L$16"}</definedName>
    <definedName name="hp" localSheetId="9" hidden="1">{"'Sheet1'!$L$16"}</definedName>
    <definedName name="hp" hidden="1">{"'Sheet1'!$L$16"}</definedName>
    <definedName name="HSCT3">0.1</definedName>
    <definedName name="HSDN">2.5</definedName>
    <definedName name="HSG">1.1</definedName>
    <definedName name="hsm">1.1289</definedName>
    <definedName name="hsn">0.5</definedName>
    <definedName name="hsnc_cau">2.5039</definedName>
    <definedName name="hsnc_cau2">1.626</definedName>
    <definedName name="hsnc_d">1.6356</definedName>
    <definedName name="hsnc_d2">1.6356</definedName>
    <definedName name="hsvl">1</definedName>
    <definedName name="hsvl2">1</definedName>
    <definedName name="htlm" localSheetId="0" hidden="1">{"'Sheet1'!$L$16"}</definedName>
    <definedName name="htlm" localSheetId="6" hidden="1">{"'Sheet1'!$L$16"}</definedName>
    <definedName name="htlm" localSheetId="9" hidden="1">{"'Sheet1'!$L$16"}</definedName>
    <definedName name="htlm" hidden="1">{"'Sheet1'!$L$16"}</definedName>
    <definedName name="html" localSheetId="0" hidden="1">{"'Sheet1'!$L$16"}</definedName>
    <definedName name="html" localSheetId="6" hidden="1">{"'Sheet1'!$L$16"}</definedName>
    <definedName name="html" localSheetId="9" hidden="1">{"'Sheet1'!$L$16"}</definedName>
    <definedName name="html" hidden="1">{"'Sheet1'!$L$16"}</definedName>
    <definedName name="HTML_CodePage" hidden="1">950</definedName>
    <definedName name="HTML_Control" localSheetId="0" hidden="1">{"'Sheet1'!$L$16"}</definedName>
    <definedName name="HTML_Control" localSheetId="6" hidden="1">{"'Sheet1'!$L$16"}</definedName>
    <definedName name="HTML_Control" localSheetId="9" hidden="1">{"'Sheet1'!$L$16"}</definedName>
    <definedName name="HTML_Control" hidden="1">{"'Sheet1'!$L$16"}</definedName>
    <definedName name="HTML_Controlmoi" localSheetId="0" hidden="1">{"'Sheet1'!$L$16"}</definedName>
    <definedName name="HTML_Controlmoi" localSheetId="6" hidden="1">{"'Sheet1'!$L$16"}</definedName>
    <definedName name="HTML_Controlmoi" localSheetId="9" hidden="1">{"'Sheet1'!$L$16"}</definedName>
    <definedName name="HTML_Controlmoi"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Title" hidden="1">"00Q3961-SUM"</definedName>
    <definedName name="HTMT" localSheetId="0" hidden="1">{"'Sheet1'!$L$16"}</definedName>
    <definedName name="HTMT" localSheetId="6" hidden="1">{"'Sheet1'!$L$16"}</definedName>
    <definedName name="HTMT" localSheetId="9" hidden="1">{"'Sheet1'!$L$16"}</definedName>
    <definedName name="HTMT" hidden="1">{"'Sheet1'!$L$16"}</definedName>
    <definedName name="htrhrt" localSheetId="0" hidden="1">{"'Sheet1'!$L$16"}</definedName>
    <definedName name="htrhrt" localSheetId="6" hidden="1">{"'Sheet1'!$L$16"}</definedName>
    <definedName name="htrhrt" localSheetId="9" hidden="1">{"'Sheet1'!$L$16"}</definedName>
    <definedName name="htrhrt" hidden="1">{"'Sheet1'!$L$16"}</definedName>
    <definedName name="HTthang10" localSheetId="0">{"Book1"}</definedName>
    <definedName name="HTthang10" localSheetId="9">{"Book1"}</definedName>
    <definedName name="HTthang10">{"Book1"}</definedName>
    <definedName name="hu" localSheetId="0" hidden="1">{"'Sheet1'!$L$16"}</definedName>
    <definedName name="hu" localSheetId="6" hidden="1">{"'Sheet1'!$L$16"}</definedName>
    <definedName name="hu" localSheetId="9" hidden="1">{"'Sheet1'!$L$16"}</definedName>
    <definedName name="hu" hidden="1">{"'Sheet1'!$L$16"}</definedName>
    <definedName name="hui" localSheetId="0" hidden="1">{"'Sheet1'!$L$16"}</definedName>
    <definedName name="hui" localSheetId="6" hidden="1">{"'Sheet1'!$L$16"}</definedName>
    <definedName name="hui" localSheetId="9" hidden="1">{"'Sheet1'!$L$16"}</definedName>
    <definedName name="hui" hidden="1">{"'Sheet1'!$L$16"}</definedName>
    <definedName name="hung" localSheetId="0" hidden="1">{"'Sheet1'!$L$16"}</definedName>
    <definedName name="hung" localSheetId="6" hidden="1">{"'Sheet1'!$L$16"}</definedName>
    <definedName name="hung" localSheetId="9" hidden="1">{"'Sheet1'!$L$16"}</definedName>
    <definedName name="hung" hidden="1">{"'Sheet1'!$L$16"}</definedName>
    <definedName name="huong" localSheetId="0" hidden="1">{"'Sheet1'!$L$16"}</definedName>
    <definedName name="huong" localSheetId="6" hidden="1">{"'Sheet1'!$L$16"}</definedName>
    <definedName name="huong" localSheetId="9" hidden="1">{"'Sheet1'!$L$16"}</definedName>
    <definedName name="huong" hidden="1">{"'Sheet1'!$L$16"}</definedName>
    <definedName name="HUU" localSheetId="0" hidden="1">{"'Sheet1'!$L$16"}</definedName>
    <definedName name="HUU" localSheetId="6" hidden="1">{"'Sheet1'!$L$16"}</definedName>
    <definedName name="HUU" localSheetId="9" hidden="1">{"'Sheet1'!$L$16"}</definedName>
    <definedName name="HUU" hidden="1">{"'Sheet1'!$L$16"}</definedName>
    <definedName name="huy" localSheetId="0" hidden="1">{"'Sheet1'!$L$16"}</definedName>
    <definedName name="huy" localSheetId="6" hidden="1">{"'Sheet1'!$L$16"}</definedName>
    <definedName name="huy" localSheetId="9" hidden="1">{"'Sheet1'!$L$16"}</definedName>
    <definedName name="huy" hidden="1">{"'Sheet1'!$L$16"}</definedName>
    <definedName name="huyhoa" localSheetId="0" hidden="1">{"'Sheet1'!$L$16"}</definedName>
    <definedName name="huyhoa" localSheetId="6" hidden="1">{"'Sheet1'!$L$16"}</definedName>
    <definedName name="huyhoa" localSheetId="9" hidden="1">{"'Sheet1'!$L$16"}</definedName>
    <definedName name="huyhoa" hidden="1">{"'Sheet1'!$L$16"}</definedName>
    <definedName name="huymoi" localSheetId="0" hidden="1">{"'Sheet1'!$L$16"}</definedName>
    <definedName name="huymoi" localSheetId="6" hidden="1">{"'Sheet1'!$L$16"}</definedName>
    <definedName name="huymoi" localSheetId="9" hidden="1">{"'Sheet1'!$L$16"}</definedName>
    <definedName name="huymoi" hidden="1">{"'Sheet1'!$L$16"}</definedName>
    <definedName name="iCount">3</definedName>
    <definedName name="j" localSheetId="0">{"'Sheet1'!$L$16"}</definedName>
    <definedName name="j" localSheetId="9">{"'Sheet1'!$L$16"}</definedName>
    <definedName name="j">{"'Sheet1'!$L$16"}</definedName>
    <definedName name="jkjk" localSheetId="0" hidden="1">{"'Sheet1'!$L$16"}</definedName>
    <definedName name="jkjk" localSheetId="6" hidden="1">{"'Sheet1'!$L$16"}</definedName>
    <definedName name="jkjk" localSheetId="9" hidden="1">{"'Sheet1'!$L$16"}</definedName>
    <definedName name="jkjk" hidden="1">{"'Sheet1'!$L$16"}</definedName>
    <definedName name="k" localSheetId="0">{"'Sheet1'!$L$16"}</definedName>
    <definedName name="k" localSheetId="9">{"'Sheet1'!$L$16"}</definedName>
    <definedName name="k">{"'Sheet1'!$L$16"}</definedName>
    <definedName name="ka">2</definedName>
    <definedName name="khla09" localSheetId="0">{"'Sheet1'!$L$16"}</definedName>
    <definedName name="khla09" localSheetId="9">{"'Sheet1'!$L$16"}</definedName>
    <definedName name="khla09">{"'Sheet1'!$L$16"}</definedName>
    <definedName name="khongtruotgia" localSheetId="0">{"'Sheet1'!$L$16"}</definedName>
    <definedName name="khongtruotgia" localSheetId="9">{"'Sheet1'!$L$16"}</definedName>
    <definedName name="khongtruotgia">{"'Sheet1'!$L$16"}</definedName>
    <definedName name="KhuyenmaiUPS">"AutoShape 264"</definedName>
    <definedName name="khvh09" localSheetId="0" hidden="1">{"'Sheet1'!$L$16"}</definedName>
    <definedName name="khvh09" localSheetId="6" hidden="1">{"'Sheet1'!$L$16"}</definedName>
    <definedName name="khvh09" localSheetId="9" hidden="1">{"'Sheet1'!$L$16"}</definedName>
    <definedName name="khvh09" hidden="1">{"'Sheet1'!$L$16"}</definedName>
    <definedName name="KHYt09" localSheetId="0" hidden="1">{"'Sheet1'!$L$16"}</definedName>
    <definedName name="KHYt09" localSheetId="6" hidden="1">{"'Sheet1'!$L$16"}</definedName>
    <definedName name="KHYt09" localSheetId="9" hidden="1">{"'Sheet1'!$L$16"}</definedName>
    <definedName name="KHYt09" hidden="1">{"'Sheet1'!$L$16"}</definedName>
    <definedName name="kjkjkj" localSheetId="0" hidden="1">{"'Sheet1'!$L$16"}</definedName>
    <definedName name="kjkjkj" localSheetId="6" hidden="1">{"'Sheet1'!$L$16"}</definedName>
    <definedName name="kjkjkj" localSheetId="9" hidden="1">{"'Sheet1'!$L$16"}</definedName>
    <definedName name="kjkjkj" hidden="1">{"'Sheet1'!$L$16"}</definedName>
    <definedName name="KLduonggiaods" localSheetId="0" hidden="1">{"'Sheet1'!$L$16"}</definedName>
    <definedName name="KLduonggiaods" localSheetId="6" hidden="1">{"'Sheet1'!$L$16"}</definedName>
    <definedName name="KLduonggiaods" localSheetId="9" hidden="1">{"'Sheet1'!$L$16"}</definedName>
    <definedName name="KLduonggiaods" hidden="1">{"'Sheet1'!$L$16"}</definedName>
    <definedName name="klm" localSheetId="0" hidden="1">{"'Sheet1'!$L$16"}</definedName>
    <definedName name="klm" localSheetId="6" hidden="1">{"'Sheet1'!$L$16"}</definedName>
    <definedName name="klm" localSheetId="9" hidden="1">{"'Sheet1'!$L$16"}</definedName>
    <definedName name="klm" hidden="1">{"'Sheet1'!$L$16"}</definedName>
    <definedName name="KLTMai" localSheetId="0" hidden="1">{"'Sheet1'!$L$16"}</definedName>
    <definedName name="KLTMai" localSheetId="6" hidden="1">{"'Sheet1'!$L$16"}</definedName>
    <definedName name="KLTMai" localSheetId="9" hidden="1">{"'Sheet1'!$L$16"}</definedName>
    <definedName name="KLTMai" hidden="1">{"'Sheet1'!$L$16"}</definedName>
    <definedName name="kqkd" localSheetId="0" hidden="1">{"'Sheet1'!$L$16"}</definedName>
    <definedName name="kqkd" localSheetId="6" hidden="1">{"'Sheet1'!$L$16"}</definedName>
    <definedName name="kqkd" localSheetId="9" hidden="1">{"'Sheet1'!$L$16"}</definedName>
    <definedName name="kqkd" hidden="1">{"'Sheet1'!$L$16"}</definedName>
    <definedName name="ksbn" localSheetId="0" hidden="1">{"'Sheet1'!$L$16"}</definedName>
    <definedName name="ksbn" localSheetId="6" hidden="1">{"'Sheet1'!$L$16"}</definedName>
    <definedName name="ksbn" localSheetId="9" hidden="1">{"'Sheet1'!$L$16"}</definedName>
    <definedName name="ksbn" hidden="1">{"'Sheet1'!$L$16"}</definedName>
    <definedName name="KSDA" localSheetId="0" hidden="1">{"'Sheet1'!$L$16"}</definedName>
    <definedName name="KSDA" localSheetId="6" hidden="1">{"'Sheet1'!$L$16"}</definedName>
    <definedName name="KSDA" localSheetId="9" hidden="1">{"'Sheet1'!$L$16"}</definedName>
    <definedName name="KSDA" hidden="1">{"'Sheet1'!$L$16"}</definedName>
    <definedName name="kshn" localSheetId="0" hidden="1">{"'Sheet1'!$L$16"}</definedName>
    <definedName name="kshn" localSheetId="6" hidden="1">{"'Sheet1'!$L$16"}</definedName>
    <definedName name="kshn" localSheetId="9" hidden="1">{"'Sheet1'!$L$16"}</definedName>
    <definedName name="kshn" hidden="1">{"'Sheet1'!$L$16"}</definedName>
    <definedName name="ksls" localSheetId="0" hidden="1">{"'Sheet1'!$L$16"}</definedName>
    <definedName name="ksls" localSheetId="6" hidden="1">{"'Sheet1'!$L$16"}</definedName>
    <definedName name="ksls" localSheetId="9" hidden="1">{"'Sheet1'!$L$16"}</definedName>
    <definedName name="ksls" hidden="1">{"'Sheet1'!$L$16"}</definedName>
    <definedName name="l" localSheetId="0" hidden="1">{"'Sheet1'!$L$16"}</definedName>
    <definedName name="l" localSheetId="6" hidden="1">{"'Sheet1'!$L$16"}</definedName>
    <definedName name="l" localSheetId="9" hidden="1">{"'Sheet1'!$L$16"}</definedName>
    <definedName name="l" hidden="1">{"'Sheet1'!$L$16"}</definedName>
    <definedName name="l2pa1" localSheetId="0" hidden="1">{"'Sheet1'!$L$16"}</definedName>
    <definedName name="l2pa1" localSheetId="6" hidden="1">{"'Sheet1'!$L$16"}</definedName>
    <definedName name="l2pa1" localSheetId="9" hidden="1">{"'Sheet1'!$L$16"}</definedName>
    <definedName name="l2pa1" hidden="1">{"'Sheet1'!$L$16"}</definedName>
    <definedName name="L63x6">5800</definedName>
    <definedName name="lam" localSheetId="0" hidden="1">{"'Sheet1'!$L$16"}</definedName>
    <definedName name="lam" localSheetId="6" hidden="1">{"'Sheet1'!$L$16"}</definedName>
    <definedName name="lam" localSheetId="9" hidden="1">{"'Sheet1'!$L$16"}</definedName>
    <definedName name="lam" hidden="1">{"'Sheet1'!$L$16"}</definedName>
    <definedName name="langson" localSheetId="0" hidden="1">{"'Sheet1'!$L$16"}</definedName>
    <definedName name="langson" localSheetId="6" hidden="1">{"'Sheet1'!$L$16"}</definedName>
    <definedName name="langson" localSheetId="9" hidden="1">{"'Sheet1'!$L$16"}</definedName>
    <definedName name="langson" hidden="1">{"'Sheet1'!$L$16"}</definedName>
    <definedName name="LBS_22">107800000</definedName>
    <definedName name="lc" localSheetId="0" hidden="1">{"'Sheet1'!$L$16"}</definedName>
    <definedName name="lc" localSheetId="6" hidden="1">{"'Sheet1'!$L$16"}</definedName>
    <definedName name="lc" localSheetId="9" hidden="1">{"'Sheet1'!$L$16"}</definedName>
    <definedName name="lc" hidden="1">{"'Sheet1'!$L$16"}</definedName>
    <definedName name="LDMD">5%</definedName>
    <definedName name="LDMM">5%</definedName>
    <definedName name="LDMX">5.5%</definedName>
    <definedName name="limcount" hidden="1">13</definedName>
    <definedName name="linh" localSheetId="0" hidden="1">{"'Sheet1'!$L$16"}</definedName>
    <definedName name="linh" localSheetId="6" hidden="1">{"'Sheet1'!$L$16"}</definedName>
    <definedName name="linh" localSheetId="9" hidden="1">{"'Sheet1'!$L$16"}</definedName>
    <definedName name="linh" hidden="1">{"'Sheet1'!$L$16"}</definedName>
    <definedName name="linhT" localSheetId="0" hidden="1">{"'Sheet1'!$L$16"}</definedName>
    <definedName name="linhT" localSheetId="6" hidden="1">{"'Sheet1'!$L$16"}</definedName>
    <definedName name="linhT" localSheetId="9" hidden="1">{"'Sheet1'!$L$16"}</definedName>
    <definedName name="linhT" hidden="1">{"'Sheet1'!$L$16"}</definedName>
    <definedName name="ln">1</definedName>
    <definedName name="LTKD" localSheetId="0" hidden="1">{"'Sheet1'!$L$16"}</definedName>
    <definedName name="LTKD" localSheetId="6" hidden="1">{"'Sheet1'!$L$16"}</definedName>
    <definedName name="LTKD" localSheetId="9" hidden="1">{"'Sheet1'!$L$16"}</definedName>
    <definedName name="LTKD" hidden="1">{"'Sheet1'!$L$16"}</definedName>
    <definedName name="LTKDDC" localSheetId="0" hidden="1">{"'Sheet1'!$L$16"}</definedName>
    <definedName name="LTKDDC" localSheetId="6" hidden="1">{"'Sheet1'!$L$16"}</definedName>
    <definedName name="LTKDDC" localSheetId="9" hidden="1">{"'Sheet1'!$L$16"}</definedName>
    <definedName name="LTKDDC" hidden="1">{"'Sheet1'!$L$16"}</definedName>
    <definedName name="luc" localSheetId="0">{"'Sheet1'!$L$16"}</definedName>
    <definedName name="luc" localSheetId="9">{"'Sheet1'!$L$16"}</definedName>
    <definedName name="luc">{"'Sheet1'!$L$16"}</definedName>
    <definedName name="Luong" localSheetId="0" hidden="1">{"'Sheet1'!$L$16"}</definedName>
    <definedName name="Luong" localSheetId="6" hidden="1">{"'Sheet1'!$L$16"}</definedName>
    <definedName name="Luong" localSheetId="9" hidden="1">{"'Sheet1'!$L$16"}</definedName>
    <definedName name="Luong" hidden="1">{"'Sheet1'!$L$16"}</definedName>
    <definedName name="luyÕn" localSheetId="0" hidden="1">{"'Sheet1'!$L$16"}</definedName>
    <definedName name="luyÕn" localSheetId="6" hidden="1">{"'Sheet1'!$L$16"}</definedName>
    <definedName name="luyÕn" localSheetId="9" hidden="1">{"'Sheet1'!$L$16"}</definedName>
    <definedName name="luyÕn" hidden="1">{"'Sheet1'!$L$16"}</definedName>
    <definedName name="m" localSheetId="0">{"'Sheet1'!$L$16"}</definedName>
    <definedName name="m" localSheetId="9">{"'Sheet1'!$L$16"}</definedName>
    <definedName name="m">{"'Sheet1'!$L$16"}</definedName>
    <definedName name="mai" localSheetId="0" hidden="1">{"'Sheet1'!$L$16"}</definedName>
    <definedName name="mai" localSheetId="6" hidden="1">{"'Sheet1'!$L$16"}</definedName>
    <definedName name="mai" localSheetId="9" hidden="1">{"'Sheet1'!$L$16"}</definedName>
    <definedName name="mai" hidden="1">{"'Sheet1'!$L$16"}</definedName>
    <definedName name="matbang" localSheetId="0" hidden="1">{"'Sheet1'!$L$16"}</definedName>
    <definedName name="matbang" localSheetId="6" hidden="1">{"'Sheet1'!$L$16"}</definedName>
    <definedName name="matbang" localSheetId="9" hidden="1">{"'Sheet1'!$L$16"}</definedName>
    <definedName name="matbang" hidden="1">{"'Sheet1'!$L$16"}</definedName>
    <definedName name="minh" localSheetId="0" hidden="1">{"'Sheet1'!$L$16"}</definedName>
    <definedName name="minh" localSheetId="6" hidden="1">{"'Sheet1'!$L$16"}</definedName>
    <definedName name="minh" localSheetId="9" hidden="1">{"'Sheet1'!$L$16"}</definedName>
    <definedName name="minh" hidden="1">{"'Sheet1'!$L$16"}</definedName>
    <definedName name="mncvhjkhj" localSheetId="0" hidden="1">{"'Sheet1'!$L$16"}</definedName>
    <definedName name="mncvhjkhj" localSheetId="6" hidden="1">{"'Sheet1'!$L$16"}</definedName>
    <definedName name="mncvhjkhj" localSheetId="9" hidden="1">{"'Sheet1'!$L$16"}</definedName>
    <definedName name="mncvhjkhj" hidden="1">{"'Sheet1'!$L$16"}</definedName>
    <definedName name="mo" localSheetId="0" hidden="1">{"'Sheet1'!$L$16"}</definedName>
    <definedName name="mo" localSheetId="6" hidden="1">{"'Sheet1'!$L$16"}</definedName>
    <definedName name="mo" localSheetId="9" hidden="1">{"'Sheet1'!$L$16"}</definedName>
    <definedName name="mo" hidden="1">{"'Sheet1'!$L$16"}</definedName>
    <definedName name="moi" localSheetId="0" hidden="1">{"'Sheet1'!$L$16"}</definedName>
    <definedName name="moi" localSheetId="6" hidden="1">{"'Sheet1'!$L$16"}</definedName>
    <definedName name="moi" localSheetId="9" hidden="1">{"'Sheet1'!$L$16"}</definedName>
    <definedName name="moi" hidden="1">{"'Sheet1'!$L$16"}</definedName>
    <definedName name="mot" localSheetId="0" hidden="1">{"'Sheet1'!$L$16"}</definedName>
    <definedName name="mot" localSheetId="6" hidden="1">{"'Sheet1'!$L$16"}</definedName>
    <definedName name="mot" localSheetId="9" hidden="1">{"'Sheet1'!$L$16"}</definedName>
    <definedName name="mot" hidden="1">{"'Sheet1'!$L$16"}</definedName>
    <definedName name="mucluong">144000</definedName>
    <definedName name="mvac" localSheetId="0" hidden="1">{"'Sheet1'!$L$16"}</definedName>
    <definedName name="mvac" localSheetId="6" hidden="1">{"'Sheet1'!$L$16"}</definedName>
    <definedName name="mvac" localSheetId="9" hidden="1">{"'Sheet1'!$L$16"}</definedName>
    <definedName name="mvac" hidden="1">{"'Sheet1'!$L$16"}</definedName>
    <definedName name="n" localSheetId="0" hidden="1">{"'Sheet1'!$L$16"}</definedName>
    <definedName name="n" localSheetId="6" hidden="1">{"'Sheet1'!$L$16"}</definedName>
    <definedName name="n" localSheetId="9" hidden="1">{"'Sheet1'!$L$16"}</definedName>
    <definedName name="n" hidden="1">{"'Sheet1'!$L$16"}</definedName>
    <definedName name="nam" localSheetId="0" hidden="1">{"'Sheet1'!$L$16"}</definedName>
    <definedName name="nam" localSheetId="6" hidden="1">{"'Sheet1'!$L$16"}</definedName>
    <definedName name="nam" localSheetId="9" hidden="1">{"'Sheet1'!$L$16"}</definedName>
    <definedName name="nam" hidden="1">{"'Sheet1'!$L$16"}</definedName>
    <definedName name="NCM">2.5%</definedName>
    <definedName name="Ne" localSheetId="0" hidden="1">{"'Sheet1'!$L$16"}</definedName>
    <definedName name="Ne" localSheetId="6" hidden="1">{"'Sheet1'!$L$16"}</definedName>
    <definedName name="Ne" localSheetId="9" hidden="1">{"'Sheet1'!$L$16"}</definedName>
    <definedName name="Ne" hidden="1">{"'Sheet1'!$L$16"}</definedName>
    <definedName name="ng.cong.nhan" localSheetId="0" hidden="1">{"'Sheet1'!$L$16"}</definedName>
    <definedName name="ng.cong.nhan" localSheetId="6" hidden="1">{"'Sheet1'!$L$16"}</definedName>
    <definedName name="ng.cong.nhan" localSheetId="9" hidden="1">{"'Sheet1'!$L$16"}</definedName>
    <definedName name="ng.cong.nhan" hidden="1">{"'Sheet1'!$L$16"}</definedName>
    <definedName name="ngan" localSheetId="0">{"Thuxm2.xls","Sheet1"}</definedName>
    <definedName name="ngan" localSheetId="9">{"Thuxm2.xls","Sheet1"}</definedName>
    <definedName name="ngan">{"Thuxm2.xls","Sheet1"}</definedName>
    <definedName name="ngnah" localSheetId="0">{"Thuxm2.xls","Sheet1"}</definedName>
    <definedName name="ngnah" localSheetId="9">{"Thuxm2.xls","Sheet1"}</definedName>
    <definedName name="ngnah">{"Thuxm2.xls","Sheet1"}</definedName>
    <definedName name="ngu" localSheetId="0" hidden="1">{"'Sheet1'!$L$16"}</definedName>
    <definedName name="ngu" localSheetId="6" hidden="1">{"'Sheet1'!$L$16"}</definedName>
    <definedName name="ngu" localSheetId="9" hidden="1">{"'Sheet1'!$L$16"}</definedName>
    <definedName name="ngu" hidden="1">{"'Sheet1'!$L$16"}</definedName>
    <definedName name="NHAÂN_COÂNG" localSheetId="0">'3.13.Thành phố Kon Tum'!BTRAM</definedName>
    <definedName name="NHAÂN_COÂNG" localSheetId="9">'3.22.Kon PLong'!BTRAM</definedName>
    <definedName name="NHAÂN_COÂNG">BTRAM</definedName>
    <definedName name="Nhan_xet_cua_dai">"Picture 1"</definedName>
    <definedName name="NHanh" localSheetId="0">{"Thuxm2.xls","Sheet1"}</definedName>
    <definedName name="NHanh" localSheetId="9">{"Thuxm2.xls","Sheet1"}</definedName>
    <definedName name="NHanh">{"Thuxm2.xls","Sheet1"}</definedName>
    <definedName name="NHANH2_CG4" localSheetId="0" hidden="1">{"'Sheet1'!$L$16"}</definedName>
    <definedName name="NHANH2_CG4" localSheetId="6" hidden="1">{"'Sheet1'!$L$16"}</definedName>
    <definedName name="NHANH2_CG4" localSheetId="9" hidden="1">{"'Sheet1'!$L$16"}</definedName>
    <definedName name="NHANH2_CG4" hidden="1">{"'Sheet1'!$L$16"}</definedName>
    <definedName name="nhfffd" localSheetId="0">{"DZ-TDTB2.XLS","Dcksat.xls"}</definedName>
    <definedName name="nhfffd" localSheetId="9">{"DZ-TDTB2.XLS","Dcksat.xls"}</definedName>
    <definedName name="nhfffd">{"DZ-TDTB2.XLS","Dcksat.xls"}</definedName>
    <definedName name="nnn" localSheetId="0" hidden="1">{"'Sheet1'!$L$16"}</definedName>
    <definedName name="nnn" localSheetId="6" hidden="1">{"'Sheet1'!$L$16"}</definedName>
    <definedName name="nnn" localSheetId="9" hidden="1">{"'Sheet1'!$L$16"}</definedName>
    <definedName name="nnn" hidden="1">{"'Sheet1'!$L$16"}</definedName>
    <definedName name="nnnn" localSheetId="0" hidden="1">{"'Sheet1'!$L$16"}</definedName>
    <definedName name="nnnn" localSheetId="6" hidden="1">{"'Sheet1'!$L$16"}</definedName>
    <definedName name="nnnn" localSheetId="9" hidden="1">{"'Sheet1'!$L$16"}</definedName>
    <definedName name="nnnn" hidden="1">{"'Sheet1'!$L$16"}</definedName>
    <definedName name="NRy" localSheetId="0" hidden="1">{"'Sheet1'!$L$16"}</definedName>
    <definedName name="NRy" localSheetId="6" hidden="1">{"'Sheet1'!$L$16"}</definedName>
    <definedName name="NRy" localSheetId="9" hidden="1">{"'Sheet1'!$L$16"}</definedName>
    <definedName name="NRy" hidden="1">{"'Sheet1'!$L$16"}</definedName>
    <definedName name="NUOCHKHOAN" localSheetId="0" hidden="1">{"'Sheet1'!$L$16"}</definedName>
    <definedName name="NUOCHKHOAN" localSheetId="6" hidden="1">{"'Sheet1'!$L$16"}</definedName>
    <definedName name="NUOCHKHOAN" localSheetId="9" hidden="1">{"'Sheet1'!$L$16"}</definedName>
    <definedName name="NUOCHKHOAN" hidden="1">{"'Sheet1'!$L$16"}</definedName>
    <definedName name="NUOCHKHOANMOI" localSheetId="0" hidden="1">{"'Sheet1'!$L$16"}</definedName>
    <definedName name="NUOCHKHOANMOI" localSheetId="6" hidden="1">{"'Sheet1'!$L$16"}</definedName>
    <definedName name="NUOCHKHOANMOI" localSheetId="9" hidden="1">{"'Sheet1'!$L$16"}</definedName>
    <definedName name="NUOCHKHOANMOI" hidden="1">{"'Sheet1'!$L$16"}</definedName>
    <definedName name="o" localSheetId="0" hidden="1">{"'Sheet1'!$L$16"}</definedName>
    <definedName name="o" localSheetId="6" hidden="1">{"'Sheet1'!$L$16"}</definedName>
    <definedName name="o" localSheetId="9" hidden="1">{"'Sheet1'!$L$16"}</definedName>
    <definedName name="o" hidden="1">{"'Sheet1'!$L$16"}</definedName>
    <definedName name="ODA" localSheetId="0" hidden="1">{"'Sheet1'!$L$16"}</definedName>
    <definedName name="ODA" localSheetId="6" hidden="1">{"'Sheet1'!$L$16"}</definedName>
    <definedName name="ODA" localSheetId="9" hidden="1">{"'Sheet1'!$L$16"}</definedName>
    <definedName name="ODA" hidden="1">{"'Sheet1'!$L$16"}</definedName>
    <definedName name="PA3.1" localSheetId="0" hidden="1">{"'Sheet1'!$L$16"}</definedName>
    <definedName name="PA3.1" localSheetId="6" hidden="1">{"'Sheet1'!$L$16"}</definedName>
    <definedName name="PA3.1" localSheetId="9" hidden="1">{"'Sheet1'!$L$16"}</definedName>
    <definedName name="PA3.1" hidden="1">{"'Sheet1'!$L$16"}</definedName>
    <definedName name="PAIII_" localSheetId="0">{"'Sheet1'!$L$16"}</definedName>
    <definedName name="PAIII_" localSheetId="9">{"'Sheet1'!$L$16"}</definedName>
    <definedName name="PAIII_">{"'Sheet1'!$L$16"}</definedName>
    <definedName name="PDo" localSheetId="0" hidden="1">{"'Sheet1'!$L$16"}</definedName>
    <definedName name="PDo" localSheetId="6" hidden="1">{"'Sheet1'!$L$16"}</definedName>
    <definedName name="PDo" localSheetId="9" hidden="1">{"'Sheet1'!$L$16"}</definedName>
    <definedName name="PDo" hidden="1">{"'Sheet1'!$L$16"}</definedName>
    <definedName name="phuong" localSheetId="0" hidden="1">{"'Sheet1'!$L$16"}</definedName>
    <definedName name="phuong" localSheetId="6" hidden="1">{"'Sheet1'!$L$16"}</definedName>
    <definedName name="phuong" localSheetId="9" hidden="1">{"'Sheet1'!$L$16"}</definedName>
    <definedName name="phuong" hidden="1">{"'Sheet1'!$L$16"}</definedName>
    <definedName name="PL" localSheetId="0" hidden="1">{"'Sheet1'!$L$16"}</definedName>
    <definedName name="PL" localSheetId="6" hidden="1">{"'Sheet1'!$L$16"}</definedName>
    <definedName name="PL" localSheetId="9" hidden="1">{"'Sheet1'!$L$16"}</definedName>
    <definedName name="PL" hidden="1">{"'Sheet1'!$L$16"}</definedName>
    <definedName name="plkoipk" localSheetId="0" hidden="1">{"'Sheet1'!$L$16"}</definedName>
    <definedName name="plkoipk" localSheetId="6" hidden="1">{"'Sheet1'!$L$16"}</definedName>
    <definedName name="plkoipk" localSheetId="9" hidden="1">{"'Sheet1'!$L$16"}</definedName>
    <definedName name="plkoipk" hidden="1">{"'Sheet1'!$L$16"}</definedName>
    <definedName name="PlucBcaoTD" localSheetId="0" hidden="1">{"'Sheet1'!$L$16"}</definedName>
    <definedName name="PlucBcaoTD" localSheetId="6" hidden="1">{"'Sheet1'!$L$16"}</definedName>
    <definedName name="PlucBcaoTD" localSheetId="9" hidden="1">{"'Sheet1'!$L$16"}</definedName>
    <definedName name="PlucBcaoTD" hidden="1">{"'Sheet1'!$L$16"}</definedName>
    <definedName name="PMS" localSheetId="0" hidden="1">{"'Sheet1'!$L$16"}</definedName>
    <definedName name="PMS" localSheetId="6" hidden="1">{"'Sheet1'!$L$16"}</definedName>
    <definedName name="PMS" localSheetId="9" hidden="1">{"'Sheet1'!$L$16"}</definedName>
    <definedName name="PMS" hidden="1">{"'Sheet1'!$L$16"}</definedName>
    <definedName name="_xlnm.Print_Area" localSheetId="0">'3.13.Thành phố Kon Tum'!$A$1:$BY$278</definedName>
    <definedName name="_xlnm.Print_Area" localSheetId="1">'3.14.Đăk Hà'!$A$1:$CT$235</definedName>
    <definedName name="_xlnm.Print_Area" localSheetId="5">'3.18.Đăk Glei'!$A$1:$BW$105</definedName>
    <definedName name="_xlnm.Print_Area" localSheetId="6">'3.19.Sa Thầy'!$A$1:$BX$85</definedName>
    <definedName name="_xlnm.Print_Area" localSheetId="7">'3.20.Ia HDrai'!$A$1:$BW$110</definedName>
    <definedName name="_xlnm.Print_Area" localSheetId="8">'3.21.Kon Rẫy'!$A$1:$BV$132</definedName>
    <definedName name="_xlnm.Print_Area" localSheetId="9">'3.22.Kon PLong'!$A$1:$BT$247</definedName>
    <definedName name="_xlnm.Print_Area" localSheetId="3">'DAK TO KAN'!$A$1:$AA$15</definedName>
    <definedName name="_xlnm.Print_Area">#REF!</definedName>
    <definedName name="_xlnm.Print_Titles" localSheetId="0">'3.13.Thành phố Kon Tum'!$A:$BY,'3.13.Thành phố Kon Tum'!$7:$12</definedName>
    <definedName name="_xlnm.Print_Titles" localSheetId="1">'3.14.Đăk Hà'!$A:$CJ,'3.14.Đăk Hà'!$8:$12</definedName>
    <definedName name="_xlnm.Print_Titles" localSheetId="2">'3.15.Đăk Tô'!$A:$CD,'3.15.Đăk Tô'!$7:$11</definedName>
    <definedName name="_xlnm.Print_Titles" localSheetId="4">'3.17.Ngọc Hồi'!$A:$CC,'3.17.Ngọc Hồi'!$7:$11</definedName>
    <definedName name="_xlnm.Print_Titles" localSheetId="5">'3.18.Đăk Glei'!$A:$BW,'3.18.Đăk Glei'!$7:$11</definedName>
    <definedName name="_xlnm.Print_Titles" localSheetId="6">'3.19.Sa Thầy'!$6:$12</definedName>
    <definedName name="_xlnm.Print_Titles" localSheetId="7">'3.20.Ia HDrai'!$A:$BW,'3.20.Ia HDrai'!$7:$11</definedName>
    <definedName name="_xlnm.Print_Titles" localSheetId="8">'3.21.Kon Rẫy'!$A:$BV,'3.21.Kon Rẫy'!$7:$11</definedName>
    <definedName name="_xlnm.Print_Titles" localSheetId="9">'3.22.Kon PLong'!$A:$BW,'3.22.Kon PLong'!$7:$11</definedName>
    <definedName name="_xlnm.Print_Titles" localSheetId="3">'DAK TO KAN'!$A:$AH,'DAK TO KAN'!$6:$10</definedName>
    <definedName name="_xlnm.Print_Titles">#REF!</definedName>
    <definedName name="Profit">2%</definedName>
    <definedName name="PTien72" localSheetId="0" hidden="1">{"'Sheet1'!$L$16"}</definedName>
    <definedName name="PTien72" localSheetId="6" hidden="1">{"'Sheet1'!$L$16"}</definedName>
    <definedName name="PTien72" localSheetId="9" hidden="1">{"'Sheet1'!$L$16"}</definedName>
    <definedName name="PTien72" hidden="1">{"'Sheet1'!$L$16"}</definedName>
    <definedName name="qa" localSheetId="0">{"'Sheet1'!$L$16"}</definedName>
    <definedName name="qa" localSheetId="9">{"'Sheet1'!$L$16"}</definedName>
    <definedName name="qa">{"'Sheet1'!$L$16"}</definedName>
    <definedName name="QQ" localSheetId="0" hidden="1">{"'Sheet1'!$L$16"}</definedName>
    <definedName name="QQ" localSheetId="6" hidden="1">{"'Sheet1'!$L$16"}</definedName>
    <definedName name="QQ" localSheetId="9" hidden="1">{"'Sheet1'!$L$16"}</definedName>
    <definedName name="QQ" hidden="1">{"'Sheet1'!$L$16"}</definedName>
    <definedName name="quoan" localSheetId="0" hidden="1">{"'Sheet1'!$L$16"}</definedName>
    <definedName name="quoan" localSheetId="6" hidden="1">{"'Sheet1'!$L$16"}</definedName>
    <definedName name="quoan" localSheetId="9" hidden="1">{"'Sheet1'!$L$16"}</definedName>
    <definedName name="quoan" hidden="1">{"'Sheet1'!$L$16"}</definedName>
    <definedName name="Quyluongyte" localSheetId="0" hidden="1">{"'Sheet1'!$L$16"}</definedName>
    <definedName name="Quyluongyte" localSheetId="6" hidden="1">{"'Sheet1'!$L$16"}</definedName>
    <definedName name="Quyluongyte" localSheetId="9" hidden="1">{"'Sheet1'!$L$16"}</definedName>
    <definedName name="Quyluongyte" hidden="1">{"'Sheet1'!$L$16"}</definedName>
    <definedName name="Ra">2100</definedName>
    <definedName name="rate">14000</definedName>
    <definedName name="re" localSheetId="0">{"'Sheet1'!$L$16"}</definedName>
    <definedName name="re" localSheetId="9">{"'Sheet1'!$L$16"}</definedName>
    <definedName name="re">{"'Sheet1'!$L$16"}</definedName>
    <definedName name="Result21" localSheetId="0" hidden="1">{"'Sheet1'!$L$16"}</definedName>
    <definedName name="Result21" localSheetId="6" hidden="1">{"'Sheet1'!$L$16"}</definedName>
    <definedName name="Result21" localSheetId="9" hidden="1">{"'Sheet1'!$L$16"}</definedName>
    <definedName name="Result21" hidden="1">{"'Sheet1'!$L$16"}</definedName>
    <definedName name="RGHGSD" localSheetId="0" hidden="1">{"'Sheet1'!$L$16"}</definedName>
    <definedName name="RGHGSD" localSheetId="6" hidden="1">{"'Sheet1'!$L$16"}</definedName>
    <definedName name="RGHGSD" localSheetId="9" hidden="1">{"'Sheet1'!$L$16"}</definedName>
    <definedName name="RGHGSD" hidden="1">{"'Sheet1'!$L$16"}</definedName>
    <definedName name="Rk">7.5</definedName>
    <definedName name="Rn">90</definedName>
    <definedName name="rtr" localSheetId="0" hidden="1">{"'Sheet1'!$L$16"}</definedName>
    <definedName name="rtr" localSheetId="6" hidden="1">{"'Sheet1'!$L$16"}</definedName>
    <definedName name="rtr" localSheetId="9" hidden="1">{"'Sheet1'!$L$16"}</definedName>
    <definedName name="rtr" hidden="1">{"'Sheet1'!$L$16"}</definedName>
    <definedName name="S.dinh">640</definedName>
    <definedName name="sa" localSheetId="0" hidden="1">{"'Sheet1'!$L$16"}</definedName>
    <definedName name="sa" localSheetId="6" hidden="1">{"'Sheet1'!$L$16"}</definedName>
    <definedName name="sa" localSheetId="9" hidden="1">{"'Sheet1'!$L$16"}</definedName>
    <definedName name="sa" hidden="1">{"'Sheet1'!$L$16"}</definedName>
    <definedName name="san" localSheetId="0" hidden="1">{"'Sheet1'!$L$16"}</definedName>
    <definedName name="san" localSheetId="6" hidden="1">{"'Sheet1'!$L$16"}</definedName>
    <definedName name="san" localSheetId="9" hidden="1">{"'Sheet1'!$L$16"}</definedName>
    <definedName name="san" hidden="1">{"'Sheet1'!$L$16"}</definedName>
    <definedName name="sas" localSheetId="0" hidden="1">{"'Sheet1'!$L$16"}</definedName>
    <definedName name="sas" localSheetId="6" hidden="1">{"'Sheet1'!$L$16"}</definedName>
    <definedName name="sas" localSheetId="9" hidden="1">{"'Sheet1'!$L$16"}</definedName>
    <definedName name="sas" hidden="1">{"'Sheet1'!$L$16"}</definedName>
    <definedName name="SCTX" localSheetId="0" hidden="1">{"'Sheet1'!$L$16"}</definedName>
    <definedName name="SCTX" localSheetId="6" hidden="1">{"'Sheet1'!$L$16"}</definedName>
    <definedName name="SCTX" localSheetId="9" hidden="1">{"'Sheet1'!$L$16"}</definedName>
    <definedName name="SCTX" hidden="1">{"'Sheet1'!$L$16"}</definedName>
    <definedName name="sdbv" localSheetId="0" hidden="1">{"'Sheet1'!$L$16"}</definedName>
    <definedName name="sdbv" localSheetId="6" hidden="1">{"'Sheet1'!$L$16"}</definedName>
    <definedName name="sdbv" localSheetId="9" hidden="1">{"'Sheet1'!$L$16"}</definedName>
    <definedName name="sdbv" hidden="1">{"'Sheet1'!$L$16"}</definedName>
    <definedName name="sdf" localSheetId="0" hidden="1">{"'Sheet1'!$L$16"}</definedName>
    <definedName name="sdf" localSheetId="6" hidden="1">{"'Sheet1'!$L$16"}</definedName>
    <definedName name="sdf" localSheetId="9" hidden="1">{"'Sheet1'!$L$16"}</definedName>
    <definedName name="sdf" hidden="1">{"'Sheet1'!$L$16"}</definedName>
    <definedName name="sen" localSheetId="0" hidden="1">{"'Sheet1'!$L$16"}</definedName>
    <definedName name="sen" localSheetId="6" hidden="1">{"'Sheet1'!$L$16"}</definedName>
    <definedName name="sen" localSheetId="9" hidden="1">{"'Sheet1'!$L$16"}</definedName>
    <definedName name="sen" hidden="1">{"'Sheet1'!$L$16"}</definedName>
    <definedName name="sencount">2</definedName>
    <definedName name="sfh" localSheetId="0" hidden="1">{"'Sheet1'!$L$16"}</definedName>
    <definedName name="sfh" localSheetId="6" hidden="1">{"'Sheet1'!$L$16"}</definedName>
    <definedName name="sfh" localSheetId="9" hidden="1">{"'Sheet1'!$L$16"}</definedName>
    <definedName name="sfh" hidden="1">{"'Sheet1'!$L$16"}</definedName>
    <definedName name="sfsd" localSheetId="0">{"'Sheet1'!$L$16"}</definedName>
    <definedName name="sfsd" localSheetId="9">{"'Sheet1'!$L$16"}</definedName>
    <definedName name="sfsd">{"'Sheet1'!$L$16"}</definedName>
    <definedName name="shee12" localSheetId="0" hidden="1">{"'Sheet1'!$L$16"}</definedName>
    <definedName name="shee12" localSheetId="6" hidden="1">{"'Sheet1'!$L$16"}</definedName>
    <definedName name="shee12" localSheetId="9" hidden="1">{"'Sheet1'!$L$16"}</definedName>
    <definedName name="shee12" hidden="1">{"'Sheet1'!$L$16"}</definedName>
    <definedName name="sheet" localSheetId="0" hidden="1">{"'Sheet1'!$L$16"}</definedName>
    <definedName name="sheet" localSheetId="6" hidden="1">{"'Sheet1'!$L$16"}</definedName>
    <definedName name="sheet" localSheetId="9" hidden="1">{"'Sheet1'!$L$16"}</definedName>
    <definedName name="sheet" hidden="1">{"'Sheet1'!$L$16"}</definedName>
    <definedName name="SheetName">"[Bao_cao_cua_NVTK_tai_NPP_bieu_mau_moi_4___Mau_moi.xls]~         "</definedName>
    <definedName name="SNV" localSheetId="0" hidden="1">{"'Sheet1'!$L$16"}</definedName>
    <definedName name="SNV" localSheetId="6" hidden="1">{"'Sheet1'!$L$16"}</definedName>
    <definedName name="SNV" localSheetId="9" hidden="1">{"'Sheet1'!$L$16"}</definedName>
    <definedName name="SNV" hidden="1">{"'Sheet1'!$L$16"}</definedName>
    <definedName name="sodu" localSheetId="0" hidden="1">{"'Sheet1'!$L$16"}</definedName>
    <definedName name="sodu" localSheetId="6" hidden="1">{"'Sheet1'!$L$16"}</definedName>
    <definedName name="sodu" localSheetId="9" hidden="1">{"'Sheet1'!$L$16"}</definedName>
    <definedName name="sodu" hidden="1">{"'Sheet1'!$L$16"}</definedName>
    <definedName name="Sosanh2" localSheetId="0" hidden="1">{"'Sheet1'!$L$16"}</definedName>
    <definedName name="Sosanh2" localSheetId="6" hidden="1">{"'Sheet1'!$L$16"}</definedName>
    <definedName name="Sosanh2" localSheetId="9" hidden="1">{"'Sheet1'!$L$16"}</definedName>
    <definedName name="Sosanh2" hidden="1">{"'Sheet1'!$L$16"}</definedName>
    <definedName name="spchinhmoi" localSheetId="0" hidden="1">{"'Sheet1'!$L$16"}</definedName>
    <definedName name="spchinhmoi" localSheetId="6" hidden="1">{"'Sheet1'!$L$16"}</definedName>
    <definedName name="spchinhmoi" localSheetId="9" hidden="1">{"'Sheet1'!$L$16"}</definedName>
    <definedName name="spchinhmoi" hidden="1">{"'Sheet1'!$L$16"}</definedName>
    <definedName name="SS" localSheetId="0">{"'Sheet1'!$L$16"}</definedName>
    <definedName name="SS" localSheetId="9">{"'Sheet1'!$L$16"}</definedName>
    <definedName name="SS">{"'Sheet1'!$L$16"}</definedName>
    <definedName name="ST_TH2_131">3</definedName>
    <definedName name="sua" localSheetId="0" hidden="1">{"'Sheet1'!$L$16"}</definedName>
    <definedName name="sua" localSheetId="6" hidden="1">{"'Sheet1'!$L$16"}</definedName>
    <definedName name="sua" localSheetId="9" hidden="1">{"'Sheet1'!$L$16"}</definedName>
    <definedName name="sua" hidden="1">{"'Sheet1'!$L$16"}</definedName>
    <definedName name="svl">50</definedName>
    <definedName name="t" localSheetId="0">{"'Sheet1'!$L$16"}</definedName>
    <definedName name="t" localSheetId="9">{"'Sheet1'!$L$16"}</definedName>
    <definedName name="t">{"'Sheet1'!$L$16"}</definedName>
    <definedName name="T.3" localSheetId="0" hidden="1">{"'Sheet1'!$L$16"}</definedName>
    <definedName name="T.3" localSheetId="6" hidden="1">{"'Sheet1'!$L$16"}</definedName>
    <definedName name="T.3" localSheetId="9" hidden="1">{"'Sheet1'!$L$16"}</definedName>
    <definedName name="T.3" hidden="1">{"'Sheet1'!$L$16"}</definedName>
    <definedName name="T.Thuy" localSheetId="0" hidden="1">{"'Sheet1'!$L$16"}</definedName>
    <definedName name="T.Thuy" localSheetId="6" hidden="1">{"'Sheet1'!$L$16"}</definedName>
    <definedName name="T.Thuy" localSheetId="9" hidden="1">{"'Sheet1'!$L$16"}</definedName>
    <definedName name="T.Thuy" hidden="1">{"'Sheet1'!$L$16"}</definedName>
    <definedName name="Tæng_c_ng_suÊt_hiÖn_t_i">"THOP"</definedName>
    <definedName name="tao" localSheetId="0" hidden="1">{"'Sheet1'!$L$16"}</definedName>
    <definedName name="tao" localSheetId="6" hidden="1">{"'Sheet1'!$L$16"}</definedName>
    <definedName name="tao" localSheetId="9" hidden="1">{"'Sheet1'!$L$16"}</definedName>
    <definedName name="tao" hidden="1">{"'Sheet1'!$L$16"}</definedName>
    <definedName name="TatBo" localSheetId="0" hidden="1">{"'Sheet1'!$L$16"}</definedName>
    <definedName name="TatBo" localSheetId="6" hidden="1">{"'Sheet1'!$L$16"}</definedName>
    <definedName name="TatBo" localSheetId="9" hidden="1">{"'Sheet1'!$L$16"}</definedName>
    <definedName name="TatBo" hidden="1">{"'Sheet1'!$L$16"}</definedName>
    <definedName name="TaxTV">10%</definedName>
    <definedName name="TaxXL">5%</definedName>
    <definedName name="TextRefCopyRangeCount" hidden="1">21</definedName>
    <definedName name="tha" localSheetId="0">{"'Sheet1'!$L$16"}</definedName>
    <definedName name="tha" localSheetId="9">{"'Sheet1'!$L$16"}</definedName>
    <definedName name="tha">{"'Sheet1'!$L$16"}</definedName>
    <definedName name="Thang1" localSheetId="0" hidden="1">{"'Sheet1'!$L$16"}</definedName>
    <definedName name="Thang1" localSheetId="6" hidden="1">{"'Sheet1'!$L$16"}</definedName>
    <definedName name="Thang1" localSheetId="9" hidden="1">{"'Sheet1'!$L$16"}</definedName>
    <definedName name="Thang1" hidden="1">{"'Sheet1'!$L$16"}</definedName>
    <definedName name="thang10" localSheetId="0" hidden="1">{"'Sheet1'!$L$16"}</definedName>
    <definedName name="thang10" localSheetId="6" hidden="1">{"'Sheet1'!$L$16"}</definedName>
    <definedName name="thang10" localSheetId="9" hidden="1">{"'Sheet1'!$L$16"}</definedName>
    <definedName name="thang10" hidden="1">{"'Sheet1'!$L$16"}</definedName>
    <definedName name="thang13" localSheetId="0" hidden="1">{"'Sheet1'!$L$16"}</definedName>
    <definedName name="thang13" localSheetId="6" hidden="1">{"'Sheet1'!$L$16"}</definedName>
    <definedName name="thang13" localSheetId="9" hidden="1">{"'Sheet1'!$L$16"}</definedName>
    <definedName name="thang13" hidden="1">{"'Sheet1'!$L$16"}</definedName>
    <definedName name="thanh" localSheetId="0" hidden="1">{"'Sheet1'!$L$16"}</definedName>
    <definedName name="thanh" localSheetId="6" hidden="1">{"'Sheet1'!$L$16"}</definedName>
    <definedName name="thanh" localSheetId="9" hidden="1">{"'Sheet1'!$L$16"}</definedName>
    <definedName name="thanh" hidden="1">{"'Sheet1'!$L$16"}</definedName>
    <definedName name="THDA_copy" localSheetId="0" hidden="1">{"'Sheet1'!$L$16"}</definedName>
    <definedName name="THDA_copy" localSheetId="6" hidden="1">{"'Sheet1'!$L$16"}</definedName>
    <definedName name="THDA_copy" localSheetId="9" hidden="1">{"'Sheet1'!$L$16"}</definedName>
    <definedName name="THDA_copy" hidden="1">{"'Sheet1'!$L$16"}</definedName>
    <definedName name="thepma">10500</definedName>
    <definedName name="THKL" localSheetId="0" hidden="1">{"'Sheet1'!$L$16"}</definedName>
    <definedName name="THKL" localSheetId="6" hidden="1">{"'Sheet1'!$L$16"}</definedName>
    <definedName name="THKL" localSheetId="9" hidden="1">{"'Sheet1'!$L$16"}</definedName>
    <definedName name="THKL" hidden="1">{"'Sheet1'!$L$16"}</definedName>
    <definedName name="thkl2" localSheetId="0" hidden="1">{"'Sheet1'!$L$16"}</definedName>
    <definedName name="thkl2" localSheetId="6" hidden="1">{"'Sheet1'!$L$16"}</definedName>
    <definedName name="thkl2" localSheetId="9" hidden="1">{"'Sheet1'!$L$16"}</definedName>
    <definedName name="thkl2" hidden="1">{"'Sheet1'!$L$16"}</definedName>
    <definedName name="thkl3" localSheetId="0" hidden="1">{"'Sheet1'!$L$16"}</definedName>
    <definedName name="thkl3" localSheetId="6" hidden="1">{"'Sheet1'!$L$16"}</definedName>
    <definedName name="thkl3" localSheetId="9" hidden="1">{"'Sheet1'!$L$16"}</definedName>
    <definedName name="thkl3" hidden="1">{"'Sheet1'!$L$16"}</definedName>
    <definedName name="THKP7YT" localSheetId="0" hidden="1">{"'Sheet1'!$L$16"}</definedName>
    <definedName name="THKP7YT" localSheetId="6" hidden="1">{"'Sheet1'!$L$16"}</definedName>
    <definedName name="THKP7YT" localSheetId="9" hidden="1">{"'Sheet1'!$L$16"}</definedName>
    <definedName name="THKP7YT" hidden="1">{"'Sheet1'!$L$16"}</definedName>
    <definedName name="THMinh" localSheetId="0" hidden="1">{"'Sheet1'!$L$16"}</definedName>
    <definedName name="THMinh" localSheetId="6" hidden="1">{"'Sheet1'!$L$16"}</definedName>
    <definedName name="THMinh" localSheetId="9" hidden="1">{"'Sheet1'!$L$16"}</definedName>
    <definedName name="THMinh" hidden="1">{"'Sheet1'!$L$16"}</definedName>
    <definedName name="THs" localSheetId="0" hidden="1">{"'Sheet1'!$L$16"}</definedName>
    <definedName name="THs" localSheetId="6" hidden="1">{"'Sheet1'!$L$16"}</definedName>
    <definedName name="THs" localSheetId="9" hidden="1">{"'Sheet1'!$L$16"}</definedName>
    <definedName name="THs" hidden="1">{"'Sheet1'!$L$16"}</definedName>
    <definedName name="thu" localSheetId="0" hidden="1">{"'Sheet1'!$L$16"}</definedName>
    <definedName name="thu" localSheetId="6" hidden="1">{"'Sheet1'!$L$16"}</definedName>
    <definedName name="thu" localSheetId="9" hidden="1">{"'Sheet1'!$L$16"}</definedName>
    <definedName name="thu" hidden="1">{"'Sheet1'!$L$16"}</definedName>
    <definedName name="thue">6</definedName>
    <definedName name="thuy" localSheetId="0" hidden="1">{"'Sheet1'!$L$16"}</definedName>
    <definedName name="thuy" localSheetId="6" hidden="1">{"'Sheet1'!$L$16"}</definedName>
    <definedName name="thuy" localSheetId="9" hidden="1">{"'Sheet1'!$L$16"}</definedName>
    <definedName name="thuy" hidden="1">{"'Sheet1'!$L$16"}</definedName>
    <definedName name="thvlmoi" localSheetId="0" hidden="1">{"'Sheet1'!$L$16"}</definedName>
    <definedName name="thvlmoi" localSheetId="6" hidden="1">{"'Sheet1'!$L$16"}</definedName>
    <definedName name="thvlmoi" localSheetId="9" hidden="1">{"'Sheet1'!$L$16"}</definedName>
    <definedName name="thvlmoi" hidden="1">{"'Sheet1'!$L$16"}</definedName>
    <definedName name="thvlmoimoi" localSheetId="0" hidden="1">{"'Sheet1'!$L$16"}</definedName>
    <definedName name="thvlmoimoi" localSheetId="6" hidden="1">{"'Sheet1'!$L$16"}</definedName>
    <definedName name="thvlmoimoi" localSheetId="9" hidden="1">{"'Sheet1'!$L$16"}</definedName>
    <definedName name="thvlmoimoi" hidden="1">{"'Sheet1'!$L$16"}</definedName>
    <definedName name="THXD2" localSheetId="0" hidden="1">{"'Sheet1'!$L$16"}</definedName>
    <definedName name="THXD2" localSheetId="6" hidden="1">{"'Sheet1'!$L$16"}</definedName>
    <definedName name="THXD2" localSheetId="9" hidden="1">{"'Sheet1'!$L$16"}</definedName>
    <definedName name="THXD2" hidden="1">{"'Sheet1'!$L$16"}</definedName>
    <definedName name="tiendo">1094</definedName>
    <definedName name="Tiepdiama">9500</definedName>
    <definedName name="tkt" localSheetId="0" hidden="1">{"'Sheet1'!$L$16"}</definedName>
    <definedName name="tkt" localSheetId="6" hidden="1">{"'Sheet1'!$L$16"}</definedName>
    <definedName name="tkt" localSheetId="9" hidden="1">{"'Sheet1'!$L$16"}</definedName>
    <definedName name="tkt" hidden="1">{"'Sheet1'!$L$16"}</definedName>
    <definedName name="TKYB">"TKYB"</definedName>
    <definedName name="TLviet" localSheetId="0">100%-TLyen</definedName>
    <definedName name="TLviet" localSheetId="9">100%-TLyen</definedName>
    <definedName name="TLviet">100%-TLyen</definedName>
    <definedName name="TLyen">0.3</definedName>
    <definedName name="tonghop" localSheetId="0" hidden="1">{"'Sheet1'!$L$16"}</definedName>
    <definedName name="tonghop" localSheetId="6" hidden="1">{"'Sheet1'!$L$16"}</definedName>
    <definedName name="tonghop" localSheetId="9" hidden="1">{"'Sheet1'!$L$16"}</definedName>
    <definedName name="tonghop" hidden="1">{"'Sheet1'!$L$16"}</definedName>
    <definedName name="TPCP" localSheetId="0" hidden="1">{"'Sheet1'!$L$16"}</definedName>
    <definedName name="TPCP" localSheetId="6" hidden="1">{"'Sheet1'!$L$16"}</definedName>
    <definedName name="TPCP" localSheetId="9" hidden="1">{"'Sheet1'!$L$16"}</definedName>
    <definedName name="TPCP" hidden="1">{"'Sheet1'!$L$16"}</definedName>
    <definedName name="ttdb">1.2</definedName>
    <definedName name="TTTH2" localSheetId="0" hidden="1">{"'Sheet1'!$L$16"}</definedName>
    <definedName name="TTTH2" localSheetId="6" hidden="1">{"'Sheet1'!$L$16"}</definedName>
    <definedName name="TTTH2" localSheetId="9" hidden="1">{"'Sheet1'!$L$16"}</definedName>
    <definedName name="TTTH2" hidden="1">{"'Sheet1'!$L$16"}</definedName>
    <definedName name="ttttt" localSheetId="0" hidden="1">{"'Sheet1'!$L$16"}</definedName>
    <definedName name="ttttt" localSheetId="6" hidden="1">{"'Sheet1'!$L$16"}</definedName>
    <definedName name="ttttt" localSheetId="9" hidden="1">{"'Sheet1'!$L$16"}</definedName>
    <definedName name="ttttt" hidden="1">{"'Sheet1'!$L$16"}</definedName>
    <definedName name="TTTTTTTTT" localSheetId="0" hidden="1">{"'Sheet1'!$L$16"}</definedName>
    <definedName name="TTTTTTTTT" localSheetId="6" hidden="1">{"'Sheet1'!$L$16"}</definedName>
    <definedName name="TTTTTTTTT" localSheetId="9" hidden="1">{"'Sheet1'!$L$16"}</definedName>
    <definedName name="TTTTTTTTT" hidden="1">{"'Sheet1'!$L$16"}</definedName>
    <definedName name="ttttttttttt" localSheetId="0" hidden="1">{"'Sheet1'!$L$16"}</definedName>
    <definedName name="ttttttttttt" localSheetId="6" hidden="1">{"'Sheet1'!$L$16"}</definedName>
    <definedName name="ttttttttttt" localSheetId="9" hidden="1">{"'Sheet1'!$L$16"}</definedName>
    <definedName name="ttttttttttt" hidden="1">{"'Sheet1'!$L$16"}</definedName>
    <definedName name="tuyen" localSheetId="0" hidden="1">{"'Sheet1'!$L$16"}</definedName>
    <definedName name="tuyen" localSheetId="6" hidden="1">{"'Sheet1'!$L$16"}</definedName>
    <definedName name="tuyen" localSheetId="9" hidden="1">{"'Sheet1'!$L$16"}</definedName>
    <definedName name="tuyen" hidden="1">{"'Sheet1'!$L$16"}</definedName>
    <definedName name="tuyennhanh" localSheetId="0" hidden="1">{"'Sheet1'!$L$16"}</definedName>
    <definedName name="tuyennhanh" localSheetId="6" hidden="1">{"'Sheet1'!$L$16"}</definedName>
    <definedName name="tuyennhanh" localSheetId="9" hidden="1">{"'Sheet1'!$L$16"}</definedName>
    <definedName name="tuyennhanh" hidden="1">{"'Sheet1'!$L$16"}</definedName>
    <definedName name="tuynen" localSheetId="0" hidden="1">{"'Sheet1'!$L$16"}</definedName>
    <definedName name="tuynen" localSheetId="6" hidden="1">{"'Sheet1'!$L$16"}</definedName>
    <definedName name="tuynen" localSheetId="9" hidden="1">{"'Sheet1'!$L$16"}</definedName>
    <definedName name="tuynen" hidden="1">{"'Sheet1'!$L$16"}</definedName>
    <definedName name="tv" localSheetId="0" hidden="1">{"'Sheet1'!$L$16"}</definedName>
    <definedName name="tv" localSheetId="6" hidden="1">{"'Sheet1'!$L$16"}</definedName>
    <definedName name="tv" localSheetId="9" hidden="1">{"'Sheet1'!$L$16"}</definedName>
    <definedName name="tv" hidden="1">{"'Sheet1'!$L$16"}</definedName>
    <definedName name="u" localSheetId="0" hidden="1">{"'Sheet1'!$L$16"}</definedName>
    <definedName name="u" localSheetId="6" hidden="1">{"'Sheet1'!$L$16"}</definedName>
    <definedName name="u" localSheetId="9" hidden="1">{"'Sheet1'!$L$16"}</definedName>
    <definedName name="u" hidden="1">{"'Sheet1'!$L$16"}</definedName>
    <definedName name="ư" localSheetId="0" hidden="1">{"'Sheet1'!$L$16"}</definedName>
    <definedName name="ư" localSheetId="6" hidden="1">{"'Sheet1'!$L$16"}</definedName>
    <definedName name="ư" localSheetId="9" hidden="1">{"'Sheet1'!$L$16"}</definedName>
    <definedName name="ư" hidden="1">{"'Sheet1'!$L$16"}</definedName>
    <definedName name="UL" localSheetId="0" hidden="1">{"'Sheet1'!$L$16"}</definedName>
    <definedName name="UL" localSheetId="6" hidden="1">{"'Sheet1'!$L$16"}</definedName>
    <definedName name="UL" localSheetId="9" hidden="1">{"'Sheet1'!$L$16"}</definedName>
    <definedName name="UL" hidden="1">{"'Sheet1'!$L$16"}</definedName>
    <definedName name="usd">15720</definedName>
    <definedName name="utye" localSheetId="0" hidden="1">{"'Sheet1'!$L$16"}</definedName>
    <definedName name="utye" localSheetId="6" hidden="1">{"'Sheet1'!$L$16"}</definedName>
    <definedName name="utye" localSheetId="9" hidden="1">{"'Sheet1'!$L$16"}</definedName>
    <definedName name="utye" hidden="1">{"'Sheet1'!$L$16"}</definedName>
    <definedName name="v" localSheetId="0" hidden="1">{"'Sheet1'!$L$16"}</definedName>
    <definedName name="v" localSheetId="6" hidden="1">{"'Sheet1'!$L$16"}</definedName>
    <definedName name="v" localSheetId="9" hidden="1">{"'Sheet1'!$L$16"}</definedName>
    <definedName name="v" hidden="1">{"'Sheet1'!$L$16"}</definedName>
    <definedName name="VAÄT_LIEÄU">"ATRAM"</definedName>
    <definedName name="vaond" localSheetId="0" hidden="1">{"'Sheet1'!$L$16"}</definedName>
    <definedName name="vaond" localSheetId="6" hidden="1">{"'Sheet1'!$L$16"}</definedName>
    <definedName name="vaond" localSheetId="9" hidden="1">{"'Sheet1'!$L$16"}</definedName>
    <definedName name="vaond" hidden="1">{"'Sheet1'!$L$16"}</definedName>
    <definedName name="VATM" localSheetId="0" hidden="1">{"'Sheet1'!$L$16"}</definedName>
    <definedName name="VATM" localSheetId="6" hidden="1">{"'Sheet1'!$L$16"}</definedName>
    <definedName name="VATM" localSheetId="9" hidden="1">{"'Sheet1'!$L$16"}</definedName>
    <definedName name="VATM" hidden="1">{"'Sheet1'!$L$16"}</definedName>
    <definedName name="vcoto" localSheetId="0" hidden="1">{"'Sheet1'!$L$16"}</definedName>
    <definedName name="vcoto" localSheetId="6" hidden="1">{"'Sheet1'!$L$16"}</definedName>
    <definedName name="vcoto" localSheetId="9" hidden="1">{"'Sheet1'!$L$16"}</definedName>
    <definedName name="vcoto" hidden="1">{"'Sheet1'!$L$16"}</definedName>
    <definedName name="VGFTF" localSheetId="0" hidden="1">{"'Sheet1'!$L$16"}</definedName>
    <definedName name="VGFTF" localSheetId="6" hidden="1">{"'Sheet1'!$L$16"}</definedName>
    <definedName name="VGFTF" localSheetId="9" hidden="1">{"'Sheet1'!$L$16"}</definedName>
    <definedName name="VGFTF" hidden="1">{"'Sheet1'!$L$16"}</definedName>
    <definedName name="vgho" localSheetId="0" hidden="1">{"'Sheet1'!$L$16"}</definedName>
    <definedName name="vgho" localSheetId="6" hidden="1">{"'Sheet1'!$L$16"}</definedName>
    <definedName name="vgho" localSheetId="9" hidden="1">{"'Sheet1'!$L$16"}</definedName>
    <definedName name="vgho" hidden="1">{"'Sheet1'!$L$16"}</definedName>
    <definedName name="VH" localSheetId="0" hidden="1">{"'Sheet1'!$L$16"}</definedName>
    <definedName name="VH" localSheetId="6" hidden="1">{"'Sheet1'!$L$16"}</definedName>
    <definedName name="VH" localSheetId="9" hidden="1">{"'Sheet1'!$L$16"}</definedName>
    <definedName name="VH" hidden="1">{"'Sheet1'!$L$16"}</definedName>
    <definedName name="VHXH" localSheetId="0" hidden="1">{"'Sheet1'!$L$16"}</definedName>
    <definedName name="VHXH" localSheetId="6" hidden="1">{"'Sheet1'!$L$16"}</definedName>
    <definedName name="VHXH" localSheetId="9" hidden="1">{"'Sheet1'!$L$16"}</definedName>
    <definedName name="VHXH" hidden="1">{"'Sheet1'!$L$16"}</definedName>
    <definedName name="Viet" localSheetId="0" hidden="1">{"'Sheet1'!$L$16"}</definedName>
    <definedName name="Viet" localSheetId="6" hidden="1">{"'Sheet1'!$L$16"}</definedName>
    <definedName name="Viet" localSheetId="9" hidden="1">{"'Sheet1'!$L$16"}</definedName>
    <definedName name="Viet" hidden="1">{"'Sheet1'!$L$16"}</definedName>
    <definedName name="VL" localSheetId="0" hidden="1">{"'Sheet1'!$L$16"}</definedName>
    <definedName name="VL" localSheetId="6" hidden="1">{"'Sheet1'!$L$16"}</definedName>
    <definedName name="VL" localSheetId="9" hidden="1">{"'Sheet1'!$L$16"}</definedName>
    <definedName name="VL" hidden="1">{"'Sheet1'!$L$16"}</definedName>
    <definedName name="vlct" localSheetId="0" hidden="1">{"'Sheet1'!$L$16"}</definedName>
    <definedName name="vlct" localSheetId="6" hidden="1">{"'Sheet1'!$L$16"}</definedName>
    <definedName name="vlct" localSheetId="9" hidden="1">{"'Sheet1'!$L$16"}</definedName>
    <definedName name="vlct" hidden="1">{"'Sheet1'!$L$16"}</definedName>
    <definedName name="VLP" localSheetId="0" hidden="1">{"'Sheet1'!$L$16"}</definedName>
    <definedName name="VLP" localSheetId="6" hidden="1">{"'Sheet1'!$L$16"}</definedName>
    <definedName name="VLP" localSheetId="9" hidden="1">{"'Sheet1'!$L$16"}</definedName>
    <definedName name="VLP" hidden="1">{"'Sheet1'!$L$16"}</definedName>
    <definedName name="vothi" localSheetId="0" hidden="1">{"'Sheet1'!$L$16"}</definedName>
    <definedName name="vothi" localSheetId="6" hidden="1">{"'Sheet1'!$L$16"}</definedName>
    <definedName name="vothi" localSheetId="9" hidden="1">{"'Sheet1'!$L$16"}</definedName>
    <definedName name="vothi" hidden="1">{"'Sheet1'!$L$16"}</definedName>
    <definedName name="Winpoints">3</definedName>
    <definedName name="WIRE1">5</definedName>
    <definedName name="XBCNCKT">5600</definedName>
    <definedName name="XCCT">0.5</definedName>
    <definedName name="xls" localSheetId="0" hidden="1">{"'Sheet1'!$L$16"}</definedName>
    <definedName name="xls" localSheetId="6" hidden="1">{"'Sheet1'!$L$16"}</definedName>
    <definedName name="xls" localSheetId="9" hidden="1">{"'Sheet1'!$L$16"}</definedName>
    <definedName name="xls" hidden="1">{"'Sheet1'!$L$16"}</definedName>
    <definedName name="xlttbninh" localSheetId="0" hidden="1">{"'Sheet1'!$L$16"}</definedName>
    <definedName name="xlttbninh" localSheetId="6" hidden="1">{"'Sheet1'!$L$16"}</definedName>
    <definedName name="xlttbninh" localSheetId="9" hidden="1">{"'Sheet1'!$L$16"}</definedName>
    <definedName name="xlttbninh" hidden="1">{"'Sheet1'!$L$16"}</definedName>
    <definedName name="XRefColumnsCount" hidden="1">5</definedName>
    <definedName name="XRefCopyRangeCount" hidden="1">6</definedName>
    <definedName name="XRefPasteRangeCount" hidden="1">5</definedName>
    <definedName name="XTKKTTC">7500</definedName>
    <definedName name="XuÊt8" localSheetId="0" hidden="1">{"'Sheet1'!$L$16"}</definedName>
    <definedName name="XuÊt8" localSheetId="6" hidden="1">{"'Sheet1'!$L$16"}</definedName>
    <definedName name="XuÊt8" localSheetId="9" hidden="1">{"'Sheet1'!$L$16"}</definedName>
    <definedName name="XuÊt8" hidden="1">{"'Sheet1'!$L$16"}</definedName>
    <definedName name="xvxcvxc" localSheetId="0" hidden="1">{"'Sheet1'!$L$16"}</definedName>
    <definedName name="xvxcvxc" localSheetId="6" hidden="1">{"'Sheet1'!$L$16"}</definedName>
    <definedName name="xvxcvxc" localSheetId="9" hidden="1">{"'Sheet1'!$L$16"}</definedName>
    <definedName name="xvxcvxc" hidden="1">{"'Sheet1'!$L$16"}</definedName>
    <definedName name="yen">142.83</definedName>
    <definedName name="Yenthanh2" localSheetId="0" hidden="1">{"'Sheet1'!$L$16"}</definedName>
    <definedName name="Yenthanh2" localSheetId="6" hidden="1">{"'Sheet1'!$L$16"}</definedName>
    <definedName name="Yenthanh2" localSheetId="9" hidden="1">{"'Sheet1'!$L$16"}</definedName>
    <definedName name="Yenthanh2" hidden="1">{"'Sheet1'!$L$16"}</definedName>
    <definedName name="zKm2" localSheetId="0" hidden="1">{"'Sheet1'!$L$16"}</definedName>
    <definedName name="zKm2" localSheetId="6" hidden="1">{"'Sheet1'!$L$16"}</definedName>
    <definedName name="zKm2" localSheetId="9" hidden="1">{"'Sheet1'!$L$16"}</definedName>
    <definedName name="zKm2" hidden="1">{"'Sheet1'!$L$16"}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5" i="8" l="1"/>
  <c r="P15" i="8"/>
  <c r="S15" i="8"/>
  <c r="K15" i="8"/>
  <c r="O15" i="8" l="1"/>
  <c r="K14" i="8" l="1"/>
  <c r="K13" i="8" s="1"/>
  <c r="O14" i="8"/>
  <c r="O13" i="8" s="1"/>
  <c r="P14" i="8"/>
  <c r="P13" i="8" s="1"/>
  <c r="R14" i="8"/>
  <c r="R13" i="8" s="1"/>
  <c r="Q14" i="8"/>
  <c r="Q13" i="8" s="1"/>
  <c r="N14" i="8"/>
  <c r="N13" i="8" s="1"/>
  <c r="M14" i="8"/>
  <c r="M13" i="8" s="1"/>
  <c r="L14" i="8"/>
  <c r="L13" i="8" s="1"/>
  <c r="S14" i="8"/>
  <c r="S13" i="8" s="1"/>
  <c r="X14" i="8"/>
  <c r="X13" i="8" s="1"/>
  <c r="W15" i="8"/>
  <c r="Z14" i="8"/>
  <c r="Z13" i="8" s="1"/>
  <c r="Y14" i="8"/>
  <c r="Y13" i="8" s="1"/>
  <c r="V14" i="8"/>
  <c r="V13" i="8" s="1"/>
  <c r="U14" i="8"/>
  <c r="U13" i="8" s="1"/>
  <c r="T14" i="8"/>
  <c r="T13" i="8" s="1"/>
  <c r="O12" i="8" l="1"/>
  <c r="T12" i="8"/>
  <c r="Z12" i="8"/>
  <c r="W14" i="8"/>
  <c r="W13" i="8" s="1"/>
  <c r="U12" i="8"/>
  <c r="S12" i="8"/>
  <c r="X12" i="8"/>
  <c r="P12" i="8"/>
  <c r="Q12" i="8"/>
  <c r="Y12" i="8"/>
  <c r="V12" i="8"/>
  <c r="N12" i="8"/>
  <c r="R12" i="8"/>
  <c r="M12" i="8"/>
  <c r="L12" i="8"/>
  <c r="K12" i="8"/>
  <c r="P27" i="17"/>
  <c r="Q192" i="17"/>
  <c r="R192" i="17"/>
  <c r="S192" i="17"/>
  <c r="T192" i="17"/>
  <c r="U192" i="17"/>
  <c r="V192" i="17"/>
  <c r="W192" i="17"/>
  <c r="X192" i="17"/>
  <c r="Y192" i="17"/>
  <c r="Z192" i="17"/>
  <c r="AA192" i="17"/>
  <c r="AB192" i="17"/>
  <c r="AC192" i="17"/>
  <c r="AD192" i="17"/>
  <c r="AE192" i="17"/>
  <c r="AF192" i="17"/>
  <c r="AH192" i="17"/>
  <c r="AI192" i="17"/>
  <c r="AJ192" i="17"/>
  <c r="AK192" i="17"/>
  <c r="AL192" i="17"/>
  <c r="AM192" i="17"/>
  <c r="AN192" i="17"/>
  <c r="AO192" i="17"/>
  <c r="AP192" i="17"/>
  <c r="AQ192" i="17"/>
  <c r="AR192" i="17"/>
  <c r="AS192" i="17"/>
  <c r="AT192" i="17"/>
  <c r="AU192" i="17"/>
  <c r="AV192" i="17"/>
  <c r="AW192" i="17"/>
  <c r="AX192" i="17"/>
  <c r="AY192" i="17"/>
  <c r="AZ192" i="17"/>
  <c r="BA192" i="17"/>
  <c r="BB192" i="17"/>
  <c r="BC192" i="17"/>
  <c r="BD192" i="17"/>
  <c r="BE192" i="17"/>
  <c r="BF192" i="17"/>
  <c r="BG192" i="17"/>
  <c r="BH192" i="17"/>
  <c r="BI192" i="17"/>
  <c r="BK192" i="17"/>
  <c r="BL192" i="17"/>
  <c r="BM192" i="17"/>
  <c r="BN192" i="17"/>
  <c r="BO192" i="17"/>
  <c r="BP192" i="17"/>
  <c r="BQ192" i="17"/>
  <c r="BR192" i="17"/>
  <c r="BS192" i="17"/>
  <c r="BT192" i="17"/>
  <c r="BU192" i="17"/>
  <c r="BV192" i="17"/>
  <c r="BW192" i="17"/>
  <c r="BX192" i="17"/>
  <c r="BY192" i="17"/>
  <c r="BZ192" i="17"/>
  <c r="CA192" i="17"/>
  <c r="CB192" i="17"/>
  <c r="CC192" i="17"/>
  <c r="CD192" i="17"/>
  <c r="CE192" i="17"/>
  <c r="CF192" i="17"/>
  <c r="CG192" i="17"/>
  <c r="CH192" i="17"/>
  <c r="CI192" i="17"/>
  <c r="CJ192" i="17"/>
  <c r="CK192" i="17"/>
  <c r="CL192" i="17"/>
  <c r="CM192" i="17"/>
  <c r="CN192" i="17"/>
  <c r="CO192" i="17"/>
  <c r="CP192" i="17"/>
  <c r="CQ192" i="17"/>
  <c r="CR192" i="17"/>
  <c r="CS192" i="17"/>
  <c r="P192" i="17"/>
  <c r="BJ193" i="17"/>
  <c r="BJ192" i="17" s="1"/>
  <c r="AG193" i="17"/>
  <c r="AG192" i="17" s="1"/>
  <c r="A5" i="12"/>
  <c r="A5" i="10"/>
  <c r="A5" i="9"/>
  <c r="A4" i="13"/>
  <c r="A5" i="7"/>
  <c r="A5" i="14"/>
  <c r="A5" i="11"/>
  <c r="A5" i="17"/>
  <c r="W12" i="8" l="1"/>
  <c r="BB16" i="12"/>
  <c r="BC16" i="12"/>
  <c r="BD16" i="12"/>
  <c r="BE16" i="12"/>
  <c r="BF16" i="12"/>
  <c r="BG16" i="12"/>
  <c r="BH16" i="12"/>
  <c r="BI16" i="12"/>
  <c r="BJ16" i="12"/>
  <c r="BK16" i="12"/>
  <c r="BL16" i="12"/>
  <c r="BM16" i="12"/>
  <c r="BN16" i="12"/>
  <c r="BO16" i="12"/>
  <c r="BP16" i="12"/>
  <c r="BQ16" i="12"/>
  <c r="BR16" i="12"/>
  <c r="BS16" i="12"/>
  <c r="BB39" i="12"/>
  <c r="BC39" i="12"/>
  <c r="BD39" i="12"/>
  <c r="BE39" i="12"/>
  <c r="BF39" i="12"/>
  <c r="BG39" i="12"/>
  <c r="BH39" i="12"/>
  <c r="BI39" i="12"/>
  <c r="BJ39" i="12"/>
  <c r="BK39" i="12"/>
  <c r="BL39" i="12"/>
  <c r="BM39" i="12"/>
  <c r="BN39" i="12"/>
  <c r="BO39" i="12"/>
  <c r="BP39" i="12"/>
  <c r="BQ39" i="12"/>
  <c r="BR39" i="12"/>
  <c r="BS39" i="12"/>
  <c r="BB52" i="12"/>
  <c r="BC52" i="12"/>
  <c r="BD52" i="12"/>
  <c r="BE52" i="12"/>
  <c r="BF52" i="12"/>
  <c r="BG52" i="12"/>
  <c r="BH52" i="12"/>
  <c r="BI52" i="12"/>
  <c r="BJ52" i="12"/>
  <c r="BK52" i="12"/>
  <c r="BL52" i="12"/>
  <c r="BM52" i="12"/>
  <c r="BN52" i="12"/>
  <c r="BO52" i="12"/>
  <c r="BP52" i="12"/>
  <c r="BQ52" i="12"/>
  <c r="BR52" i="12"/>
  <c r="BS52" i="12"/>
  <c r="BB28" i="10"/>
  <c r="BB27" i="10" s="1"/>
  <c r="BC28" i="10"/>
  <c r="BC27" i="10" s="1"/>
  <c r="BD28" i="10"/>
  <c r="BD27" i="10" s="1"/>
  <c r="BE28" i="10"/>
  <c r="BE27" i="10" s="1"/>
  <c r="BF28" i="10"/>
  <c r="BF27" i="10" s="1"/>
  <c r="BG28" i="10"/>
  <c r="BG27" i="10" s="1"/>
  <c r="BH28" i="10"/>
  <c r="BH27" i="10" s="1"/>
  <c r="BJ28" i="10"/>
  <c r="BJ27" i="10" s="1"/>
  <c r="BK28" i="10"/>
  <c r="BK27" i="10" s="1"/>
  <c r="BL28" i="10"/>
  <c r="BL27" i="10" s="1"/>
  <c r="BN28" i="10"/>
  <c r="BN27" i="10" s="1"/>
  <c r="BO28" i="10"/>
  <c r="BO27" i="10" s="1"/>
  <c r="BP28" i="10"/>
  <c r="BP27" i="10" s="1"/>
  <c r="BQ28" i="10"/>
  <c r="BQ27" i="10" s="1"/>
  <c r="BR28" i="10"/>
  <c r="BR27" i="10" s="1"/>
  <c r="BS28" i="10"/>
  <c r="BS27" i="10" s="1"/>
  <c r="BT28" i="10"/>
  <c r="BT27" i="10" s="1"/>
  <c r="BU28" i="10"/>
  <c r="BU27" i="10" s="1"/>
  <c r="BA45" i="10"/>
  <c r="BB45" i="10"/>
  <c r="BC45" i="10"/>
  <c r="BD45" i="10"/>
  <c r="BE45" i="10"/>
  <c r="BF45" i="10"/>
  <c r="BG45" i="10"/>
  <c r="BH45" i="10"/>
  <c r="BJ45" i="10"/>
  <c r="BK45" i="10"/>
  <c r="BL45" i="10"/>
  <c r="BN45" i="10"/>
  <c r="BO45" i="10"/>
  <c r="BP45" i="10"/>
  <c r="BQ45" i="10"/>
  <c r="BR45" i="10"/>
  <c r="BS45" i="10"/>
  <c r="BT45" i="10"/>
  <c r="BU45" i="10"/>
  <c r="BB51" i="10"/>
  <c r="BB44" i="10" s="1"/>
  <c r="BC51" i="10"/>
  <c r="BE51" i="10"/>
  <c r="BF51" i="10"/>
  <c r="BG51" i="10"/>
  <c r="BH51" i="10"/>
  <c r="BJ51" i="10"/>
  <c r="BK51" i="10"/>
  <c r="BL51" i="10"/>
  <c r="BN51" i="10"/>
  <c r="BO51" i="10"/>
  <c r="BP51" i="10"/>
  <c r="BQ51" i="10"/>
  <c r="BR51" i="10"/>
  <c r="BS51" i="10"/>
  <c r="BT51" i="10"/>
  <c r="BU51" i="10"/>
  <c r="BU44" i="10" s="1"/>
  <c r="BU92" i="10"/>
  <c r="BU91" i="10" s="1"/>
  <c r="BB92" i="10"/>
  <c r="BB91" i="10" s="1"/>
  <c r="BC92" i="10"/>
  <c r="BC91" i="10" s="1"/>
  <c r="BE92" i="10"/>
  <c r="BE91" i="10" s="1"/>
  <c r="BF92" i="10"/>
  <c r="BF91" i="10" s="1"/>
  <c r="BG92" i="10"/>
  <c r="BG91" i="10" s="1"/>
  <c r="BH92" i="10"/>
  <c r="BH91" i="10" s="1"/>
  <c r="BJ92" i="10"/>
  <c r="BJ91" i="10" s="1"/>
  <c r="BK92" i="10"/>
  <c r="BK91" i="10" s="1"/>
  <c r="BL92" i="10"/>
  <c r="BL91" i="10" s="1"/>
  <c r="BN92" i="10"/>
  <c r="BN91" i="10" s="1"/>
  <c r="BO92" i="10"/>
  <c r="BO91" i="10" s="1"/>
  <c r="BP92" i="10"/>
  <c r="BP91" i="10" s="1"/>
  <c r="BQ92" i="10"/>
  <c r="BQ91" i="10" s="1"/>
  <c r="BR92" i="10"/>
  <c r="BR91" i="10" s="1"/>
  <c r="BS92" i="10"/>
  <c r="BS91" i="10" s="1"/>
  <c r="BT92" i="10"/>
  <c r="BT91" i="10" s="1"/>
  <c r="BB14" i="10"/>
  <c r="BC14" i="10"/>
  <c r="BE14" i="10"/>
  <c r="BF14" i="10"/>
  <c r="BG14" i="10"/>
  <c r="BH14" i="10"/>
  <c r="BJ14" i="10"/>
  <c r="BK14" i="10"/>
  <c r="BL14" i="10"/>
  <c r="BN14" i="10"/>
  <c r="BO14" i="10"/>
  <c r="BP14" i="10"/>
  <c r="BQ14" i="10"/>
  <c r="BR14" i="10"/>
  <c r="BS14" i="10"/>
  <c r="BT14" i="10"/>
  <c r="BU14" i="10"/>
  <c r="BB33" i="9"/>
  <c r="BC33" i="9"/>
  <c r="BE33" i="9"/>
  <c r="BF33" i="9"/>
  <c r="BG33" i="9"/>
  <c r="BH33" i="9"/>
  <c r="BJ33" i="9"/>
  <c r="BK33" i="9"/>
  <c r="BL33" i="9"/>
  <c r="BN33" i="9"/>
  <c r="BO33" i="9"/>
  <c r="BP33" i="9"/>
  <c r="BR33" i="9"/>
  <c r="BS33" i="9"/>
  <c r="BT33" i="9"/>
  <c r="BU33" i="9"/>
  <c r="BV33" i="9"/>
  <c r="BB38" i="9"/>
  <c r="BC38" i="9"/>
  <c r="BE38" i="9"/>
  <c r="BF38" i="9"/>
  <c r="BG38" i="9"/>
  <c r="BH38" i="9"/>
  <c r="BJ38" i="9"/>
  <c r="BK38" i="9"/>
  <c r="BL38" i="9"/>
  <c r="BN38" i="9"/>
  <c r="BO38" i="9"/>
  <c r="BP38" i="9"/>
  <c r="BR38" i="9"/>
  <c r="BS38" i="9"/>
  <c r="BT38" i="9"/>
  <c r="BU38" i="9"/>
  <c r="BV38" i="9"/>
  <c r="BB44" i="9"/>
  <c r="BC44" i="9"/>
  <c r="BE44" i="9"/>
  <c r="BF44" i="9"/>
  <c r="BG44" i="9"/>
  <c r="BH44" i="9"/>
  <c r="BJ44" i="9"/>
  <c r="BK44" i="9"/>
  <c r="BL44" i="9"/>
  <c r="BN44" i="9"/>
  <c r="BO44" i="9"/>
  <c r="BP44" i="9"/>
  <c r="BR44" i="9"/>
  <c r="BS44" i="9"/>
  <c r="BT44" i="9"/>
  <c r="BU44" i="9"/>
  <c r="BV44" i="9"/>
  <c r="BB78" i="9"/>
  <c r="BC78" i="9"/>
  <c r="BE78" i="9"/>
  <c r="BF78" i="9"/>
  <c r="BG78" i="9"/>
  <c r="BH78" i="9"/>
  <c r="BJ78" i="9"/>
  <c r="BK78" i="9"/>
  <c r="BL78" i="9"/>
  <c r="BN78" i="9"/>
  <c r="BO78" i="9"/>
  <c r="BP78" i="9"/>
  <c r="BR78" i="9"/>
  <c r="BS78" i="9"/>
  <c r="BT78" i="9"/>
  <c r="BU78" i="9"/>
  <c r="BV78" i="9"/>
  <c r="BB88" i="9"/>
  <c r="BC88" i="9"/>
  <c r="BE88" i="9"/>
  <c r="BF88" i="9"/>
  <c r="BG88" i="9"/>
  <c r="BH88" i="9"/>
  <c r="BJ88" i="9"/>
  <c r="BK88" i="9"/>
  <c r="BL88" i="9"/>
  <c r="BN88" i="9"/>
  <c r="BO88" i="9"/>
  <c r="BP88" i="9"/>
  <c r="BR88" i="9"/>
  <c r="BS88" i="9"/>
  <c r="BT88" i="9"/>
  <c r="BU88" i="9"/>
  <c r="BV88" i="9"/>
  <c r="BB90" i="9"/>
  <c r="BC90" i="9"/>
  <c r="BE90" i="9"/>
  <c r="BF90" i="9"/>
  <c r="BG90" i="9"/>
  <c r="BH90" i="9"/>
  <c r="BJ90" i="9"/>
  <c r="BK90" i="9"/>
  <c r="BL90" i="9"/>
  <c r="BN90" i="9"/>
  <c r="BO90" i="9"/>
  <c r="BP90" i="9"/>
  <c r="BR90" i="9"/>
  <c r="BS90" i="9"/>
  <c r="BT90" i="9"/>
  <c r="BU90" i="9"/>
  <c r="BV90" i="9"/>
  <c r="BB14" i="9"/>
  <c r="BC14" i="9"/>
  <c r="BE14" i="9"/>
  <c r="BF14" i="9"/>
  <c r="BG14" i="9"/>
  <c r="BH14" i="9"/>
  <c r="BJ14" i="9"/>
  <c r="BK14" i="9"/>
  <c r="BL14" i="9"/>
  <c r="BN14" i="9"/>
  <c r="BO14" i="9"/>
  <c r="BP14" i="9"/>
  <c r="BR14" i="9"/>
  <c r="BS14" i="9"/>
  <c r="BT14" i="9"/>
  <c r="BU14" i="9"/>
  <c r="BV14" i="9"/>
  <c r="BA46" i="13"/>
  <c r="BA45" i="13" s="1"/>
  <c r="BB46" i="13"/>
  <c r="BB45" i="13" s="1"/>
  <c r="BC46" i="13"/>
  <c r="BC45" i="13" s="1"/>
  <c r="BD46" i="13"/>
  <c r="BD45" i="13" s="1"/>
  <c r="BE46" i="13"/>
  <c r="BE45" i="13" s="1"/>
  <c r="BF46" i="13"/>
  <c r="BF45" i="13" s="1"/>
  <c r="BG46" i="13"/>
  <c r="BG45" i="13" s="1"/>
  <c r="BH46" i="13"/>
  <c r="BH45" i="13" s="1"/>
  <c r="BI46" i="13"/>
  <c r="BI45" i="13" s="1"/>
  <c r="BJ46" i="13"/>
  <c r="BJ45" i="13" s="1"/>
  <c r="BK46" i="13"/>
  <c r="BK45" i="13" s="1"/>
  <c r="BL46" i="13"/>
  <c r="BL45" i="13" s="1"/>
  <c r="BM46" i="13"/>
  <c r="BM45" i="13" s="1"/>
  <c r="BN46" i="13"/>
  <c r="BN45" i="13" s="1"/>
  <c r="BO46" i="13"/>
  <c r="BO45" i="13" s="1"/>
  <c r="BP46" i="13"/>
  <c r="BP45" i="13" s="1"/>
  <c r="BQ46" i="13"/>
  <c r="BQ45" i="13" s="1"/>
  <c r="BR46" i="13"/>
  <c r="BR45" i="13" s="1"/>
  <c r="BS46" i="13"/>
  <c r="BS45" i="13" s="1"/>
  <c r="BT46" i="13"/>
  <c r="BT45" i="13" s="1"/>
  <c r="BU46" i="13"/>
  <c r="BU45" i="13" s="1"/>
  <c r="BV46" i="13"/>
  <c r="BV45" i="13" s="1"/>
  <c r="BW46" i="13"/>
  <c r="BW45" i="13" s="1"/>
  <c r="BA25" i="13"/>
  <c r="BB25" i="13"/>
  <c r="BC25" i="13"/>
  <c r="BD25" i="13"/>
  <c r="BE25" i="13"/>
  <c r="BF25" i="13"/>
  <c r="BG25" i="13"/>
  <c r="BH25" i="13"/>
  <c r="BI25" i="13"/>
  <c r="BJ25" i="13"/>
  <c r="BK25" i="13"/>
  <c r="BL25" i="13"/>
  <c r="BM25" i="13"/>
  <c r="BN25" i="13"/>
  <c r="BO25" i="13"/>
  <c r="BP25" i="13"/>
  <c r="BQ25" i="13"/>
  <c r="BR25" i="13"/>
  <c r="BS25" i="13"/>
  <c r="BT25" i="13"/>
  <c r="BU25" i="13"/>
  <c r="BV25" i="13"/>
  <c r="BW25" i="13"/>
  <c r="BA19" i="13"/>
  <c r="BB19" i="13"/>
  <c r="BC19" i="13"/>
  <c r="BD19" i="13"/>
  <c r="BE19" i="13"/>
  <c r="BF19" i="13"/>
  <c r="BG19" i="13"/>
  <c r="BG18" i="13" s="1"/>
  <c r="BH19" i="13"/>
  <c r="BI19" i="13"/>
  <c r="BJ19" i="13"/>
  <c r="BK19" i="13"/>
  <c r="BL19" i="13"/>
  <c r="BM19" i="13"/>
  <c r="BN19" i="13"/>
  <c r="BO19" i="13"/>
  <c r="BP19" i="13"/>
  <c r="BQ19" i="13"/>
  <c r="BR19" i="13"/>
  <c r="BS19" i="13"/>
  <c r="BT19" i="13"/>
  <c r="BU19" i="13"/>
  <c r="BV19" i="13"/>
  <c r="BW19" i="13"/>
  <c r="BA15" i="13"/>
  <c r="BB15" i="13"/>
  <c r="BC15" i="13"/>
  <c r="BD15" i="13"/>
  <c r="BE15" i="13"/>
  <c r="BF15" i="13"/>
  <c r="BG15" i="13"/>
  <c r="BH15" i="13"/>
  <c r="BI15" i="13"/>
  <c r="BJ15" i="13"/>
  <c r="BK15" i="13"/>
  <c r="BL15" i="13"/>
  <c r="BM15" i="13"/>
  <c r="BN15" i="13"/>
  <c r="BO15" i="13"/>
  <c r="BP15" i="13"/>
  <c r="BQ15" i="13"/>
  <c r="BR15" i="13"/>
  <c r="BS15" i="13"/>
  <c r="BT15" i="13"/>
  <c r="BU15" i="13"/>
  <c r="BV15" i="13"/>
  <c r="BW15" i="13"/>
  <c r="BH14" i="14"/>
  <c r="BI14" i="14"/>
  <c r="BK14" i="14"/>
  <c r="BL14" i="14"/>
  <c r="BM14" i="14"/>
  <c r="BN14" i="14"/>
  <c r="BP14" i="14"/>
  <c r="BQ14" i="14"/>
  <c r="BR14" i="14"/>
  <c r="BT14" i="14"/>
  <c r="BU14" i="14"/>
  <c r="BV14" i="14"/>
  <c r="BW14" i="14"/>
  <c r="BX14" i="14"/>
  <c r="BY14" i="14"/>
  <c r="BZ14" i="14"/>
  <c r="CA14" i="14"/>
  <c r="CB14" i="14"/>
  <c r="CA18" i="14"/>
  <c r="CB18" i="14"/>
  <c r="BH52" i="14"/>
  <c r="BI52" i="14"/>
  <c r="BK52" i="14"/>
  <c r="BL52" i="14"/>
  <c r="BM52" i="14"/>
  <c r="BN52" i="14"/>
  <c r="BP52" i="14"/>
  <c r="BQ52" i="14"/>
  <c r="BR52" i="14"/>
  <c r="BT52" i="14"/>
  <c r="BU52" i="14"/>
  <c r="BV52" i="14"/>
  <c r="BX52" i="14"/>
  <c r="BY52" i="14"/>
  <c r="BZ52" i="14"/>
  <c r="CA52" i="14"/>
  <c r="CB52" i="14"/>
  <c r="BH58" i="14"/>
  <c r="BI58" i="14"/>
  <c r="BK58" i="14"/>
  <c r="BL58" i="14"/>
  <c r="BM58" i="14"/>
  <c r="BN58" i="14"/>
  <c r="BP58" i="14"/>
  <c r="BQ58" i="14"/>
  <c r="BR58" i="14"/>
  <c r="BT58" i="14"/>
  <c r="BU58" i="14"/>
  <c r="BV58" i="14"/>
  <c r="BX58" i="14"/>
  <c r="BY58" i="14"/>
  <c r="CA58" i="14"/>
  <c r="CB58" i="14"/>
  <c r="BH76" i="14"/>
  <c r="BI76" i="14"/>
  <c r="BK76" i="14"/>
  <c r="BL76" i="14"/>
  <c r="BM76" i="14"/>
  <c r="BN76" i="14"/>
  <c r="BP76" i="14"/>
  <c r="BQ76" i="14"/>
  <c r="BR76" i="14"/>
  <c r="BT76" i="14"/>
  <c r="BU76" i="14"/>
  <c r="BV76" i="14"/>
  <c r="BX76" i="14"/>
  <c r="BY76" i="14"/>
  <c r="BZ76" i="14"/>
  <c r="CA76" i="14"/>
  <c r="CB76" i="14"/>
  <c r="BH84" i="14"/>
  <c r="BI84" i="14"/>
  <c r="BK84" i="14"/>
  <c r="BL84" i="14"/>
  <c r="BM84" i="14"/>
  <c r="BN84" i="14"/>
  <c r="BP84" i="14"/>
  <c r="BQ84" i="14"/>
  <c r="BR84" i="14"/>
  <c r="BT84" i="14"/>
  <c r="BU84" i="14"/>
  <c r="BV84" i="14"/>
  <c r="BW84" i="14"/>
  <c r="BX84" i="14"/>
  <c r="BY84" i="14"/>
  <c r="BZ84" i="14"/>
  <c r="CA84" i="14"/>
  <c r="CB84" i="14"/>
  <c r="CC14" i="11"/>
  <c r="BJ14" i="11"/>
  <c r="BK14" i="11"/>
  <c r="BM14" i="11"/>
  <c r="BN14" i="11"/>
  <c r="BO14" i="11"/>
  <c r="BP14" i="11"/>
  <c r="BR14" i="11"/>
  <c r="BS14" i="11"/>
  <c r="BT14" i="11"/>
  <c r="BV14" i="11"/>
  <c r="BW14" i="11"/>
  <c r="BX14" i="11"/>
  <c r="BY14" i="11"/>
  <c r="BZ14" i="11"/>
  <c r="CA14" i="11"/>
  <c r="CB14" i="11"/>
  <c r="BJ19" i="11"/>
  <c r="BK19" i="11"/>
  <c r="BM19" i="11"/>
  <c r="BN19" i="11"/>
  <c r="BO19" i="11"/>
  <c r="BP19" i="11"/>
  <c r="BR19" i="11"/>
  <c r="BS19" i="11"/>
  <c r="BT19" i="11"/>
  <c r="BV19" i="11"/>
  <c r="BW19" i="11"/>
  <c r="BX19" i="11"/>
  <c r="BY19" i="11"/>
  <c r="BZ19" i="11"/>
  <c r="CA19" i="11"/>
  <c r="CB19" i="11"/>
  <c r="CC19" i="11"/>
  <c r="BI25" i="11"/>
  <c r="BJ25" i="11"/>
  <c r="BK25" i="11"/>
  <c r="BL25" i="11"/>
  <c r="BM25" i="11"/>
  <c r="BN25" i="11"/>
  <c r="BO25" i="11"/>
  <c r="BP25" i="11"/>
  <c r="BQ25" i="11"/>
  <c r="BR25" i="11"/>
  <c r="BS25" i="11"/>
  <c r="BT25" i="11"/>
  <c r="BU25" i="11"/>
  <c r="BV25" i="11"/>
  <c r="BW25" i="11"/>
  <c r="BX25" i="11"/>
  <c r="BY25" i="11"/>
  <c r="BZ25" i="11"/>
  <c r="CA25" i="11"/>
  <c r="CB25" i="11"/>
  <c r="CC25" i="11"/>
  <c r="BJ29" i="11"/>
  <c r="BK29" i="11"/>
  <c r="BM29" i="11"/>
  <c r="BN29" i="11"/>
  <c r="BO29" i="11"/>
  <c r="BP29" i="11"/>
  <c r="BR29" i="11"/>
  <c r="BS29" i="11"/>
  <c r="BT29" i="11"/>
  <c r="BV29" i="11"/>
  <c r="BW29" i="11"/>
  <c r="BX29" i="11"/>
  <c r="BZ29" i="11"/>
  <c r="CA29" i="11"/>
  <c r="CB29" i="11"/>
  <c r="CC29" i="11"/>
  <c r="BI81" i="11"/>
  <c r="BJ81" i="11"/>
  <c r="BK81" i="11"/>
  <c r="BL81" i="11"/>
  <c r="BM81" i="11"/>
  <c r="BN81" i="11"/>
  <c r="BO81" i="11"/>
  <c r="BP81" i="11"/>
  <c r="BQ81" i="11"/>
  <c r="BR81" i="11"/>
  <c r="BS81" i="11"/>
  <c r="BT81" i="11"/>
  <c r="BU81" i="11"/>
  <c r="BV81" i="11"/>
  <c r="BW81" i="11"/>
  <c r="BX81" i="11"/>
  <c r="BY81" i="11"/>
  <c r="BZ81" i="11"/>
  <c r="CA81" i="11"/>
  <c r="CB81" i="11"/>
  <c r="CC81" i="11"/>
  <c r="BJ91" i="11"/>
  <c r="BK91" i="11"/>
  <c r="BM91" i="11"/>
  <c r="BN91" i="11"/>
  <c r="BN90" i="11" s="1"/>
  <c r="BO91" i="11"/>
  <c r="BO90" i="11" s="1"/>
  <c r="BP91" i="11"/>
  <c r="BP90" i="11" s="1"/>
  <c r="BR91" i="11"/>
  <c r="BR90" i="11" s="1"/>
  <c r="BS91" i="11"/>
  <c r="BS90" i="11" s="1"/>
  <c r="BT91" i="11"/>
  <c r="BT90" i="11" s="1"/>
  <c r="BV91" i="11"/>
  <c r="BV90" i="11" s="1"/>
  <c r="BW91" i="11"/>
  <c r="BW90" i="11" s="1"/>
  <c r="BX91" i="11"/>
  <c r="BX90" i="11" s="1"/>
  <c r="BY91" i="11"/>
  <c r="BY90" i="11" s="1"/>
  <c r="BZ91" i="11"/>
  <c r="BZ90" i="11" s="1"/>
  <c r="CA91" i="11"/>
  <c r="CA90" i="11" s="1"/>
  <c r="CB91" i="11"/>
  <c r="CB90" i="11" s="1"/>
  <c r="CC91" i="11"/>
  <c r="CC90" i="11" s="1"/>
  <c r="BO27" i="17"/>
  <c r="BQ27" i="17"/>
  <c r="BR27" i="17"/>
  <c r="BS27" i="17"/>
  <c r="BT27" i="17"/>
  <c r="BU27" i="17"/>
  <c r="BV27" i="17"/>
  <c r="BW27" i="17"/>
  <c r="BX27" i="17"/>
  <c r="BY27" i="17"/>
  <c r="CA27" i="17"/>
  <c r="CB27" i="17"/>
  <c r="CC27" i="17"/>
  <c r="CD27" i="17"/>
  <c r="CF27" i="17"/>
  <c r="CG27" i="17"/>
  <c r="CH27" i="17"/>
  <c r="CI27" i="17"/>
  <c r="CJ27" i="17"/>
  <c r="CK27" i="17"/>
  <c r="CL27" i="17"/>
  <c r="CM27" i="17"/>
  <c r="CN27" i="17"/>
  <c r="CP27" i="17"/>
  <c r="CQ27" i="17"/>
  <c r="CR27" i="17"/>
  <c r="CS27" i="17"/>
  <c r="BO25" i="17"/>
  <c r="BQ25" i="17"/>
  <c r="BR25" i="17"/>
  <c r="BS25" i="17"/>
  <c r="BT25" i="17"/>
  <c r="BU25" i="17"/>
  <c r="BV25" i="17"/>
  <c r="BW25" i="17"/>
  <c r="BX25" i="17"/>
  <c r="BY25" i="17"/>
  <c r="CA25" i="17"/>
  <c r="CB25" i="17"/>
  <c r="CC25" i="17"/>
  <c r="CD25" i="17"/>
  <c r="CF25" i="17"/>
  <c r="CG25" i="17"/>
  <c r="CH25" i="17"/>
  <c r="CI25" i="17"/>
  <c r="CJ25" i="17"/>
  <c r="CK25" i="17"/>
  <c r="CL25" i="17"/>
  <c r="CM25" i="17"/>
  <c r="CN25" i="17"/>
  <c r="CP25" i="17"/>
  <c r="CQ25" i="17"/>
  <c r="CR25" i="17"/>
  <c r="CS25" i="17"/>
  <c r="BO16" i="17"/>
  <c r="BQ16" i="17"/>
  <c r="BR16" i="17"/>
  <c r="BT16" i="17"/>
  <c r="BU16" i="17"/>
  <c r="BV16" i="17"/>
  <c r="BW16" i="17"/>
  <c r="BX16" i="17"/>
  <c r="CA16" i="17"/>
  <c r="CB16" i="17"/>
  <c r="CC16" i="17"/>
  <c r="CD16" i="17"/>
  <c r="CF16" i="17"/>
  <c r="CG16" i="17"/>
  <c r="CH16" i="17"/>
  <c r="CI16" i="17"/>
  <c r="CJ16" i="17"/>
  <c r="CK16" i="17"/>
  <c r="CL16" i="17"/>
  <c r="CM16" i="17"/>
  <c r="CN16" i="17"/>
  <c r="CP16" i="17"/>
  <c r="CQ16" i="17"/>
  <c r="CR16" i="17"/>
  <c r="CS16" i="17"/>
  <c r="BD16" i="18"/>
  <c r="BE16" i="18"/>
  <c r="BG16" i="18"/>
  <c r="BH16" i="18"/>
  <c r="BI16" i="18"/>
  <c r="BJ16" i="18"/>
  <c r="BK16" i="18"/>
  <c r="BL16" i="18"/>
  <c r="BM16" i="18"/>
  <c r="BN16" i="18"/>
  <c r="BO16" i="18"/>
  <c r="BP16" i="18"/>
  <c r="BQ16" i="18"/>
  <c r="BR16" i="18"/>
  <c r="BS16" i="18"/>
  <c r="BT16" i="18"/>
  <c r="BU16" i="18"/>
  <c r="BV16" i="18"/>
  <c r="BW16" i="18"/>
  <c r="BX16" i="18"/>
  <c r="BC22" i="18"/>
  <c r="BD22" i="18"/>
  <c r="BE22" i="18"/>
  <c r="BF22" i="18"/>
  <c r="BG22" i="18"/>
  <c r="BH22" i="18"/>
  <c r="BI22" i="18"/>
  <c r="BJ22" i="18"/>
  <c r="BK22" i="18"/>
  <c r="BL22" i="18"/>
  <c r="BM22" i="18"/>
  <c r="BN22" i="18"/>
  <c r="BO22" i="18"/>
  <c r="BP22" i="18"/>
  <c r="BQ22" i="18"/>
  <c r="BR22" i="18"/>
  <c r="BS22" i="18"/>
  <c r="BT22" i="18"/>
  <c r="BU22" i="18"/>
  <c r="BV22" i="18"/>
  <c r="BW22" i="18"/>
  <c r="BX22" i="18"/>
  <c r="BC32" i="18"/>
  <c r="BD32" i="18"/>
  <c r="BE32" i="18"/>
  <c r="BF32" i="18"/>
  <c r="BG32" i="18"/>
  <c r="BH32" i="18"/>
  <c r="BI32" i="18"/>
  <c r="BJ32" i="18"/>
  <c r="BK32" i="18"/>
  <c r="BL32" i="18"/>
  <c r="BM32" i="18"/>
  <c r="BN32" i="18"/>
  <c r="BO32" i="18"/>
  <c r="BP32" i="18"/>
  <c r="BQ32" i="18"/>
  <c r="BR32" i="18"/>
  <c r="BS32" i="18"/>
  <c r="BU32" i="18"/>
  <c r="BV32" i="18"/>
  <c r="BW32" i="18"/>
  <c r="BX32" i="18"/>
  <c r="BC81" i="18"/>
  <c r="BD81" i="18"/>
  <c r="BE81" i="18"/>
  <c r="BF81" i="18"/>
  <c r="BG81" i="18"/>
  <c r="BH81" i="18"/>
  <c r="BI81" i="18"/>
  <c r="BJ81" i="18"/>
  <c r="BK81" i="18"/>
  <c r="BL81" i="18"/>
  <c r="BM81" i="18"/>
  <c r="BN81" i="18"/>
  <c r="BO81" i="18"/>
  <c r="BP81" i="18"/>
  <c r="BQ81" i="18"/>
  <c r="BR81" i="18"/>
  <c r="BS81" i="18"/>
  <c r="BT81" i="18"/>
  <c r="BU81" i="18"/>
  <c r="BV81" i="18"/>
  <c r="BW81" i="18"/>
  <c r="BX81" i="18"/>
  <c r="BX90" i="18"/>
  <c r="BX111" i="18"/>
  <c r="BC163" i="18"/>
  <c r="BD163" i="18"/>
  <c r="BE163" i="18"/>
  <c r="BF163" i="18"/>
  <c r="BG163" i="18"/>
  <c r="BH163" i="18"/>
  <c r="BI163" i="18"/>
  <c r="BJ163" i="18"/>
  <c r="BK163" i="18"/>
  <c r="BL163" i="18"/>
  <c r="BM163" i="18"/>
  <c r="BN163" i="18"/>
  <c r="BO163" i="18"/>
  <c r="BP163" i="18"/>
  <c r="BQ163" i="18"/>
  <c r="BR163" i="18"/>
  <c r="BS163" i="18"/>
  <c r="BT163" i="18"/>
  <c r="BU163" i="18"/>
  <c r="BV163" i="18"/>
  <c r="BW163" i="18"/>
  <c r="BX163" i="18"/>
  <c r="BC167" i="18"/>
  <c r="BD167" i="18"/>
  <c r="BE167" i="18"/>
  <c r="BF167" i="18"/>
  <c r="BG167" i="18"/>
  <c r="BH167" i="18"/>
  <c r="BI167" i="18"/>
  <c r="BJ167" i="18"/>
  <c r="BK167" i="18"/>
  <c r="BL167" i="18"/>
  <c r="BM167" i="18"/>
  <c r="BN167" i="18"/>
  <c r="BO167" i="18"/>
  <c r="BP167" i="18"/>
  <c r="BQ167" i="18"/>
  <c r="BR167" i="18"/>
  <c r="BS167" i="18"/>
  <c r="BU167" i="18"/>
  <c r="BV167" i="18"/>
  <c r="BW167" i="18"/>
  <c r="BX167" i="18"/>
  <c r="BO44" i="10" l="1"/>
  <c r="BT44" i="10"/>
  <c r="BX21" i="18"/>
  <c r="CB75" i="14"/>
  <c r="BQ44" i="10"/>
  <c r="BV32" i="9"/>
  <c r="BG44" i="10"/>
  <c r="BG26" i="10" s="1"/>
  <c r="BX162" i="18"/>
  <c r="BG21" i="18"/>
  <c r="BL44" i="10"/>
  <c r="BK44" i="10"/>
  <c r="BH44" i="10"/>
  <c r="BH26" i="10" s="1"/>
  <c r="CF24" i="17"/>
  <c r="BC44" i="10"/>
  <c r="BC26" i="10" s="1"/>
  <c r="BS44" i="10"/>
  <c r="BS26" i="10" s="1"/>
  <c r="BV87" i="9"/>
  <c r="BV31" i="9" s="1"/>
  <c r="BV13" i="9" s="1"/>
  <c r="BP44" i="10"/>
  <c r="BP26" i="10" s="1"/>
  <c r="BS21" i="18"/>
  <c r="BR21" i="18"/>
  <c r="BE18" i="13"/>
  <c r="BE44" i="10"/>
  <c r="BE26" i="10" s="1"/>
  <c r="BN21" i="18"/>
  <c r="BL21" i="18"/>
  <c r="BQ18" i="13"/>
  <c r="BW18" i="13"/>
  <c r="BW17" i="13" s="1"/>
  <c r="BW14" i="13" s="1"/>
  <c r="BS18" i="13"/>
  <c r="BO18" i="13"/>
  <c r="BC18" i="13"/>
  <c r="BV18" i="13"/>
  <c r="BR18" i="13"/>
  <c r="BN18" i="13"/>
  <c r="BJ18" i="13"/>
  <c r="BF18" i="13"/>
  <c r="BB18" i="13"/>
  <c r="BF44" i="10"/>
  <c r="BV21" i="18"/>
  <c r="BJ21" i="18"/>
  <c r="BF21" i="18"/>
  <c r="BJ44" i="10"/>
  <c r="BJ26" i="10" s="1"/>
  <c r="BM21" i="18"/>
  <c r="BR44" i="10"/>
  <c r="BR26" i="10" s="1"/>
  <c r="BN44" i="10"/>
  <c r="BN26" i="10" s="1"/>
  <c r="BK18" i="13"/>
  <c r="BM18" i="13"/>
  <c r="BA18" i="13"/>
  <c r="BU18" i="13"/>
  <c r="BI18" i="13"/>
  <c r="CN24" i="17"/>
  <c r="CA24" i="17"/>
  <c r="CJ24" i="17"/>
  <c r="BO21" i="18"/>
  <c r="BW21" i="18"/>
  <c r="BK21" i="18"/>
  <c r="BU21" i="18"/>
  <c r="BI21" i="18"/>
  <c r="BH21" i="18"/>
  <c r="BQ21" i="18"/>
  <c r="BE21" i="18"/>
  <c r="BP21" i="18"/>
  <c r="BD21" i="18"/>
  <c r="BC21" i="18"/>
  <c r="CB51" i="14"/>
  <c r="CA51" i="14"/>
  <c r="CC28" i="11"/>
  <c r="CQ24" i="17"/>
  <c r="CB24" i="17"/>
  <c r="BS15" i="12"/>
  <c r="BS14" i="12" s="1"/>
  <c r="BS13" i="12" s="1"/>
  <c r="BO26" i="10"/>
  <c r="BU26" i="10"/>
  <c r="BU13" i="10" s="1"/>
  <c r="BQ26" i="10"/>
  <c r="BL26" i="10"/>
  <c r="BB26" i="10"/>
  <c r="BK26" i="10"/>
  <c r="BT26" i="10"/>
  <c r="BF26" i="10"/>
  <c r="CR24" i="17"/>
  <c r="CM24" i="17"/>
  <c r="BS28" i="11"/>
  <c r="BN28" i="11"/>
  <c r="BP18" i="11"/>
  <c r="BR28" i="11"/>
  <c r="BM28" i="11"/>
  <c r="BT18" i="11"/>
  <c r="CB18" i="11"/>
  <c r="BX18" i="11"/>
  <c r="BN18" i="11"/>
  <c r="BM18" i="11"/>
  <c r="BX28" i="11"/>
  <c r="BS18" i="11"/>
  <c r="CB28" i="11"/>
  <c r="BW18" i="11"/>
  <c r="BR18" i="11"/>
  <c r="CA28" i="11"/>
  <c r="BV28" i="11"/>
  <c r="BP28" i="11"/>
  <c r="BK28" i="11"/>
  <c r="BZ18" i="11"/>
  <c r="BV18" i="11"/>
  <c r="BK18" i="11"/>
  <c r="BW28" i="11"/>
  <c r="CA18" i="11"/>
  <c r="BZ28" i="11"/>
  <c r="BT28" i="11"/>
  <c r="BO28" i="11"/>
  <c r="BJ28" i="11"/>
  <c r="CC18" i="11"/>
  <c r="BY18" i="11"/>
  <c r="BO18" i="11"/>
  <c r="BO17" i="11" s="1"/>
  <c r="BJ18" i="11"/>
  <c r="CI24" i="17"/>
  <c r="BT24" i="17"/>
  <c r="BO24" i="17"/>
  <c r="BW24" i="17"/>
  <c r="BS24" i="17"/>
  <c r="BX24" i="17"/>
  <c r="BT18" i="13"/>
  <c r="BP18" i="13"/>
  <c r="BL18" i="13"/>
  <c r="BH18" i="13"/>
  <c r="BD18" i="13"/>
  <c r="CP24" i="17"/>
  <c r="CL24" i="17"/>
  <c r="CH24" i="17"/>
  <c r="CD24" i="17"/>
  <c r="BV24" i="17"/>
  <c r="BR24" i="17"/>
  <c r="CS24" i="17"/>
  <c r="CS23" i="17" s="1"/>
  <c r="CS15" i="17" s="1"/>
  <c r="CK24" i="17"/>
  <c r="CG24" i="17"/>
  <c r="CC24" i="17"/>
  <c r="BY24" i="17"/>
  <c r="BU24" i="17"/>
  <c r="BQ24" i="17"/>
  <c r="CB17" i="14" l="1"/>
  <c r="CB13" i="14" s="1"/>
  <c r="CA17" i="11"/>
  <c r="CC17" i="11"/>
  <c r="CC13" i="11" s="1"/>
  <c r="BP17" i="11"/>
  <c r="BX17" i="11"/>
  <c r="BR17" i="11"/>
  <c r="BV17" i="11"/>
  <c r="BS17" i="11"/>
  <c r="BN17" i="11"/>
  <c r="CB17" i="11"/>
  <c r="BT17" i="11"/>
  <c r="BW17" i="11"/>
  <c r="BZ17" i="11"/>
  <c r="BX20" i="18" l="1"/>
  <c r="BX15" i="18" s="1"/>
  <c r="Z45" i="17" l="1"/>
  <c r="AA45" i="17"/>
  <c r="AB45" i="17"/>
  <c r="AC45" i="17"/>
  <c r="AD45" i="17"/>
  <c r="AE45" i="17"/>
  <c r="AF45" i="17"/>
  <c r="AH45" i="17"/>
  <c r="AI45" i="17"/>
  <c r="AJ45" i="17"/>
  <c r="AK45" i="17"/>
  <c r="AL45" i="17"/>
  <c r="AM45" i="17"/>
  <c r="AN45" i="17"/>
  <c r="AO45" i="17"/>
  <c r="AP45" i="17"/>
  <c r="AQ45" i="17"/>
  <c r="AR45" i="17"/>
  <c r="AS45" i="17"/>
  <c r="AT45" i="17"/>
  <c r="AU45" i="17"/>
  <c r="AV45" i="17"/>
  <c r="AW45" i="17"/>
  <c r="AX45" i="17"/>
  <c r="AY45" i="17"/>
  <c r="AZ45" i="17"/>
  <c r="BA45" i="17"/>
  <c r="BB45" i="17"/>
  <c r="BC45" i="17"/>
  <c r="BD45" i="17"/>
  <c r="BE45" i="17"/>
  <c r="BF45" i="17"/>
  <c r="BG45" i="17"/>
  <c r="BH45" i="17"/>
  <c r="BI45" i="17"/>
  <c r="BK45" i="17"/>
  <c r="BL45" i="17"/>
  <c r="BM45" i="17"/>
  <c r="BN45" i="17"/>
  <c r="BO45" i="17"/>
  <c r="BP45" i="17"/>
  <c r="BQ45" i="17"/>
  <c r="BR45" i="17"/>
  <c r="BS45" i="17"/>
  <c r="BT45" i="17"/>
  <c r="BU45" i="17"/>
  <c r="BV45" i="17"/>
  <c r="BW45" i="17"/>
  <c r="BX45" i="17"/>
  <c r="BY45" i="17"/>
  <c r="BZ45" i="17"/>
  <c r="CA45" i="17"/>
  <c r="CB45" i="17"/>
  <c r="CC45" i="17"/>
  <c r="CD45" i="17"/>
  <c r="CE45" i="17"/>
  <c r="CF45" i="17"/>
  <c r="CG45" i="17"/>
  <c r="CH45" i="17"/>
  <c r="CI45" i="17"/>
  <c r="CJ45" i="17"/>
  <c r="CK45" i="17"/>
  <c r="CL45" i="17"/>
  <c r="CM45" i="17"/>
  <c r="CN45" i="17"/>
  <c r="Y45" i="17"/>
  <c r="Q45" i="17"/>
  <c r="R45" i="17"/>
  <c r="S45" i="17"/>
  <c r="T45" i="17"/>
  <c r="P45" i="17"/>
  <c r="P81" i="17"/>
  <c r="P16" i="17" l="1"/>
  <c r="N44" i="9" l="1"/>
  <c r="O44" i="9"/>
  <c r="Q44" i="9"/>
  <c r="R44" i="9"/>
  <c r="T44" i="9"/>
  <c r="U44" i="9"/>
  <c r="V44" i="9"/>
  <c r="X44" i="9"/>
  <c r="Y44" i="9"/>
  <c r="AA44" i="9"/>
  <c r="AE44" i="9"/>
  <c r="AF44" i="9"/>
  <c r="AI44" i="9"/>
  <c r="AM44" i="9"/>
  <c r="AN44" i="9"/>
  <c r="AP44" i="9"/>
  <c r="AQ44" i="9"/>
  <c r="AU44" i="9"/>
  <c r="AV44" i="9"/>
  <c r="AX44" i="9"/>
  <c r="AY44" i="9"/>
  <c r="AZ44" i="9"/>
  <c r="M44" i="9"/>
  <c r="N90" i="9" l="1"/>
  <c r="O90" i="9"/>
  <c r="P90" i="9"/>
  <c r="Q90" i="9"/>
  <c r="R90" i="9"/>
  <c r="T90" i="9"/>
  <c r="U90" i="9"/>
  <c r="V90" i="9"/>
  <c r="X90" i="9"/>
  <c r="Y90" i="9"/>
  <c r="AA90" i="9"/>
  <c r="AC90" i="9"/>
  <c r="AE90" i="9"/>
  <c r="AF90" i="9"/>
  <c r="AI90" i="9"/>
  <c r="AK90" i="9"/>
  <c r="AM90" i="9"/>
  <c r="AN90" i="9"/>
  <c r="AQ90" i="9"/>
  <c r="AS90" i="9"/>
  <c r="AU90" i="9"/>
  <c r="AV90" i="9"/>
  <c r="AX90" i="9"/>
  <c r="AY90" i="9"/>
  <c r="AZ90" i="9"/>
  <c r="M90" i="9"/>
  <c r="BF273" i="18" l="1"/>
  <c r="BC273" i="18" s="1"/>
  <c r="AY273" i="18"/>
  <c r="AV273" i="18" s="1"/>
  <c r="AP273" i="18"/>
  <c r="AM273" i="18" s="1"/>
  <c r="AI273" i="18"/>
  <c r="AF273" i="18" s="1"/>
  <c r="AB273" i="18"/>
  <c r="Y273" i="18" s="1"/>
  <c r="BF275" i="18"/>
  <c r="BF274" i="18" s="1"/>
  <c r="BZ274" i="18"/>
  <c r="BY274" i="18"/>
  <c r="BW274" i="18"/>
  <c r="BV274" i="18"/>
  <c r="BU274" i="18"/>
  <c r="BT274" i="18"/>
  <c r="BS274" i="18"/>
  <c r="BR274" i="18"/>
  <c r="BQ274" i="18"/>
  <c r="BP274" i="18"/>
  <c r="BO274" i="18"/>
  <c r="BN274" i="18"/>
  <c r="BM274" i="18"/>
  <c r="BL274" i="18"/>
  <c r="BK274" i="18"/>
  <c r="BJ274" i="18"/>
  <c r="BI274" i="18"/>
  <c r="BH274" i="18"/>
  <c r="BG274" i="18"/>
  <c r="BE274" i="18"/>
  <c r="BD274" i="18"/>
  <c r="BB274" i="18"/>
  <c r="BA274" i="18"/>
  <c r="AZ274" i="18"/>
  <c r="AY274" i="18"/>
  <c r="AX274" i="18"/>
  <c r="AW274" i="18"/>
  <c r="AV274" i="18"/>
  <c r="AU274" i="18"/>
  <c r="AT274" i="18"/>
  <c r="AS274" i="18"/>
  <c r="AR274" i="18"/>
  <c r="AQ274" i="18"/>
  <c r="AP274" i="18"/>
  <c r="AO274" i="18"/>
  <c r="AN274" i="18"/>
  <c r="AM274" i="18"/>
  <c r="AL274" i="18"/>
  <c r="AK274" i="18"/>
  <c r="AJ274" i="18"/>
  <c r="AI274" i="18"/>
  <c r="AH274" i="18"/>
  <c r="AG274" i="18"/>
  <c r="AF274" i="18"/>
  <c r="AE274" i="18"/>
  <c r="AD274" i="18"/>
  <c r="AC274" i="18"/>
  <c r="AB274" i="18"/>
  <c r="AA274" i="18"/>
  <c r="Z274" i="18"/>
  <c r="Y274" i="18"/>
  <c r="X274" i="18"/>
  <c r="W274" i="18"/>
  <c r="V274" i="18"/>
  <c r="U274" i="18"/>
  <c r="T274" i="18"/>
  <c r="S274" i="18"/>
  <c r="R274" i="18"/>
  <c r="Q274" i="18"/>
  <c r="P274" i="18"/>
  <c r="O274" i="18"/>
  <c r="N274" i="18"/>
  <c r="AY272" i="18"/>
  <c r="AV272" i="18" s="1"/>
  <c r="AI272" i="18"/>
  <c r="AF272" i="18" s="1"/>
  <c r="AB272" i="18"/>
  <c r="Y272" i="18" s="1"/>
  <c r="AY271" i="18"/>
  <c r="AV271" i="18" s="1"/>
  <c r="AI271" i="18"/>
  <c r="AF271" i="18" s="1"/>
  <c r="AB271" i="18"/>
  <c r="Y271" i="18" s="1"/>
  <c r="U271" i="18"/>
  <c r="AY270" i="18"/>
  <c r="AV270" i="18" s="1"/>
  <c r="AI270" i="18"/>
  <c r="AF270" i="18" s="1"/>
  <c r="AB270" i="18"/>
  <c r="Y270" i="18" s="1"/>
  <c r="U270" i="18"/>
  <c r="AY269" i="18"/>
  <c r="AV269" i="18" s="1"/>
  <c r="AI269" i="18"/>
  <c r="AB269" i="18"/>
  <c r="U269" i="18"/>
  <c r="BY268" i="18"/>
  <c r="BW268" i="18"/>
  <c r="BV268" i="18"/>
  <c r="BU268" i="18"/>
  <c r="BT268" i="18"/>
  <c r="BS268" i="18"/>
  <c r="BR268" i="18"/>
  <c r="BQ268" i="18"/>
  <c r="BP268" i="18"/>
  <c r="BO268" i="18"/>
  <c r="BN268" i="18"/>
  <c r="BM268" i="18"/>
  <c r="BL268" i="18"/>
  <c r="BK268" i="18"/>
  <c r="BJ268" i="18"/>
  <c r="BI268" i="18"/>
  <c r="BH268" i="18"/>
  <c r="BG268" i="18"/>
  <c r="BF268" i="18"/>
  <c r="BE268" i="18"/>
  <c r="BD268" i="18"/>
  <c r="BC268" i="18"/>
  <c r="BB268" i="18"/>
  <c r="BA268" i="18"/>
  <c r="AZ268" i="18"/>
  <c r="AX268" i="18"/>
  <c r="AW268" i="18"/>
  <c r="AU268" i="18"/>
  <c r="AT268" i="18"/>
  <c r="AS268" i="18"/>
  <c r="AR268" i="18"/>
  <c r="AQ268" i="18"/>
  <c r="AP268" i="18"/>
  <c r="AO268" i="18"/>
  <c r="AN268" i="18"/>
  <c r="AM268" i="18"/>
  <c r="AL268" i="18"/>
  <c r="AK268" i="18"/>
  <c r="AJ268" i="18"/>
  <c r="AH268" i="18"/>
  <c r="AG268" i="18"/>
  <c r="AE268" i="18"/>
  <c r="AD268" i="18"/>
  <c r="AC268" i="18"/>
  <c r="AA268" i="18"/>
  <c r="Z268" i="18"/>
  <c r="X268" i="18"/>
  <c r="W268" i="18"/>
  <c r="V268" i="18"/>
  <c r="T268" i="18"/>
  <c r="S268" i="18"/>
  <c r="R268" i="18"/>
  <c r="Q268" i="18"/>
  <c r="P268" i="18"/>
  <c r="O268" i="18"/>
  <c r="N268" i="18"/>
  <c r="M268" i="18"/>
  <c r="H268" i="18"/>
  <c r="H244" i="18" s="1"/>
  <c r="AY267" i="18"/>
  <c r="AV267" i="18" s="1"/>
  <c r="AI267" i="18"/>
  <c r="AF267" i="18" s="1"/>
  <c r="AB267" i="18"/>
  <c r="Y267" i="18" s="1"/>
  <c r="U267" i="18"/>
  <c r="AY266" i="18"/>
  <c r="AV266" i="18" s="1"/>
  <c r="AI266" i="18"/>
  <c r="AF266" i="18" s="1"/>
  <c r="AB266" i="18"/>
  <c r="Y266" i="18" s="1"/>
  <c r="U266" i="18"/>
  <c r="AY265" i="18"/>
  <c r="AV265" i="18" s="1"/>
  <c r="AI265" i="18"/>
  <c r="AF265" i="18" s="1"/>
  <c r="AB265" i="18"/>
  <c r="Y265" i="18" s="1"/>
  <c r="U265" i="18"/>
  <c r="AY264" i="18"/>
  <c r="AV264" i="18" s="1"/>
  <c r="AI264" i="18"/>
  <c r="AF264" i="18" s="1"/>
  <c r="AB264" i="18"/>
  <c r="Y264" i="18" s="1"/>
  <c r="U264" i="18"/>
  <c r="AY263" i="18"/>
  <c r="AV263" i="18" s="1"/>
  <c r="AI263" i="18"/>
  <c r="AF263" i="18" s="1"/>
  <c r="AB263" i="18"/>
  <c r="Y263" i="18" s="1"/>
  <c r="U263" i="18"/>
  <c r="AY262" i="18"/>
  <c r="AV262" i="18" s="1"/>
  <c r="AI262" i="18"/>
  <c r="AF262" i="18" s="1"/>
  <c r="AB262" i="18"/>
  <c r="Y262" i="18" s="1"/>
  <c r="U262" i="18"/>
  <c r="AY261" i="18"/>
  <c r="AV261" i="18" s="1"/>
  <c r="AI261" i="18"/>
  <c r="AF261" i="18" s="1"/>
  <c r="AB261" i="18"/>
  <c r="Y261" i="18" s="1"/>
  <c r="U261" i="18"/>
  <c r="AY260" i="18"/>
  <c r="AV260" i="18" s="1"/>
  <c r="AI260" i="18"/>
  <c r="AF260" i="18" s="1"/>
  <c r="AB260" i="18"/>
  <c r="Y260" i="18" s="1"/>
  <c r="U260" i="18"/>
  <c r="AY259" i="18"/>
  <c r="AV259" i="18" s="1"/>
  <c r="AI259" i="18"/>
  <c r="AF259" i="18" s="1"/>
  <c r="AB259" i="18"/>
  <c r="Y259" i="18" s="1"/>
  <c r="U259" i="18"/>
  <c r="AY258" i="18"/>
  <c r="AV258" i="18" s="1"/>
  <c r="AI258" i="18"/>
  <c r="AF258" i="18" s="1"/>
  <c r="AB258" i="18"/>
  <c r="Y258" i="18" s="1"/>
  <c r="U258" i="18"/>
  <c r="AY257" i="18"/>
  <c r="AV257" i="18" s="1"/>
  <c r="AI257" i="18"/>
  <c r="AF257" i="18" s="1"/>
  <c r="AB257" i="18"/>
  <c r="Y257" i="18" s="1"/>
  <c r="U257" i="18"/>
  <c r="AY256" i="18"/>
  <c r="AV256" i="18" s="1"/>
  <c r="AI256" i="18"/>
  <c r="AF256" i="18" s="1"/>
  <c r="AB256" i="18"/>
  <c r="Y256" i="18" s="1"/>
  <c r="U256" i="18"/>
  <c r="AY255" i="18"/>
  <c r="AV255" i="18" s="1"/>
  <c r="AI255" i="18"/>
  <c r="AF255" i="18" s="1"/>
  <c r="AB255" i="18"/>
  <c r="Y255" i="18" s="1"/>
  <c r="U255" i="18"/>
  <c r="AY254" i="18"/>
  <c r="AV254" i="18" s="1"/>
  <c r="AI254" i="18"/>
  <c r="AF254" i="18" s="1"/>
  <c r="AB254" i="18"/>
  <c r="Y254" i="18" s="1"/>
  <c r="U254" i="18"/>
  <c r="AY253" i="18"/>
  <c r="AV253" i="18" s="1"/>
  <c r="AI253" i="18"/>
  <c r="AF253" i="18" s="1"/>
  <c r="AB253" i="18"/>
  <c r="Y253" i="18" s="1"/>
  <c r="U253" i="18"/>
  <c r="AY252" i="18"/>
  <c r="AV252" i="18" s="1"/>
  <c r="AI252" i="18"/>
  <c r="AF252" i="18" s="1"/>
  <c r="AB252" i="18"/>
  <c r="Y252" i="18" s="1"/>
  <c r="U252" i="18"/>
  <c r="AY251" i="18"/>
  <c r="AV251" i="18" s="1"/>
  <c r="AI251" i="18"/>
  <c r="AF251" i="18" s="1"/>
  <c r="AB251" i="18"/>
  <c r="Y251" i="18" s="1"/>
  <c r="U251" i="18"/>
  <c r="AY250" i="18"/>
  <c r="AV250" i="18" s="1"/>
  <c r="AI250" i="18"/>
  <c r="AF250" i="18" s="1"/>
  <c r="AB250" i="18"/>
  <c r="Y250" i="18" s="1"/>
  <c r="U250" i="18"/>
  <c r="AY249" i="18"/>
  <c r="AV249" i="18" s="1"/>
  <c r="AI249" i="18"/>
  <c r="AF249" i="18" s="1"/>
  <c r="AB249" i="18"/>
  <c r="Y249" i="18" s="1"/>
  <c r="U249" i="18"/>
  <c r="AY248" i="18"/>
  <c r="AV248" i="18" s="1"/>
  <c r="AI248" i="18"/>
  <c r="AF248" i="18" s="1"/>
  <c r="AB248" i="18"/>
  <c r="Y248" i="18" s="1"/>
  <c r="U248" i="18"/>
  <c r="AY247" i="18"/>
  <c r="AV247" i="18" s="1"/>
  <c r="AI247" i="18"/>
  <c r="AF247" i="18" s="1"/>
  <c r="AB247" i="18"/>
  <c r="Y247" i="18" s="1"/>
  <c r="U247" i="18"/>
  <c r="AY246" i="18"/>
  <c r="AV246" i="18" s="1"/>
  <c r="AI246" i="18"/>
  <c r="AF246" i="18" s="1"/>
  <c r="AB246" i="18"/>
  <c r="U246" i="18"/>
  <c r="AY245" i="18"/>
  <c r="AV245" i="18" s="1"/>
  <c r="AI245" i="18"/>
  <c r="AB245" i="18"/>
  <c r="Y245" i="18" s="1"/>
  <c r="U245" i="18"/>
  <c r="BY244" i="18"/>
  <c r="BW244" i="18"/>
  <c r="BV244" i="18"/>
  <c r="BU244" i="18"/>
  <c r="BT244" i="18"/>
  <c r="BS244" i="18"/>
  <c r="BR244" i="18"/>
  <c r="BQ244" i="18"/>
  <c r="BP244" i="18"/>
  <c r="BO244" i="18"/>
  <c r="BN244" i="18"/>
  <c r="BM244" i="18"/>
  <c r="BL244" i="18"/>
  <c r="BK244" i="18"/>
  <c r="BJ244" i="18"/>
  <c r="BI244" i="18"/>
  <c r="BH244" i="18"/>
  <c r="BG244" i="18"/>
  <c r="BF244" i="18"/>
  <c r="BE244" i="18"/>
  <c r="BD244" i="18"/>
  <c r="BC244" i="18"/>
  <c r="BB244" i="18"/>
  <c r="BA244" i="18"/>
  <c r="AZ244" i="18"/>
  <c r="AX244" i="18"/>
  <c r="AW244" i="18"/>
  <c r="AU244" i="18"/>
  <c r="AT244" i="18"/>
  <c r="AS244" i="18"/>
  <c r="AR244" i="18"/>
  <c r="AQ244" i="18"/>
  <c r="AP244" i="18"/>
  <c r="AO244" i="18"/>
  <c r="AN244" i="18"/>
  <c r="AM244" i="18"/>
  <c r="AL244" i="18"/>
  <c r="AK244" i="18"/>
  <c r="AJ244" i="18"/>
  <c r="AH244" i="18"/>
  <c r="AG244" i="18"/>
  <c r="AE244" i="18"/>
  <c r="AD244" i="18"/>
  <c r="AC244" i="18"/>
  <c r="AA244" i="18"/>
  <c r="Z244" i="18"/>
  <c r="X244" i="18"/>
  <c r="W244" i="18"/>
  <c r="V244" i="18"/>
  <c r="T244" i="18"/>
  <c r="S244" i="18"/>
  <c r="R244" i="18"/>
  <c r="Q244" i="18"/>
  <c r="P244" i="18"/>
  <c r="O244" i="18"/>
  <c r="N244" i="18"/>
  <c r="M244" i="18"/>
  <c r="AY243" i="18"/>
  <c r="AV243" i="18" s="1"/>
  <c r="AV242" i="18" s="1"/>
  <c r="AI243" i="18"/>
  <c r="AF243" i="18" s="1"/>
  <c r="AF242" i="18" s="1"/>
  <c r="AB243" i="18"/>
  <c r="Y243" i="18" s="1"/>
  <c r="Y242" i="18" s="1"/>
  <c r="U243" i="18"/>
  <c r="U242" i="18" s="1"/>
  <c r="BY242" i="18"/>
  <c r="BW242" i="18"/>
  <c r="BV242" i="18"/>
  <c r="BU242" i="18"/>
  <c r="BT242" i="18"/>
  <c r="BS242" i="18"/>
  <c r="BR242" i="18"/>
  <c r="BQ242" i="18"/>
  <c r="BP242" i="18"/>
  <c r="BO242" i="18"/>
  <c r="BN242" i="18"/>
  <c r="BM242" i="18"/>
  <c r="BL242" i="18"/>
  <c r="BK242" i="18"/>
  <c r="BJ242" i="18"/>
  <c r="BI242" i="18"/>
  <c r="BH242" i="18"/>
  <c r="BG242" i="18"/>
  <c r="BF242" i="18"/>
  <c r="BE242" i="18"/>
  <c r="BD242" i="18"/>
  <c r="BC242" i="18"/>
  <c r="BB242" i="18"/>
  <c r="BA242" i="18"/>
  <c r="AZ242" i="18"/>
  <c r="AX242" i="18"/>
  <c r="AW242" i="18"/>
  <c r="AU242" i="18"/>
  <c r="AT242" i="18"/>
  <c r="AS242" i="18"/>
  <c r="AR242" i="18"/>
  <c r="AQ242" i="18"/>
  <c r="AP242" i="18"/>
  <c r="AO242" i="18"/>
  <c r="AN242" i="18"/>
  <c r="AM242" i="18"/>
  <c r="AL242" i="18"/>
  <c r="AK242" i="18"/>
  <c r="AJ242" i="18"/>
  <c r="AH242" i="18"/>
  <c r="AG242" i="18"/>
  <c r="AE242" i="18"/>
  <c r="AD242" i="18"/>
  <c r="AC242" i="18"/>
  <c r="AA242" i="18"/>
  <c r="Z242" i="18"/>
  <c r="X242" i="18"/>
  <c r="W242" i="18"/>
  <c r="V242" i="18"/>
  <c r="P242" i="18"/>
  <c r="O242" i="18"/>
  <c r="N242" i="18"/>
  <c r="M242" i="18"/>
  <c r="AY240" i="18"/>
  <c r="AV240" i="18" s="1"/>
  <c r="AI240" i="18"/>
  <c r="AF240" i="18" s="1"/>
  <c r="AB240" i="18"/>
  <c r="Y240" i="18" s="1"/>
  <c r="U240" i="18"/>
  <c r="AY239" i="18"/>
  <c r="AV239" i="18" s="1"/>
  <c r="AI239" i="18"/>
  <c r="AF239" i="18" s="1"/>
  <c r="AB239" i="18"/>
  <c r="Y239" i="18" s="1"/>
  <c r="U239" i="18"/>
  <c r="AY238" i="18"/>
  <c r="AV238" i="18" s="1"/>
  <c r="AI238" i="18"/>
  <c r="AF238" i="18" s="1"/>
  <c r="AB238" i="18"/>
  <c r="Y238" i="18" s="1"/>
  <c r="U238" i="18"/>
  <c r="AY237" i="18"/>
  <c r="AV237" i="18" s="1"/>
  <c r="AI237" i="18"/>
  <c r="AF237" i="18" s="1"/>
  <c r="AB237" i="18"/>
  <c r="Y237" i="18" s="1"/>
  <c r="U237" i="18"/>
  <c r="AY236" i="18"/>
  <c r="AV236" i="18" s="1"/>
  <c r="AI236" i="18"/>
  <c r="AF236" i="18" s="1"/>
  <c r="AB236" i="18"/>
  <c r="Y236" i="18" s="1"/>
  <c r="U236" i="18"/>
  <c r="AY235" i="18"/>
  <c r="AI235" i="18"/>
  <c r="AB235" i="18"/>
  <c r="Y235" i="18" s="1"/>
  <c r="U235" i="18"/>
  <c r="BY234" i="18"/>
  <c r="BW234" i="18"/>
  <c r="BV234" i="18"/>
  <c r="BU234" i="18"/>
  <c r="BT234" i="18"/>
  <c r="BS234" i="18"/>
  <c r="BR234" i="18"/>
  <c r="BQ234" i="18"/>
  <c r="BP234" i="18"/>
  <c r="BO234" i="18"/>
  <c r="BN234" i="18"/>
  <c r="BM234" i="18"/>
  <c r="BL234" i="18"/>
  <c r="BK234" i="18"/>
  <c r="BJ234" i="18"/>
  <c r="BI234" i="18"/>
  <c r="BH234" i="18"/>
  <c r="BG234" i="18"/>
  <c r="BF234" i="18"/>
  <c r="BE234" i="18"/>
  <c r="BD234" i="18"/>
  <c r="BC234" i="18"/>
  <c r="BB234" i="18"/>
  <c r="BA234" i="18"/>
  <c r="AZ234" i="18"/>
  <c r="AX234" i="18"/>
  <c r="AW234" i="18"/>
  <c r="AU234" i="18"/>
  <c r="AT234" i="18"/>
  <c r="AS234" i="18"/>
  <c r="AR234" i="18"/>
  <c r="AQ234" i="18"/>
  <c r="AP234" i="18"/>
  <c r="AO234" i="18"/>
  <c r="AN234" i="18"/>
  <c r="AM234" i="18"/>
  <c r="AL234" i="18"/>
  <c r="AK234" i="18"/>
  <c r="AJ234" i="18"/>
  <c r="AH234" i="18"/>
  <c r="AG234" i="18"/>
  <c r="AE234" i="18"/>
  <c r="AD234" i="18"/>
  <c r="AC234" i="18"/>
  <c r="AA234" i="18"/>
  <c r="Z234" i="18"/>
  <c r="X234" i="18"/>
  <c r="W234" i="18"/>
  <c r="V234" i="18"/>
  <c r="T234" i="18"/>
  <c r="S234" i="18"/>
  <c r="R234" i="18"/>
  <c r="Q234" i="18"/>
  <c r="P234" i="18"/>
  <c r="O234" i="18"/>
  <c r="N234" i="18"/>
  <c r="M234" i="18"/>
  <c r="H234" i="18"/>
  <c r="H217" i="18" s="1"/>
  <c r="AY233" i="18"/>
  <c r="AV233" i="18" s="1"/>
  <c r="AI233" i="18"/>
  <c r="AF233" i="18" s="1"/>
  <c r="AB233" i="18"/>
  <c r="Y233" i="18" s="1"/>
  <c r="U233" i="18"/>
  <c r="AY232" i="18"/>
  <c r="AV232" i="18" s="1"/>
  <c r="AI232" i="18"/>
  <c r="AF232" i="18" s="1"/>
  <c r="AB232" i="18"/>
  <c r="Y232" i="18" s="1"/>
  <c r="U232" i="18"/>
  <c r="AY231" i="18"/>
  <c r="AV231" i="18" s="1"/>
  <c r="AI231" i="18"/>
  <c r="AF231" i="18" s="1"/>
  <c r="AB231" i="18"/>
  <c r="Y231" i="18" s="1"/>
  <c r="U231" i="18"/>
  <c r="AY230" i="18"/>
  <c r="AV230" i="18" s="1"/>
  <c r="AI230" i="18"/>
  <c r="AF230" i="18" s="1"/>
  <c r="AB230" i="18"/>
  <c r="Y230" i="18" s="1"/>
  <c r="U230" i="18"/>
  <c r="AY229" i="18"/>
  <c r="AV229" i="18" s="1"/>
  <c r="AI229" i="18"/>
  <c r="AF229" i="18" s="1"/>
  <c r="AB229" i="18"/>
  <c r="Y229" i="18" s="1"/>
  <c r="U229" i="18"/>
  <c r="AY228" i="18"/>
  <c r="AI228" i="18"/>
  <c r="AF228" i="18" s="1"/>
  <c r="AB228" i="18"/>
  <c r="Y228" i="18" s="1"/>
  <c r="U228" i="18"/>
  <c r="AY227" i="18"/>
  <c r="AV227" i="18" s="1"/>
  <c r="AI227" i="18"/>
  <c r="AF227" i="18" s="1"/>
  <c r="AB227" i="18"/>
  <c r="Y227" i="18" s="1"/>
  <c r="U227" i="18"/>
  <c r="AY226" i="18"/>
  <c r="AV226" i="18" s="1"/>
  <c r="AI226" i="18"/>
  <c r="AF226" i="18" s="1"/>
  <c r="AB226" i="18"/>
  <c r="Y226" i="18" s="1"/>
  <c r="U226" i="18"/>
  <c r="AY225" i="18"/>
  <c r="AV225" i="18" s="1"/>
  <c r="AI225" i="18"/>
  <c r="AF225" i="18" s="1"/>
  <c r="AB225" i="18"/>
  <c r="Y225" i="18" s="1"/>
  <c r="U225" i="18"/>
  <c r="AY224" i="18"/>
  <c r="AV224" i="18" s="1"/>
  <c r="AI224" i="18"/>
  <c r="AF224" i="18" s="1"/>
  <c r="AB224" i="18"/>
  <c r="Y224" i="18" s="1"/>
  <c r="U224" i="18"/>
  <c r="AY223" i="18"/>
  <c r="AV223" i="18" s="1"/>
  <c r="AI223" i="18"/>
  <c r="AF223" i="18" s="1"/>
  <c r="AB223" i="18"/>
  <c r="Y223" i="18" s="1"/>
  <c r="U223" i="18"/>
  <c r="AY222" i="18"/>
  <c r="AV222" i="18" s="1"/>
  <c r="AI222" i="18"/>
  <c r="AF222" i="18" s="1"/>
  <c r="AB222" i="18"/>
  <c r="Y222" i="18" s="1"/>
  <c r="U222" i="18"/>
  <c r="AY221" i="18"/>
  <c r="AV221" i="18" s="1"/>
  <c r="AI221" i="18"/>
  <c r="AF221" i="18" s="1"/>
  <c r="AB221" i="18"/>
  <c r="Y221" i="18" s="1"/>
  <c r="U221" i="18"/>
  <c r="AY220" i="18"/>
  <c r="AV220" i="18" s="1"/>
  <c r="AI220" i="18"/>
  <c r="AF220" i="18" s="1"/>
  <c r="AB220" i="18"/>
  <c r="Y220" i="18" s="1"/>
  <c r="U220" i="18"/>
  <c r="AY219" i="18"/>
  <c r="AV219" i="18" s="1"/>
  <c r="AI219" i="18"/>
  <c r="AF219" i="18" s="1"/>
  <c r="AB219" i="18"/>
  <c r="Y219" i="18" s="1"/>
  <c r="U219" i="18"/>
  <c r="AY218" i="18"/>
  <c r="AV218" i="18" s="1"/>
  <c r="AI218" i="18"/>
  <c r="AB218" i="18"/>
  <c r="Y218" i="18" s="1"/>
  <c r="U218" i="18"/>
  <c r="BY217" i="18"/>
  <c r="BW217" i="18"/>
  <c r="BV217" i="18"/>
  <c r="BU217" i="18"/>
  <c r="BT217" i="18"/>
  <c r="BS217" i="18"/>
  <c r="BR217" i="18"/>
  <c r="BQ217" i="18"/>
  <c r="BP217" i="18"/>
  <c r="BO217" i="18"/>
  <c r="BN217" i="18"/>
  <c r="BM217" i="18"/>
  <c r="BL217" i="18"/>
  <c r="BK217" i="18"/>
  <c r="BJ217" i="18"/>
  <c r="BI217" i="18"/>
  <c r="BH217" i="18"/>
  <c r="BG217" i="18"/>
  <c r="BF217" i="18"/>
  <c r="BE217" i="18"/>
  <c r="BD217" i="18"/>
  <c r="BC217" i="18"/>
  <c r="BB217" i="18"/>
  <c r="BA217" i="18"/>
  <c r="AZ217" i="18"/>
  <c r="AX217" i="18"/>
  <c r="AW217" i="18"/>
  <c r="AU217" i="18"/>
  <c r="AT217" i="18"/>
  <c r="AS217" i="18"/>
  <c r="AR217" i="18"/>
  <c r="AQ217" i="18"/>
  <c r="AP217" i="18"/>
  <c r="AO217" i="18"/>
  <c r="AN217" i="18"/>
  <c r="AM217" i="18"/>
  <c r="AL217" i="18"/>
  <c r="AK217" i="18"/>
  <c r="AJ217" i="18"/>
  <c r="AH217" i="18"/>
  <c r="AG217" i="18"/>
  <c r="AE217" i="18"/>
  <c r="AD217" i="18"/>
  <c r="AC217" i="18"/>
  <c r="AA217" i="18"/>
  <c r="Z217" i="18"/>
  <c r="X217" i="18"/>
  <c r="W217" i="18"/>
  <c r="V217" i="18"/>
  <c r="T217" i="18"/>
  <c r="S217" i="18"/>
  <c r="R217" i="18"/>
  <c r="Q217" i="18"/>
  <c r="P217" i="18"/>
  <c r="O217" i="18"/>
  <c r="N217" i="18"/>
  <c r="M217" i="18"/>
  <c r="AY216" i="18"/>
  <c r="AV216" i="18" s="1"/>
  <c r="AI216" i="18"/>
  <c r="AI215" i="18" s="1"/>
  <c r="AB216" i="18"/>
  <c r="Y216" i="18" s="1"/>
  <c r="U216" i="18"/>
  <c r="U215" i="18" s="1"/>
  <c r="BY215" i="18"/>
  <c r="BW215" i="18"/>
  <c r="BV215" i="18"/>
  <c r="BU215" i="18"/>
  <c r="BT215" i="18"/>
  <c r="BS215" i="18"/>
  <c r="BR215" i="18"/>
  <c r="BQ215" i="18"/>
  <c r="BP215" i="18"/>
  <c r="BO215" i="18"/>
  <c r="BN215" i="18"/>
  <c r="BM215" i="18"/>
  <c r="BL215" i="18"/>
  <c r="BK215" i="18"/>
  <c r="BJ215" i="18"/>
  <c r="BI215" i="18"/>
  <c r="BH215" i="18"/>
  <c r="BG215" i="18"/>
  <c r="BF215" i="18"/>
  <c r="BE215" i="18"/>
  <c r="BD215" i="18"/>
  <c r="BC215" i="18"/>
  <c r="BB215" i="18"/>
  <c r="BA215" i="18"/>
  <c r="AZ215" i="18"/>
  <c r="AX215" i="18"/>
  <c r="AW215" i="18"/>
  <c r="AU215" i="18"/>
  <c r="AT215" i="18"/>
  <c r="AS215" i="18"/>
  <c r="AR215" i="18"/>
  <c r="AQ215" i="18"/>
  <c r="AP215" i="18"/>
  <c r="AO215" i="18"/>
  <c r="AN215" i="18"/>
  <c r="AM215" i="18"/>
  <c r="AL215" i="18"/>
  <c r="AK215" i="18"/>
  <c r="AJ215" i="18"/>
  <c r="AH215" i="18"/>
  <c r="AG215" i="18"/>
  <c r="AE215" i="18"/>
  <c r="AD215" i="18"/>
  <c r="AC215" i="18"/>
  <c r="AA215" i="18"/>
  <c r="Z215" i="18"/>
  <c r="X215" i="18"/>
  <c r="W215" i="18"/>
  <c r="V215" i="18"/>
  <c r="Q215" i="18"/>
  <c r="P215" i="18"/>
  <c r="O215" i="18"/>
  <c r="N215" i="18"/>
  <c r="M215" i="18"/>
  <c r="AY213" i="18"/>
  <c r="AV213" i="18" s="1"/>
  <c r="AI213" i="18"/>
  <c r="AF213" i="18" s="1"/>
  <c r="AB213" i="18"/>
  <c r="Y213" i="18" s="1"/>
  <c r="U213" i="18"/>
  <c r="AY212" i="18"/>
  <c r="AV212" i="18" s="1"/>
  <c r="AI212" i="18"/>
  <c r="AF212" i="18" s="1"/>
  <c r="AB212" i="18"/>
  <c r="Y212" i="18" s="1"/>
  <c r="U212" i="18"/>
  <c r="AY211" i="18"/>
  <c r="AI211" i="18"/>
  <c r="AF211" i="18" s="1"/>
  <c r="AB211" i="18"/>
  <c r="Y211" i="18" s="1"/>
  <c r="U211" i="18"/>
  <c r="AY210" i="18"/>
  <c r="AV210" i="18" s="1"/>
  <c r="AI210" i="18"/>
  <c r="AF210" i="18" s="1"/>
  <c r="AB210" i="18"/>
  <c r="Y210" i="18" s="1"/>
  <c r="U210" i="18"/>
  <c r="AY209" i="18"/>
  <c r="AV209" i="18" s="1"/>
  <c r="AI209" i="18"/>
  <c r="AF209" i="18" s="1"/>
  <c r="AB209" i="18"/>
  <c r="Y209" i="18" s="1"/>
  <c r="U209" i="18"/>
  <c r="AY208" i="18"/>
  <c r="AV208" i="18" s="1"/>
  <c r="AI208" i="18"/>
  <c r="AF208" i="18" s="1"/>
  <c r="AB208" i="18"/>
  <c r="U208" i="18"/>
  <c r="AY207" i="18"/>
  <c r="AV207" i="18" s="1"/>
  <c r="AI207" i="18"/>
  <c r="AF207" i="18" s="1"/>
  <c r="AB207" i="18"/>
  <c r="Y207" i="18" s="1"/>
  <c r="U207" i="18"/>
  <c r="AY206" i="18"/>
  <c r="AV206" i="18" s="1"/>
  <c r="AI206" i="18"/>
  <c r="AF206" i="18" s="1"/>
  <c r="AB206" i="18"/>
  <c r="Y206" i="18" s="1"/>
  <c r="U206" i="18"/>
  <c r="AY205" i="18"/>
  <c r="AV205" i="18" s="1"/>
  <c r="AI205" i="18"/>
  <c r="AF205" i="18" s="1"/>
  <c r="AB205" i="18"/>
  <c r="Y205" i="18" s="1"/>
  <c r="U205" i="18"/>
  <c r="AY204" i="18"/>
  <c r="AV204" i="18" s="1"/>
  <c r="AI204" i="18"/>
  <c r="AF204" i="18" s="1"/>
  <c r="AB204" i="18"/>
  <c r="Y204" i="18" s="1"/>
  <c r="U204" i="18"/>
  <c r="BY203" i="18"/>
  <c r="BW203" i="18"/>
  <c r="BW162" i="18" s="1"/>
  <c r="BV203" i="18"/>
  <c r="BV162" i="18" s="1"/>
  <c r="BU203" i="18"/>
  <c r="BU162" i="18" s="1"/>
  <c r="BT203" i="18"/>
  <c r="BS203" i="18"/>
  <c r="BS162" i="18" s="1"/>
  <c r="BR203" i="18"/>
  <c r="BR162" i="18" s="1"/>
  <c r="BQ203" i="18"/>
  <c r="BQ162" i="18" s="1"/>
  <c r="BP203" i="18"/>
  <c r="BP162" i="18" s="1"/>
  <c r="BO203" i="18"/>
  <c r="BO162" i="18" s="1"/>
  <c r="BN203" i="18"/>
  <c r="BN162" i="18" s="1"/>
  <c r="BM203" i="18"/>
  <c r="BM162" i="18" s="1"/>
  <c r="BL203" i="18"/>
  <c r="BL162" i="18" s="1"/>
  <c r="BK203" i="18"/>
  <c r="BK162" i="18" s="1"/>
  <c r="BJ203" i="18"/>
  <c r="BJ162" i="18" s="1"/>
  <c r="BI203" i="18"/>
  <c r="BI162" i="18" s="1"/>
  <c r="BH203" i="18"/>
  <c r="BH162" i="18" s="1"/>
  <c r="BG203" i="18"/>
  <c r="BG162" i="18" s="1"/>
  <c r="BF203" i="18"/>
  <c r="BF162" i="18" s="1"/>
  <c r="BE203" i="18"/>
  <c r="BE162" i="18" s="1"/>
  <c r="BD203" i="18"/>
  <c r="BD162" i="18" s="1"/>
  <c r="BC203" i="18"/>
  <c r="BC162" i="18" s="1"/>
  <c r="BB203" i="18"/>
  <c r="BA203" i="18"/>
  <c r="AZ203" i="18"/>
  <c r="AX203" i="18"/>
  <c r="AW203" i="18"/>
  <c r="AU203" i="18"/>
  <c r="AT203" i="18"/>
  <c r="AS203" i="18"/>
  <c r="AR203" i="18"/>
  <c r="AQ203" i="18"/>
  <c r="AP203" i="18"/>
  <c r="AO203" i="18"/>
  <c r="AN203" i="18"/>
  <c r="AM203" i="18"/>
  <c r="AL203" i="18"/>
  <c r="AK203" i="18"/>
  <c r="AJ203" i="18"/>
  <c r="AH203" i="18"/>
  <c r="AG203" i="18"/>
  <c r="AE203" i="18"/>
  <c r="AD203" i="18"/>
  <c r="AC203" i="18"/>
  <c r="AA203" i="18"/>
  <c r="Z203" i="18"/>
  <c r="X203" i="18"/>
  <c r="W203" i="18"/>
  <c r="V203" i="18"/>
  <c r="T203" i="18"/>
  <c r="S203" i="18"/>
  <c r="R203" i="18"/>
  <c r="Q203" i="18"/>
  <c r="P203" i="18"/>
  <c r="O203" i="18"/>
  <c r="N203" i="18"/>
  <c r="M203" i="18"/>
  <c r="H203" i="18"/>
  <c r="H167" i="18" s="1"/>
  <c r="AY202" i="18"/>
  <c r="AV202" i="18" s="1"/>
  <c r="AI202" i="18"/>
  <c r="AF202" i="18" s="1"/>
  <c r="AB202" i="18"/>
  <c r="Y202" i="18" s="1"/>
  <c r="U202" i="18"/>
  <c r="AY201" i="18"/>
  <c r="AV201" i="18" s="1"/>
  <c r="AI201" i="18"/>
  <c r="AF201" i="18" s="1"/>
  <c r="AB201" i="18"/>
  <c r="Y201" i="18" s="1"/>
  <c r="U201" i="18"/>
  <c r="AY200" i="18"/>
  <c r="AV200" i="18" s="1"/>
  <c r="AI200" i="18"/>
  <c r="AF200" i="18" s="1"/>
  <c r="AB200" i="18"/>
  <c r="Y200" i="18" s="1"/>
  <c r="U200" i="18"/>
  <c r="AY199" i="18"/>
  <c r="AV199" i="18" s="1"/>
  <c r="AI199" i="18"/>
  <c r="AF199" i="18" s="1"/>
  <c r="AB199" i="18"/>
  <c r="Y199" i="18" s="1"/>
  <c r="U199" i="18"/>
  <c r="AY198" i="18"/>
  <c r="AV198" i="18" s="1"/>
  <c r="AI198" i="18"/>
  <c r="AF198" i="18" s="1"/>
  <c r="AB198" i="18"/>
  <c r="Y198" i="18" s="1"/>
  <c r="U198" i="18"/>
  <c r="AY197" i="18"/>
  <c r="AV197" i="18" s="1"/>
  <c r="AI197" i="18"/>
  <c r="AF197" i="18" s="1"/>
  <c r="AB197" i="18"/>
  <c r="Y197" i="18" s="1"/>
  <c r="U197" i="18"/>
  <c r="AY196" i="18"/>
  <c r="AV196" i="18" s="1"/>
  <c r="AI196" i="18"/>
  <c r="AF196" i="18" s="1"/>
  <c r="AB196" i="18"/>
  <c r="Y196" i="18" s="1"/>
  <c r="U196" i="18"/>
  <c r="AY195" i="18"/>
  <c r="AV195" i="18" s="1"/>
  <c r="AI195" i="18"/>
  <c r="AF195" i="18" s="1"/>
  <c r="AB195" i="18"/>
  <c r="Y195" i="18" s="1"/>
  <c r="U195" i="18"/>
  <c r="AY194" i="18"/>
  <c r="AV194" i="18" s="1"/>
  <c r="AI194" i="18"/>
  <c r="AF194" i="18" s="1"/>
  <c r="AB194" i="18"/>
  <c r="Y194" i="18" s="1"/>
  <c r="U194" i="18"/>
  <c r="AY193" i="18"/>
  <c r="AV193" i="18" s="1"/>
  <c r="AI193" i="18"/>
  <c r="AF193" i="18" s="1"/>
  <c r="AB193" i="18"/>
  <c r="Y193" i="18" s="1"/>
  <c r="U193" i="18"/>
  <c r="AY192" i="18"/>
  <c r="AV192" i="18" s="1"/>
  <c r="AI192" i="18"/>
  <c r="AF192" i="18" s="1"/>
  <c r="AB192" i="18"/>
  <c r="Y192" i="18" s="1"/>
  <c r="U192" i="18"/>
  <c r="AY191" i="18"/>
  <c r="AV191" i="18" s="1"/>
  <c r="AI191" i="18"/>
  <c r="AF191" i="18" s="1"/>
  <c r="AB191" i="18"/>
  <c r="Y191" i="18" s="1"/>
  <c r="U191" i="18"/>
  <c r="AY190" i="18"/>
  <c r="AV190" i="18" s="1"/>
  <c r="AI190" i="18"/>
  <c r="AF190" i="18" s="1"/>
  <c r="AB190" i="18"/>
  <c r="Y190" i="18" s="1"/>
  <c r="U190" i="18"/>
  <c r="AY189" i="18"/>
  <c r="AV189" i="18" s="1"/>
  <c r="AI189" i="18"/>
  <c r="AF189" i="18" s="1"/>
  <c r="AB189" i="18"/>
  <c r="Y189" i="18" s="1"/>
  <c r="U189" i="18"/>
  <c r="AY188" i="18"/>
  <c r="AV188" i="18" s="1"/>
  <c r="AI188" i="18"/>
  <c r="AF188" i="18" s="1"/>
  <c r="AB188" i="18"/>
  <c r="Y188" i="18" s="1"/>
  <c r="U188" i="18"/>
  <c r="AY187" i="18"/>
  <c r="AV187" i="18" s="1"/>
  <c r="AI187" i="18"/>
  <c r="AF187" i="18" s="1"/>
  <c r="AB187" i="18"/>
  <c r="Y187" i="18" s="1"/>
  <c r="U187" i="18"/>
  <c r="AY186" i="18"/>
  <c r="AV186" i="18" s="1"/>
  <c r="AI186" i="18"/>
  <c r="AF186" i="18" s="1"/>
  <c r="AB186" i="18"/>
  <c r="Y186" i="18" s="1"/>
  <c r="U186" i="18"/>
  <c r="AY185" i="18"/>
  <c r="AV185" i="18" s="1"/>
  <c r="AI185" i="18"/>
  <c r="AF185" i="18" s="1"/>
  <c r="AB185" i="18"/>
  <c r="Y185" i="18" s="1"/>
  <c r="U185" i="18"/>
  <c r="AY184" i="18"/>
  <c r="AV184" i="18" s="1"/>
  <c r="AI184" i="18"/>
  <c r="AF184" i="18" s="1"/>
  <c r="AB184" i="18"/>
  <c r="Y184" i="18" s="1"/>
  <c r="U184" i="18"/>
  <c r="AY183" i="18"/>
  <c r="AV183" i="18" s="1"/>
  <c r="AI183" i="18"/>
  <c r="AF183" i="18" s="1"/>
  <c r="AB183" i="18"/>
  <c r="Y183" i="18" s="1"/>
  <c r="U183" i="18"/>
  <c r="AY182" i="18"/>
  <c r="AV182" i="18" s="1"/>
  <c r="AI182" i="18"/>
  <c r="AF182" i="18" s="1"/>
  <c r="AB182" i="18"/>
  <c r="Y182" i="18" s="1"/>
  <c r="U182" i="18"/>
  <c r="AY181" i="18"/>
  <c r="AV181" i="18" s="1"/>
  <c r="AI181" i="18"/>
  <c r="AF181" i="18" s="1"/>
  <c r="AB181" i="18"/>
  <c r="Y181" i="18" s="1"/>
  <c r="U181" i="18"/>
  <c r="AY180" i="18"/>
  <c r="AV180" i="18" s="1"/>
  <c r="AI180" i="18"/>
  <c r="AF180" i="18" s="1"/>
  <c r="AB180" i="18"/>
  <c r="Y180" i="18" s="1"/>
  <c r="U180" i="18"/>
  <c r="AY179" i="18"/>
  <c r="AV179" i="18" s="1"/>
  <c r="AI179" i="18"/>
  <c r="AF179" i="18" s="1"/>
  <c r="AB179" i="18"/>
  <c r="Y179" i="18" s="1"/>
  <c r="U179" i="18"/>
  <c r="AY178" i="18"/>
  <c r="AV178" i="18" s="1"/>
  <c r="AI178" i="18"/>
  <c r="AF178" i="18" s="1"/>
  <c r="AB178" i="18"/>
  <c r="Y178" i="18" s="1"/>
  <c r="U178" i="18"/>
  <c r="AY177" i="18"/>
  <c r="AV177" i="18" s="1"/>
  <c r="AI177" i="18"/>
  <c r="AF177" i="18" s="1"/>
  <c r="AB177" i="18"/>
  <c r="Y177" i="18" s="1"/>
  <c r="U177" i="18"/>
  <c r="AY176" i="18"/>
  <c r="AV176" i="18" s="1"/>
  <c r="AI176" i="18"/>
  <c r="AF176" i="18" s="1"/>
  <c r="AB176" i="18"/>
  <c r="Y176" i="18" s="1"/>
  <c r="U176" i="18"/>
  <c r="AY175" i="18"/>
  <c r="AV175" i="18" s="1"/>
  <c r="AI175" i="18"/>
  <c r="AF175" i="18" s="1"/>
  <c r="AB175" i="18"/>
  <c r="Y175" i="18" s="1"/>
  <c r="U175" i="18"/>
  <c r="AY174" i="18"/>
  <c r="AV174" i="18" s="1"/>
  <c r="AI174" i="18"/>
  <c r="AF174" i="18" s="1"/>
  <c r="AB174" i="18"/>
  <c r="Y174" i="18" s="1"/>
  <c r="U174" i="18"/>
  <c r="AY173" i="18"/>
  <c r="AV173" i="18" s="1"/>
  <c r="AI173" i="18"/>
  <c r="AF173" i="18" s="1"/>
  <c r="AB173" i="18"/>
  <c r="Y173" i="18" s="1"/>
  <c r="U173" i="18"/>
  <c r="AY172" i="18"/>
  <c r="AV172" i="18" s="1"/>
  <c r="AI172" i="18"/>
  <c r="AF172" i="18" s="1"/>
  <c r="AB172" i="18"/>
  <c r="Y172" i="18" s="1"/>
  <c r="U172" i="18"/>
  <c r="AY171" i="18"/>
  <c r="AI171" i="18"/>
  <c r="AF171" i="18" s="1"/>
  <c r="AB171" i="18"/>
  <c r="Y171" i="18" s="1"/>
  <c r="U171" i="18"/>
  <c r="AY170" i="18"/>
  <c r="AV170" i="18" s="1"/>
  <c r="AI170" i="18"/>
  <c r="AF170" i="18" s="1"/>
  <c r="AB170" i="18"/>
  <c r="Y170" i="18" s="1"/>
  <c r="U170" i="18"/>
  <c r="AY169" i="18"/>
  <c r="AV169" i="18" s="1"/>
  <c r="AI169" i="18"/>
  <c r="AF169" i="18" s="1"/>
  <c r="AB169" i="18"/>
  <c r="Y169" i="18" s="1"/>
  <c r="U169" i="18"/>
  <c r="AY168" i="18"/>
  <c r="AV168" i="18" s="1"/>
  <c r="AI168" i="18"/>
  <c r="AB168" i="18"/>
  <c r="Y168" i="18" s="1"/>
  <c r="U168" i="18"/>
  <c r="BY167" i="18"/>
  <c r="BB167" i="18"/>
  <c r="BA167" i="18"/>
  <c r="AZ167" i="18"/>
  <c r="AX167" i="18"/>
  <c r="AW167" i="18"/>
  <c r="AU167" i="18"/>
  <c r="AT167" i="18"/>
  <c r="AS167" i="18"/>
  <c r="AR167" i="18"/>
  <c r="AQ167" i="18"/>
  <c r="AP167" i="18"/>
  <c r="AO167" i="18"/>
  <c r="AN167" i="18"/>
  <c r="AM167" i="18"/>
  <c r="AL167" i="18"/>
  <c r="AK167" i="18"/>
  <c r="AJ167" i="18"/>
  <c r="AH167" i="18"/>
  <c r="AG167" i="18"/>
  <c r="AE167" i="18"/>
  <c r="AD167" i="18"/>
  <c r="AC167" i="18"/>
  <c r="AA167" i="18"/>
  <c r="Z167" i="18"/>
  <c r="X167" i="18"/>
  <c r="W167" i="18"/>
  <c r="V167" i="18"/>
  <c r="T167" i="18"/>
  <c r="S167" i="18"/>
  <c r="R167" i="18"/>
  <c r="Q167" i="18"/>
  <c r="P167" i="18"/>
  <c r="O167" i="18"/>
  <c r="N167" i="18"/>
  <c r="M167" i="18"/>
  <c r="AY166" i="18"/>
  <c r="AI166" i="18"/>
  <c r="AF166" i="18" s="1"/>
  <c r="AB166" i="18"/>
  <c r="Y166" i="18" s="1"/>
  <c r="U166" i="18"/>
  <c r="AY165" i="18"/>
  <c r="AV165" i="18" s="1"/>
  <c r="AI165" i="18"/>
  <c r="AB165" i="18"/>
  <c r="Y165" i="18" s="1"/>
  <c r="U165" i="18"/>
  <c r="AY164" i="18"/>
  <c r="AV164" i="18" s="1"/>
  <c r="AI164" i="18"/>
  <c r="AF164" i="18" s="1"/>
  <c r="AB164" i="18"/>
  <c r="Y164" i="18" s="1"/>
  <c r="U164" i="18"/>
  <c r="BY163" i="18"/>
  <c r="BB163" i="18"/>
  <c r="BA163" i="18"/>
  <c r="AZ163" i="18"/>
  <c r="AX163" i="18"/>
  <c r="AW163" i="18"/>
  <c r="AU163" i="18"/>
  <c r="AT163" i="18"/>
  <c r="AS163" i="18"/>
  <c r="AR163" i="18"/>
  <c r="AQ163" i="18"/>
  <c r="AP163" i="18"/>
  <c r="AO163" i="18"/>
  <c r="AN163" i="18"/>
  <c r="AM163" i="18"/>
  <c r="AL163" i="18"/>
  <c r="AK163" i="18"/>
  <c r="AJ163" i="18"/>
  <c r="AH163" i="18"/>
  <c r="AG163" i="18"/>
  <c r="AE163" i="18"/>
  <c r="AD163" i="18"/>
  <c r="AC163" i="18"/>
  <c r="AA163" i="18"/>
  <c r="Z163" i="18"/>
  <c r="X163" i="18"/>
  <c r="W163" i="18"/>
  <c r="V163" i="18"/>
  <c r="T163" i="18"/>
  <c r="S163" i="18"/>
  <c r="R163" i="18"/>
  <c r="Q163" i="18"/>
  <c r="P163" i="18"/>
  <c r="O163" i="18"/>
  <c r="N163" i="18"/>
  <c r="M163" i="18"/>
  <c r="H163" i="18"/>
  <c r="AY161" i="18"/>
  <c r="AV161" i="18" s="1"/>
  <c r="AI161" i="18"/>
  <c r="AF161" i="18" s="1"/>
  <c r="AB161" i="18"/>
  <c r="Y161" i="18" s="1"/>
  <c r="U161" i="18"/>
  <c r="AY160" i="18"/>
  <c r="AV160" i="18" s="1"/>
  <c r="AI160" i="18"/>
  <c r="AF160" i="18" s="1"/>
  <c r="AB160" i="18"/>
  <c r="Y160" i="18" s="1"/>
  <c r="U160" i="18"/>
  <c r="AY159" i="18"/>
  <c r="AV159" i="18" s="1"/>
  <c r="AI159" i="18"/>
  <c r="AF159" i="18" s="1"/>
  <c r="AB159" i="18"/>
  <c r="Y159" i="18" s="1"/>
  <c r="U159" i="18"/>
  <c r="AY158" i="18"/>
  <c r="AV158" i="18" s="1"/>
  <c r="AI158" i="18"/>
  <c r="AF158" i="18" s="1"/>
  <c r="AB158" i="18"/>
  <c r="Y158" i="18" s="1"/>
  <c r="U158" i="18"/>
  <c r="AY157" i="18"/>
  <c r="AV157" i="18" s="1"/>
  <c r="AI157" i="18"/>
  <c r="AF157" i="18" s="1"/>
  <c r="AB157" i="18"/>
  <c r="Y157" i="18" s="1"/>
  <c r="U157" i="18"/>
  <c r="AY156" i="18"/>
  <c r="AV156" i="18" s="1"/>
  <c r="AI156" i="18"/>
  <c r="AF156" i="18" s="1"/>
  <c r="AB156" i="18"/>
  <c r="Y156" i="18" s="1"/>
  <c r="U156" i="18"/>
  <c r="AY155" i="18"/>
  <c r="AV155" i="18" s="1"/>
  <c r="AI155" i="18"/>
  <c r="AF155" i="18" s="1"/>
  <c r="AB155" i="18"/>
  <c r="Y155" i="18" s="1"/>
  <c r="U155" i="18"/>
  <c r="AY154" i="18"/>
  <c r="AV154" i="18" s="1"/>
  <c r="AI154" i="18"/>
  <c r="AF154" i="18" s="1"/>
  <c r="AB154" i="18"/>
  <c r="Y154" i="18" s="1"/>
  <c r="U154" i="18"/>
  <c r="AY153" i="18"/>
  <c r="AV153" i="18" s="1"/>
  <c r="AI153" i="18"/>
  <c r="AF153" i="18" s="1"/>
  <c r="AB153" i="18"/>
  <c r="Y153" i="18" s="1"/>
  <c r="U153" i="18"/>
  <c r="AY152" i="18"/>
  <c r="AV152" i="18" s="1"/>
  <c r="AI152" i="18"/>
  <c r="AF152" i="18" s="1"/>
  <c r="AB152" i="18"/>
  <c r="Y152" i="18" s="1"/>
  <c r="U152" i="18"/>
  <c r="AY151" i="18"/>
  <c r="AV151" i="18" s="1"/>
  <c r="AI151" i="18"/>
  <c r="AF151" i="18" s="1"/>
  <c r="AB151" i="18"/>
  <c r="Y151" i="18" s="1"/>
  <c r="U151" i="18"/>
  <c r="AY150" i="18"/>
  <c r="AV150" i="18" s="1"/>
  <c r="AI150" i="18"/>
  <c r="AF150" i="18" s="1"/>
  <c r="AB150" i="18"/>
  <c r="Y150" i="18" s="1"/>
  <c r="U150" i="18"/>
  <c r="AY149" i="18"/>
  <c r="AI149" i="18"/>
  <c r="AF149" i="18" s="1"/>
  <c r="AB149" i="18"/>
  <c r="Y149" i="18" s="1"/>
  <c r="U149" i="18"/>
  <c r="BY148" i="18"/>
  <c r="BW148" i="18"/>
  <c r="BV148" i="18"/>
  <c r="BU148" i="18"/>
  <c r="BT148" i="18"/>
  <c r="BS148" i="18"/>
  <c r="BR148" i="18"/>
  <c r="BQ148" i="18"/>
  <c r="BP148" i="18"/>
  <c r="BO148" i="18"/>
  <c r="BN148" i="18"/>
  <c r="BM148" i="18"/>
  <c r="BL148" i="18"/>
  <c r="BK148" i="18"/>
  <c r="BJ148" i="18"/>
  <c r="BI148" i="18"/>
  <c r="BH148" i="18"/>
  <c r="BG148" i="18"/>
  <c r="BF148" i="18"/>
  <c r="BE148" i="18"/>
  <c r="BD148" i="18"/>
  <c r="BC148" i="18"/>
  <c r="BB148" i="18"/>
  <c r="BA148" i="18"/>
  <c r="AZ148" i="18"/>
  <c r="AX148" i="18"/>
  <c r="AW148" i="18"/>
  <c r="AU148" i="18"/>
  <c r="AT148" i="18"/>
  <c r="AS148" i="18"/>
  <c r="AR148" i="18"/>
  <c r="AQ148" i="18"/>
  <c r="AP148" i="18"/>
  <c r="AO148" i="18"/>
  <c r="AN148" i="18"/>
  <c r="AM148" i="18"/>
  <c r="AL148" i="18"/>
  <c r="AK148" i="18"/>
  <c r="AJ148" i="18"/>
  <c r="AH148" i="18"/>
  <c r="AG148" i="18"/>
  <c r="AE148" i="18"/>
  <c r="AD148" i="18"/>
  <c r="AC148" i="18"/>
  <c r="AA148" i="18"/>
  <c r="Z148" i="18"/>
  <c r="X148" i="18"/>
  <c r="W148" i="18"/>
  <c r="V148" i="18"/>
  <c r="T148" i="18"/>
  <c r="S148" i="18"/>
  <c r="R148" i="18"/>
  <c r="Q148" i="18"/>
  <c r="P148" i="18"/>
  <c r="O148" i="18"/>
  <c r="N148" i="18"/>
  <c r="M148" i="18"/>
  <c r="AY147" i="18"/>
  <c r="AV147" i="18" s="1"/>
  <c r="AI147" i="18"/>
  <c r="AF147" i="18" s="1"/>
  <c r="AB147" i="18"/>
  <c r="Y147" i="18" s="1"/>
  <c r="U147" i="18"/>
  <c r="AY146" i="18"/>
  <c r="AV146" i="18" s="1"/>
  <c r="AI146" i="18"/>
  <c r="AF146" i="18" s="1"/>
  <c r="AB146" i="18"/>
  <c r="Y146" i="18" s="1"/>
  <c r="U146" i="18"/>
  <c r="AY145" i="18"/>
  <c r="AV145" i="18" s="1"/>
  <c r="AI145" i="18"/>
  <c r="AF145" i="18" s="1"/>
  <c r="AB145" i="18"/>
  <c r="Y145" i="18" s="1"/>
  <c r="U145" i="18"/>
  <c r="AY144" i="18"/>
  <c r="AV144" i="18" s="1"/>
  <c r="AI144" i="18"/>
  <c r="AF144" i="18" s="1"/>
  <c r="AB144" i="18"/>
  <c r="Y144" i="18" s="1"/>
  <c r="U144" i="18"/>
  <c r="AY143" i="18"/>
  <c r="AV143" i="18" s="1"/>
  <c r="AI143" i="18"/>
  <c r="AF143" i="18" s="1"/>
  <c r="AB143" i="18"/>
  <c r="Y143" i="18" s="1"/>
  <c r="U143" i="18"/>
  <c r="AY142" i="18"/>
  <c r="AV142" i="18" s="1"/>
  <c r="AI142" i="18"/>
  <c r="AF142" i="18" s="1"/>
  <c r="AB142" i="18"/>
  <c r="Y142" i="18" s="1"/>
  <c r="U142" i="18"/>
  <c r="AY141" i="18"/>
  <c r="AV141" i="18" s="1"/>
  <c r="AI141" i="18"/>
  <c r="AF141" i="18" s="1"/>
  <c r="AB141" i="18"/>
  <c r="Y141" i="18" s="1"/>
  <c r="U141" i="18"/>
  <c r="AY140" i="18"/>
  <c r="AV140" i="18" s="1"/>
  <c r="AI140" i="18"/>
  <c r="AF140" i="18" s="1"/>
  <c r="AB140" i="18"/>
  <c r="Y140" i="18" s="1"/>
  <c r="U140" i="18"/>
  <c r="AY139" i="18"/>
  <c r="AV139" i="18" s="1"/>
  <c r="AI139" i="18"/>
  <c r="AF139" i="18" s="1"/>
  <c r="AB139" i="18"/>
  <c r="Y139" i="18" s="1"/>
  <c r="U139" i="18"/>
  <c r="AY138" i="18"/>
  <c r="AV138" i="18" s="1"/>
  <c r="AI138" i="18"/>
  <c r="AF138" i="18" s="1"/>
  <c r="AB138" i="18"/>
  <c r="Y138" i="18" s="1"/>
  <c r="U138" i="18"/>
  <c r="AY137" i="18"/>
  <c r="AV137" i="18" s="1"/>
  <c r="AI137" i="18"/>
  <c r="AF137" i="18" s="1"/>
  <c r="AB137" i="18"/>
  <c r="Y137" i="18" s="1"/>
  <c r="U137" i="18"/>
  <c r="AY136" i="18"/>
  <c r="AI136" i="18"/>
  <c r="AF136" i="18" s="1"/>
  <c r="AB136" i="18"/>
  <c r="Y136" i="18" s="1"/>
  <c r="U136" i="18"/>
  <c r="AY135" i="18"/>
  <c r="AV135" i="18" s="1"/>
  <c r="AI135" i="18"/>
  <c r="AF135" i="18" s="1"/>
  <c r="AB135" i="18"/>
  <c r="Y135" i="18" s="1"/>
  <c r="U135" i="18"/>
  <c r="AY134" i="18"/>
  <c r="AV134" i="18" s="1"/>
  <c r="AI134" i="18"/>
  <c r="AF134" i="18" s="1"/>
  <c r="AB134" i="18"/>
  <c r="Y134" i="18" s="1"/>
  <c r="U134" i="18"/>
  <c r="AY133" i="18"/>
  <c r="AV133" i="18" s="1"/>
  <c r="AI133" i="18"/>
  <c r="AF133" i="18" s="1"/>
  <c r="AB133" i="18"/>
  <c r="Y133" i="18" s="1"/>
  <c r="U133" i="18"/>
  <c r="AY132" i="18"/>
  <c r="AV132" i="18" s="1"/>
  <c r="AI132" i="18"/>
  <c r="AF132" i="18" s="1"/>
  <c r="AB132" i="18"/>
  <c r="Y132" i="18" s="1"/>
  <c r="U132" i="18"/>
  <c r="AY131" i="18"/>
  <c r="AV131" i="18" s="1"/>
  <c r="AI131" i="18"/>
  <c r="AF131" i="18" s="1"/>
  <c r="AB131" i="18"/>
  <c r="Y131" i="18" s="1"/>
  <c r="U131" i="18"/>
  <c r="AY130" i="18"/>
  <c r="AV130" i="18" s="1"/>
  <c r="AI130" i="18"/>
  <c r="AF130" i="18" s="1"/>
  <c r="AB130" i="18"/>
  <c r="Y130" i="18" s="1"/>
  <c r="U130" i="18"/>
  <c r="AY129" i="18"/>
  <c r="AV129" i="18" s="1"/>
  <c r="AI129" i="18"/>
  <c r="AF129" i="18" s="1"/>
  <c r="AB129" i="18"/>
  <c r="Y129" i="18" s="1"/>
  <c r="U129" i="18"/>
  <c r="AY128" i="18"/>
  <c r="AV128" i="18" s="1"/>
  <c r="AI128" i="18"/>
  <c r="AF128" i="18" s="1"/>
  <c r="AB128" i="18"/>
  <c r="U128" i="18"/>
  <c r="AY127" i="18"/>
  <c r="AV127" i="18" s="1"/>
  <c r="AI127" i="18"/>
  <c r="AF127" i="18" s="1"/>
  <c r="AB127" i="18"/>
  <c r="Y127" i="18" s="1"/>
  <c r="U127" i="18"/>
  <c r="AY126" i="18"/>
  <c r="AV126" i="18" s="1"/>
  <c r="AI126" i="18"/>
  <c r="AB126" i="18"/>
  <c r="Y126" i="18" s="1"/>
  <c r="U126" i="18"/>
  <c r="BY125" i="18"/>
  <c r="BW125" i="18"/>
  <c r="BV125" i="18"/>
  <c r="BU125" i="18"/>
  <c r="BT125" i="18"/>
  <c r="BS125" i="18"/>
  <c r="BR125" i="18"/>
  <c r="BQ125" i="18"/>
  <c r="BP125" i="18"/>
  <c r="BO125" i="18"/>
  <c r="BN125" i="18"/>
  <c r="BM125" i="18"/>
  <c r="BL125" i="18"/>
  <c r="BK125" i="18"/>
  <c r="BJ125" i="18"/>
  <c r="BI125" i="18"/>
  <c r="BH125" i="18"/>
  <c r="BG125" i="18"/>
  <c r="BF125" i="18"/>
  <c r="BE125" i="18"/>
  <c r="BD125" i="18"/>
  <c r="BC125" i="18"/>
  <c r="BB125" i="18"/>
  <c r="BA125" i="18"/>
  <c r="AZ125" i="18"/>
  <c r="AX125" i="18"/>
  <c r="AW125" i="18"/>
  <c r="AU125" i="18"/>
  <c r="AT125" i="18"/>
  <c r="AS125" i="18"/>
  <c r="AR125" i="18"/>
  <c r="AQ125" i="18"/>
  <c r="AP125" i="18"/>
  <c r="AO125" i="18"/>
  <c r="AN125" i="18"/>
  <c r="AM125" i="18"/>
  <c r="AL125" i="18"/>
  <c r="AK125" i="18"/>
  <c r="AJ125" i="18"/>
  <c r="AH125" i="18"/>
  <c r="AG125" i="18"/>
  <c r="AE125" i="18"/>
  <c r="AD125" i="18"/>
  <c r="AC125" i="18"/>
  <c r="AA125" i="18"/>
  <c r="Z125" i="18"/>
  <c r="X125" i="18"/>
  <c r="W125" i="18"/>
  <c r="V125" i="18"/>
  <c r="T125" i="18"/>
  <c r="S125" i="18"/>
  <c r="R125" i="18"/>
  <c r="Q125" i="18"/>
  <c r="P125" i="18"/>
  <c r="O125" i="18"/>
  <c r="N125" i="18"/>
  <c r="M125" i="18"/>
  <c r="AY124" i="18"/>
  <c r="AV124" i="18" s="1"/>
  <c r="AI124" i="18"/>
  <c r="AB124" i="18"/>
  <c r="Y124" i="18" s="1"/>
  <c r="U124" i="18"/>
  <c r="AY123" i="18"/>
  <c r="AV123" i="18" s="1"/>
  <c r="AI123" i="18"/>
  <c r="AF123" i="18" s="1"/>
  <c r="AB123" i="18"/>
  <c r="Y123" i="18" s="1"/>
  <c r="U123" i="18"/>
  <c r="AY122" i="18"/>
  <c r="AV122" i="18" s="1"/>
  <c r="AI122" i="18"/>
  <c r="AF122" i="18" s="1"/>
  <c r="AB122" i="18"/>
  <c r="Y122" i="18" s="1"/>
  <c r="U122" i="18"/>
  <c r="AY121" i="18"/>
  <c r="AV121" i="18" s="1"/>
  <c r="AI121" i="18"/>
  <c r="AF121" i="18" s="1"/>
  <c r="AB121" i="18"/>
  <c r="Y121" i="18" s="1"/>
  <c r="U121" i="18"/>
  <c r="AY120" i="18"/>
  <c r="AV120" i="18" s="1"/>
  <c r="AI120" i="18"/>
  <c r="AF120" i="18" s="1"/>
  <c r="AB120" i="18"/>
  <c r="Y120" i="18" s="1"/>
  <c r="U120" i="18"/>
  <c r="AY119" i="18"/>
  <c r="AV119" i="18" s="1"/>
  <c r="AI119" i="18"/>
  <c r="AF119" i="18" s="1"/>
  <c r="AB119" i="18"/>
  <c r="Y119" i="18" s="1"/>
  <c r="U119" i="18"/>
  <c r="AY118" i="18"/>
  <c r="AV118" i="18" s="1"/>
  <c r="AI118" i="18"/>
  <c r="AF118" i="18" s="1"/>
  <c r="AB118" i="18"/>
  <c r="Y118" i="18" s="1"/>
  <c r="U118" i="18"/>
  <c r="AY117" i="18"/>
  <c r="AV117" i="18" s="1"/>
  <c r="AI117" i="18"/>
  <c r="AF117" i="18" s="1"/>
  <c r="AB117" i="18"/>
  <c r="U117" i="18"/>
  <c r="AY116" i="18"/>
  <c r="AV116" i="18" s="1"/>
  <c r="AI116" i="18"/>
  <c r="AF116" i="18" s="1"/>
  <c r="AB116" i="18"/>
  <c r="Y116" i="18" s="1"/>
  <c r="U116" i="18"/>
  <c r="BY115" i="18"/>
  <c r="BW115" i="18"/>
  <c r="BV115" i="18"/>
  <c r="BU115" i="18"/>
  <c r="BT115" i="18"/>
  <c r="BS115" i="18"/>
  <c r="BR115" i="18"/>
  <c r="BQ115" i="18"/>
  <c r="BP115" i="18"/>
  <c r="BO115" i="18"/>
  <c r="BN115" i="18"/>
  <c r="BM115" i="18"/>
  <c r="BL115" i="18"/>
  <c r="BK115" i="18"/>
  <c r="BJ115" i="18"/>
  <c r="BI115" i="18"/>
  <c r="BH115" i="18"/>
  <c r="BG115" i="18"/>
  <c r="BF115" i="18"/>
  <c r="BE115" i="18"/>
  <c r="BD115" i="18"/>
  <c r="BC115" i="18"/>
  <c r="BB115" i="18"/>
  <c r="BA115" i="18"/>
  <c r="AZ115" i="18"/>
  <c r="AX115" i="18"/>
  <c r="AW115" i="18"/>
  <c r="AU115" i="18"/>
  <c r="AT115" i="18"/>
  <c r="AS115" i="18"/>
  <c r="AR115" i="18"/>
  <c r="AQ115" i="18"/>
  <c r="AP115" i="18"/>
  <c r="AO115" i="18"/>
  <c r="AN115" i="18"/>
  <c r="AM115" i="18"/>
  <c r="AL115" i="18"/>
  <c r="AK115" i="18"/>
  <c r="AJ115" i="18"/>
  <c r="AH115" i="18"/>
  <c r="AG115" i="18"/>
  <c r="AE115" i="18"/>
  <c r="AD115" i="18"/>
  <c r="AC115" i="18"/>
  <c r="AA115" i="18"/>
  <c r="Z115" i="18"/>
  <c r="X115" i="18"/>
  <c r="W115" i="18"/>
  <c r="V115" i="18"/>
  <c r="T115" i="18"/>
  <c r="S115" i="18"/>
  <c r="R115" i="18"/>
  <c r="Q115" i="18"/>
  <c r="P115" i="18"/>
  <c r="O115" i="18"/>
  <c r="N115" i="18"/>
  <c r="M115" i="18"/>
  <c r="H115" i="18"/>
  <c r="AY114" i="18"/>
  <c r="AV114" i="18" s="1"/>
  <c r="AI114" i="18"/>
  <c r="AB114" i="18"/>
  <c r="Y114" i="18" s="1"/>
  <c r="U114" i="18"/>
  <c r="AY113" i="18"/>
  <c r="AV113" i="18" s="1"/>
  <c r="AI113" i="18"/>
  <c r="AF113" i="18" s="1"/>
  <c r="AB113" i="18"/>
  <c r="Y113" i="18" s="1"/>
  <c r="U113" i="18"/>
  <c r="BY112" i="18"/>
  <c r="BW112" i="18"/>
  <c r="BV112" i="18"/>
  <c r="BU112" i="18"/>
  <c r="BT112" i="18"/>
  <c r="BS112" i="18"/>
  <c r="BR112" i="18"/>
  <c r="BQ112" i="18"/>
  <c r="BP112" i="18"/>
  <c r="BO112" i="18"/>
  <c r="BN112" i="18"/>
  <c r="BM112" i="18"/>
  <c r="BL112" i="18"/>
  <c r="BK112" i="18"/>
  <c r="BJ112" i="18"/>
  <c r="BI112" i="18"/>
  <c r="BH112" i="18"/>
  <c r="BG112" i="18"/>
  <c r="BF112" i="18"/>
  <c r="BE112" i="18"/>
  <c r="BD112" i="18"/>
  <c r="BC112" i="18"/>
  <c r="BB112" i="18"/>
  <c r="BA112" i="18"/>
  <c r="AZ112" i="18"/>
  <c r="AX112" i="18"/>
  <c r="AW112" i="18"/>
  <c r="AU112" i="18"/>
  <c r="AT112" i="18"/>
  <c r="AS112" i="18"/>
  <c r="AR112" i="18"/>
  <c r="AQ112" i="18"/>
  <c r="AP112" i="18"/>
  <c r="AO112" i="18"/>
  <c r="AN112" i="18"/>
  <c r="AM112" i="18"/>
  <c r="AL112" i="18"/>
  <c r="AK112" i="18"/>
  <c r="AJ112" i="18"/>
  <c r="AH112" i="18"/>
  <c r="AG112" i="18"/>
  <c r="AE112" i="18"/>
  <c r="AD112" i="18"/>
  <c r="AC112" i="18"/>
  <c r="AA112" i="18"/>
  <c r="Z112" i="18"/>
  <c r="X112" i="18"/>
  <c r="W112" i="18"/>
  <c r="V112" i="18"/>
  <c r="P112" i="18"/>
  <c r="O112" i="18"/>
  <c r="N112" i="18"/>
  <c r="M112" i="18"/>
  <c r="AY110" i="18"/>
  <c r="AI110" i="18"/>
  <c r="AF110" i="18" s="1"/>
  <c r="AB110" i="18"/>
  <c r="Y110" i="18" s="1"/>
  <c r="U110" i="18"/>
  <c r="AY109" i="18"/>
  <c r="AV109" i="18" s="1"/>
  <c r="AI109" i="18"/>
  <c r="AF109" i="18" s="1"/>
  <c r="AB109" i="18"/>
  <c r="Y109" i="18" s="1"/>
  <c r="U109" i="18"/>
  <c r="AY108" i="18"/>
  <c r="AV108" i="18" s="1"/>
  <c r="AI108" i="18"/>
  <c r="AF108" i="18" s="1"/>
  <c r="AB108" i="18"/>
  <c r="Y108" i="18" s="1"/>
  <c r="U108" i="18"/>
  <c r="AY107" i="18"/>
  <c r="AV107" i="18" s="1"/>
  <c r="AI107" i="18"/>
  <c r="AF107" i="18" s="1"/>
  <c r="AB107" i="18"/>
  <c r="Y107" i="18" s="1"/>
  <c r="U107" i="18"/>
  <c r="AY106" i="18"/>
  <c r="AV106" i="18" s="1"/>
  <c r="AI106" i="18"/>
  <c r="AF106" i="18" s="1"/>
  <c r="AB106" i="18"/>
  <c r="Y106" i="18" s="1"/>
  <c r="U106" i="18"/>
  <c r="AY105" i="18"/>
  <c r="AV105" i="18" s="1"/>
  <c r="AI105" i="18"/>
  <c r="AF105" i="18" s="1"/>
  <c r="AB105" i="18"/>
  <c r="Y105" i="18" s="1"/>
  <c r="U105" i="18"/>
  <c r="AY104" i="18"/>
  <c r="AV104" i="18" s="1"/>
  <c r="AI104" i="18"/>
  <c r="AB104" i="18"/>
  <c r="U104" i="18"/>
  <c r="AY103" i="18"/>
  <c r="AV103" i="18" s="1"/>
  <c r="AI103" i="18"/>
  <c r="AF103" i="18" s="1"/>
  <c r="AB103" i="18"/>
  <c r="Y103" i="18" s="1"/>
  <c r="U103" i="18"/>
  <c r="BY102" i="18"/>
  <c r="BW102" i="18"/>
  <c r="BV102" i="18"/>
  <c r="BU102" i="18"/>
  <c r="BT102" i="18"/>
  <c r="BS102" i="18"/>
  <c r="BR102" i="18"/>
  <c r="BQ102" i="18"/>
  <c r="BP102" i="18"/>
  <c r="BO102" i="18"/>
  <c r="BN102" i="18"/>
  <c r="BM102" i="18"/>
  <c r="BL102" i="18"/>
  <c r="BK102" i="18"/>
  <c r="BJ102" i="18"/>
  <c r="BI102" i="18"/>
  <c r="BH102" i="18"/>
  <c r="BG102" i="18"/>
  <c r="BF102" i="18"/>
  <c r="BE102" i="18"/>
  <c r="BD102" i="18"/>
  <c r="BC102" i="18"/>
  <c r="BB102" i="18"/>
  <c r="BA102" i="18"/>
  <c r="AZ102" i="18"/>
  <c r="AX102" i="18"/>
  <c r="AW102" i="18"/>
  <c r="AU102" i="18"/>
  <c r="AT102" i="18"/>
  <c r="AS102" i="18"/>
  <c r="AR102" i="18"/>
  <c r="AQ102" i="18"/>
  <c r="AP102" i="18"/>
  <c r="AO102" i="18"/>
  <c r="AN102" i="18"/>
  <c r="AM102" i="18"/>
  <c r="AL102" i="18"/>
  <c r="AK102" i="18"/>
  <c r="AJ102" i="18"/>
  <c r="AH102" i="18"/>
  <c r="AG102" i="18"/>
  <c r="AE102" i="18"/>
  <c r="AD102" i="18"/>
  <c r="AC102" i="18"/>
  <c r="AA102" i="18"/>
  <c r="Z102" i="18"/>
  <c r="X102" i="18"/>
  <c r="W102" i="18"/>
  <c r="V102" i="18"/>
  <c r="T102" i="18"/>
  <c r="S102" i="18"/>
  <c r="R102" i="18"/>
  <c r="Q102" i="18"/>
  <c r="P102" i="18"/>
  <c r="O102" i="18"/>
  <c r="N102" i="18"/>
  <c r="M102" i="18"/>
  <c r="H102" i="18"/>
  <c r="AY101" i="18"/>
  <c r="AV101" i="18" s="1"/>
  <c r="AI101" i="18"/>
  <c r="AF101" i="18" s="1"/>
  <c r="AB101" i="18"/>
  <c r="Y101" i="18" s="1"/>
  <c r="U101" i="18"/>
  <c r="AY100" i="18"/>
  <c r="AV100" i="18" s="1"/>
  <c r="AI100" i="18"/>
  <c r="AF100" i="18" s="1"/>
  <c r="AB100" i="18"/>
  <c r="Y100" i="18" s="1"/>
  <c r="U100" i="18"/>
  <c r="AY99" i="18"/>
  <c r="AV99" i="18" s="1"/>
  <c r="AI99" i="18"/>
  <c r="AF99" i="18" s="1"/>
  <c r="AB99" i="18"/>
  <c r="Y99" i="18" s="1"/>
  <c r="U99" i="18"/>
  <c r="AY98" i="18"/>
  <c r="AV98" i="18" s="1"/>
  <c r="AI98" i="18"/>
  <c r="AF98" i="18" s="1"/>
  <c r="AB98" i="18"/>
  <c r="Y98" i="18" s="1"/>
  <c r="U98" i="18"/>
  <c r="AY97" i="18"/>
  <c r="AV97" i="18" s="1"/>
  <c r="AI97" i="18"/>
  <c r="AF97" i="18" s="1"/>
  <c r="AB97" i="18"/>
  <c r="Y97" i="18" s="1"/>
  <c r="U97" i="18"/>
  <c r="AY96" i="18"/>
  <c r="AV96" i="18" s="1"/>
  <c r="AI96" i="18"/>
  <c r="AF96" i="18" s="1"/>
  <c r="AB96" i="18"/>
  <c r="Y96" i="18" s="1"/>
  <c r="U96" i="18"/>
  <c r="BY95" i="18"/>
  <c r="BW95" i="18"/>
  <c r="BV95" i="18"/>
  <c r="BU95" i="18"/>
  <c r="BT95" i="18"/>
  <c r="BS95" i="18"/>
  <c r="BR95" i="18"/>
  <c r="BQ95" i="18"/>
  <c r="BP95" i="18"/>
  <c r="BO95" i="18"/>
  <c r="BN95" i="18"/>
  <c r="BM95" i="18"/>
  <c r="BL95" i="18"/>
  <c r="BK95" i="18"/>
  <c r="BJ95" i="18"/>
  <c r="BI95" i="18"/>
  <c r="BH95" i="18"/>
  <c r="BG95" i="18"/>
  <c r="BF95" i="18"/>
  <c r="BE95" i="18"/>
  <c r="BD95" i="18"/>
  <c r="BC95" i="18"/>
  <c r="BB95" i="18"/>
  <c r="BA95" i="18"/>
  <c r="AZ95" i="18"/>
  <c r="AX95" i="18"/>
  <c r="AW95" i="18"/>
  <c r="AU95" i="18"/>
  <c r="AT95" i="18"/>
  <c r="AS95" i="18"/>
  <c r="AR95" i="18"/>
  <c r="AQ95" i="18"/>
  <c r="AP95" i="18"/>
  <c r="AO95" i="18"/>
  <c r="AN95" i="18"/>
  <c r="AM95" i="18"/>
  <c r="AL95" i="18"/>
  <c r="AK95" i="18"/>
  <c r="AJ95" i="18"/>
  <c r="AH95" i="18"/>
  <c r="AG95" i="18"/>
  <c r="AE95" i="18"/>
  <c r="AD95" i="18"/>
  <c r="AC95" i="18"/>
  <c r="AA95" i="18"/>
  <c r="Z95" i="18"/>
  <c r="X95" i="18"/>
  <c r="W95" i="18"/>
  <c r="V95" i="18"/>
  <c r="T95" i="18"/>
  <c r="S95" i="18"/>
  <c r="R95" i="18"/>
  <c r="Q95" i="18"/>
  <c r="P95" i="18"/>
  <c r="O95" i="18"/>
  <c r="N95" i="18"/>
  <c r="M95" i="18"/>
  <c r="H95" i="18"/>
  <c r="AY94" i="18"/>
  <c r="AI94" i="18"/>
  <c r="AF94" i="18" s="1"/>
  <c r="AB94" i="18"/>
  <c r="Y94" i="18" s="1"/>
  <c r="U94" i="18"/>
  <c r="AY93" i="18"/>
  <c r="AV93" i="18" s="1"/>
  <c r="AI93" i="18"/>
  <c r="AF93" i="18" s="1"/>
  <c r="AB93" i="18"/>
  <c r="Y93" i="18" s="1"/>
  <c r="U93" i="18"/>
  <c r="AY92" i="18"/>
  <c r="AV92" i="18" s="1"/>
  <c r="AI92" i="18"/>
  <c r="AF92" i="18" s="1"/>
  <c r="AB92" i="18"/>
  <c r="Y92" i="18" s="1"/>
  <c r="U92" i="18"/>
  <c r="BY91" i="18"/>
  <c r="BW91" i="18"/>
  <c r="BV91" i="18"/>
  <c r="BU91" i="18"/>
  <c r="BT91" i="18"/>
  <c r="BS91" i="18"/>
  <c r="BR91" i="18"/>
  <c r="BQ91" i="18"/>
  <c r="BP91" i="18"/>
  <c r="BO91" i="18"/>
  <c r="BN91" i="18"/>
  <c r="BM91" i="18"/>
  <c r="BL91" i="18"/>
  <c r="BK91" i="18"/>
  <c r="BJ91" i="18"/>
  <c r="BI91" i="18"/>
  <c r="BH91" i="18"/>
  <c r="BG91" i="18"/>
  <c r="BF91" i="18"/>
  <c r="BE91" i="18"/>
  <c r="BD91" i="18"/>
  <c r="BC91" i="18"/>
  <c r="BB91" i="18"/>
  <c r="BA91" i="18"/>
  <c r="AZ91" i="18"/>
  <c r="AX91" i="18"/>
  <c r="AW91" i="18"/>
  <c r="AU91" i="18"/>
  <c r="AT91" i="18"/>
  <c r="AS91" i="18"/>
  <c r="AR91" i="18"/>
  <c r="AQ91" i="18"/>
  <c r="AP91" i="18"/>
  <c r="AO91" i="18"/>
  <c r="AN91" i="18"/>
  <c r="AM91" i="18"/>
  <c r="AL91" i="18"/>
  <c r="AK91" i="18"/>
  <c r="AJ91" i="18"/>
  <c r="AH91" i="18"/>
  <c r="AG91" i="18"/>
  <c r="AE91" i="18"/>
  <c r="AD91" i="18"/>
  <c r="AC91" i="18"/>
  <c r="AA91" i="18"/>
  <c r="Z91" i="18"/>
  <c r="X91" i="18"/>
  <c r="W91" i="18"/>
  <c r="V91" i="18"/>
  <c r="T91" i="18"/>
  <c r="S91" i="18"/>
  <c r="R91" i="18"/>
  <c r="Q91" i="18"/>
  <c r="P91" i="18"/>
  <c r="O91" i="18"/>
  <c r="N91" i="18"/>
  <c r="M91" i="18"/>
  <c r="H91" i="18"/>
  <c r="AY89" i="18"/>
  <c r="AV89" i="18" s="1"/>
  <c r="AI89" i="18"/>
  <c r="AF89" i="18" s="1"/>
  <c r="AB89" i="18"/>
  <c r="Y89" i="18" s="1"/>
  <c r="U89" i="18"/>
  <c r="AY88" i="18"/>
  <c r="AV88" i="18" s="1"/>
  <c r="AI88" i="18"/>
  <c r="AF88" i="18" s="1"/>
  <c r="AB88" i="18"/>
  <c r="Y88" i="18" s="1"/>
  <c r="U88" i="18"/>
  <c r="AY87" i="18"/>
  <c r="AV87" i="18" s="1"/>
  <c r="AI87" i="18"/>
  <c r="AF87" i="18" s="1"/>
  <c r="AB87" i="18"/>
  <c r="Y87" i="18" s="1"/>
  <c r="U87" i="18"/>
  <c r="AY86" i="18"/>
  <c r="AV86" i="18" s="1"/>
  <c r="AI86" i="18"/>
  <c r="AF86" i="18" s="1"/>
  <c r="AB86" i="18"/>
  <c r="Y86" i="18" s="1"/>
  <c r="U86" i="18"/>
  <c r="AY85" i="18"/>
  <c r="AV85" i="18" s="1"/>
  <c r="AI85" i="18"/>
  <c r="AF85" i="18" s="1"/>
  <c r="AB85" i="18"/>
  <c r="Y85" i="18" s="1"/>
  <c r="U85" i="18"/>
  <c r="AY84" i="18"/>
  <c r="AV84" i="18" s="1"/>
  <c r="AI84" i="18"/>
  <c r="AF84" i="18" s="1"/>
  <c r="AB84" i="18"/>
  <c r="Y84" i="18" s="1"/>
  <c r="U84" i="18"/>
  <c r="AY83" i="18"/>
  <c r="AV83" i="18" s="1"/>
  <c r="AI83" i="18"/>
  <c r="AF83" i="18" s="1"/>
  <c r="AB83" i="18"/>
  <c r="Y83" i="18" s="1"/>
  <c r="U83" i="18"/>
  <c r="AY82" i="18"/>
  <c r="AV82" i="18" s="1"/>
  <c r="AI82" i="18"/>
  <c r="AF82" i="18" s="1"/>
  <c r="AB82" i="18"/>
  <c r="Y82" i="18" s="1"/>
  <c r="U82" i="18"/>
  <c r="BY81" i="18"/>
  <c r="BB81" i="18"/>
  <c r="BA81" i="18"/>
  <c r="AZ81" i="18"/>
  <c r="AX81" i="18"/>
  <c r="AW81" i="18"/>
  <c r="AU81" i="18"/>
  <c r="AT81" i="18"/>
  <c r="AS81" i="18"/>
  <c r="AR81" i="18"/>
  <c r="AQ81" i="18"/>
  <c r="AP81" i="18"/>
  <c r="AO81" i="18"/>
  <c r="AN81" i="18"/>
  <c r="AM81" i="18"/>
  <c r="AL81" i="18"/>
  <c r="AK81" i="18"/>
  <c r="AJ81" i="18"/>
  <c r="AH81" i="18"/>
  <c r="AG81" i="18"/>
  <c r="AE81" i="18"/>
  <c r="AD81" i="18"/>
  <c r="AC81" i="18"/>
  <c r="AA81" i="18"/>
  <c r="Z81" i="18"/>
  <c r="X81" i="18"/>
  <c r="W81" i="18"/>
  <c r="V81" i="18"/>
  <c r="T81" i="18"/>
  <c r="S81" i="18"/>
  <c r="R81" i="18"/>
  <c r="Q81" i="18"/>
  <c r="P81" i="18"/>
  <c r="O81" i="18"/>
  <c r="N81" i="18"/>
  <c r="M81" i="18"/>
  <c r="H81" i="18"/>
  <c r="H32" i="18" s="1"/>
  <c r="AY80" i="18"/>
  <c r="AV80" i="18" s="1"/>
  <c r="AI80" i="18"/>
  <c r="AF80" i="18" s="1"/>
  <c r="AB80" i="18"/>
  <c r="Y80" i="18" s="1"/>
  <c r="U80" i="18"/>
  <c r="AY79" i="18"/>
  <c r="AV79" i="18" s="1"/>
  <c r="AI79" i="18"/>
  <c r="AF79" i="18" s="1"/>
  <c r="AB79" i="18"/>
  <c r="Y79" i="18" s="1"/>
  <c r="U79" i="18"/>
  <c r="AY78" i="18"/>
  <c r="AV78" i="18" s="1"/>
  <c r="AI78" i="18"/>
  <c r="AF78" i="18" s="1"/>
  <c r="AB78" i="18"/>
  <c r="Y78" i="18" s="1"/>
  <c r="U78" i="18"/>
  <c r="AY77" i="18"/>
  <c r="AV77" i="18" s="1"/>
  <c r="AI77" i="18"/>
  <c r="AF77" i="18" s="1"/>
  <c r="AB77" i="18"/>
  <c r="Y77" i="18" s="1"/>
  <c r="U77" i="18"/>
  <c r="AY76" i="18"/>
  <c r="AV76" i="18" s="1"/>
  <c r="AI76" i="18"/>
  <c r="AF76" i="18" s="1"/>
  <c r="AB76" i="18"/>
  <c r="Y76" i="18" s="1"/>
  <c r="U76" i="18"/>
  <c r="AY75" i="18"/>
  <c r="AV75" i="18" s="1"/>
  <c r="AI75" i="18"/>
  <c r="AF75" i="18" s="1"/>
  <c r="AB75" i="18"/>
  <c r="Y75" i="18" s="1"/>
  <c r="U75" i="18"/>
  <c r="AY74" i="18"/>
  <c r="AV74" i="18" s="1"/>
  <c r="AI74" i="18"/>
  <c r="AF74" i="18" s="1"/>
  <c r="AB74" i="18"/>
  <c r="Y74" i="18" s="1"/>
  <c r="U74" i="18"/>
  <c r="BT73" i="18"/>
  <c r="BT32" i="18" s="1"/>
  <c r="BT21" i="18" s="1"/>
  <c r="AY73" i="18"/>
  <c r="AV73" i="18" s="1"/>
  <c r="AI73" i="18"/>
  <c r="AF73" i="18" s="1"/>
  <c r="AB73" i="18"/>
  <c r="Y73" i="18" s="1"/>
  <c r="U73" i="18"/>
  <c r="AY72" i="18"/>
  <c r="AV72" i="18" s="1"/>
  <c r="AI72" i="18"/>
  <c r="AF72" i="18" s="1"/>
  <c r="AB72" i="18"/>
  <c r="Y72" i="18" s="1"/>
  <c r="U72" i="18"/>
  <c r="AY71" i="18"/>
  <c r="AV71" i="18" s="1"/>
  <c r="AI71" i="18"/>
  <c r="AF71" i="18" s="1"/>
  <c r="AB71" i="18"/>
  <c r="Y71" i="18" s="1"/>
  <c r="U71" i="18"/>
  <c r="AY70" i="18"/>
  <c r="AV70" i="18" s="1"/>
  <c r="AI70" i="18"/>
  <c r="AF70" i="18" s="1"/>
  <c r="AB70" i="18"/>
  <c r="Y70" i="18" s="1"/>
  <c r="U70" i="18"/>
  <c r="AY69" i="18"/>
  <c r="AV69" i="18" s="1"/>
  <c r="AI69" i="18"/>
  <c r="AF69" i="18" s="1"/>
  <c r="AB69" i="18"/>
  <c r="Y69" i="18" s="1"/>
  <c r="U69" i="18"/>
  <c r="AY68" i="18"/>
  <c r="AV68" i="18" s="1"/>
  <c r="AI68" i="18"/>
  <c r="AF68" i="18" s="1"/>
  <c r="AB68" i="18"/>
  <c r="Y68" i="18" s="1"/>
  <c r="U68" i="18"/>
  <c r="AY67" i="18"/>
  <c r="AV67" i="18" s="1"/>
  <c r="AI67" i="18"/>
  <c r="AF67" i="18" s="1"/>
  <c r="AB67" i="18"/>
  <c r="Y67" i="18" s="1"/>
  <c r="U67" i="18"/>
  <c r="AY66" i="18"/>
  <c r="AV66" i="18" s="1"/>
  <c r="AI66" i="18"/>
  <c r="AF66" i="18" s="1"/>
  <c r="AB66" i="18"/>
  <c r="Y66" i="18" s="1"/>
  <c r="U66" i="18"/>
  <c r="AY65" i="18"/>
  <c r="AV65" i="18" s="1"/>
  <c r="AI65" i="18"/>
  <c r="AF65" i="18" s="1"/>
  <c r="AB65" i="18"/>
  <c r="Y65" i="18" s="1"/>
  <c r="U65" i="18"/>
  <c r="AY64" i="18"/>
  <c r="AV64" i="18" s="1"/>
  <c r="AI64" i="18"/>
  <c r="AF64" i="18" s="1"/>
  <c r="AB64" i="18"/>
  <c r="Y64" i="18" s="1"/>
  <c r="U64" i="18"/>
  <c r="AY63" i="18"/>
  <c r="AV63" i="18" s="1"/>
  <c r="AI63" i="18"/>
  <c r="AF63" i="18" s="1"/>
  <c r="AB63" i="18"/>
  <c r="Y63" i="18" s="1"/>
  <c r="U63" i="18"/>
  <c r="AY62" i="18"/>
  <c r="AV62" i="18" s="1"/>
  <c r="AI62" i="18"/>
  <c r="AF62" i="18" s="1"/>
  <c r="AB62" i="18"/>
  <c r="Y62" i="18" s="1"/>
  <c r="U62" i="18"/>
  <c r="AY61" i="18"/>
  <c r="AV61" i="18" s="1"/>
  <c r="AI61" i="18"/>
  <c r="AF61" i="18" s="1"/>
  <c r="AB61" i="18"/>
  <c r="Y61" i="18" s="1"/>
  <c r="U61" i="18"/>
  <c r="AY60" i="18"/>
  <c r="AV60" i="18" s="1"/>
  <c r="AI60" i="18"/>
  <c r="AF60" i="18" s="1"/>
  <c r="AB60" i="18"/>
  <c r="Y60" i="18" s="1"/>
  <c r="U60" i="18"/>
  <c r="AY59" i="18"/>
  <c r="AV59" i="18" s="1"/>
  <c r="AI59" i="18"/>
  <c r="AF59" i="18" s="1"/>
  <c r="AB59" i="18"/>
  <c r="Y59" i="18" s="1"/>
  <c r="U59" i="18"/>
  <c r="AY58" i="18"/>
  <c r="AV58" i="18" s="1"/>
  <c r="AI58" i="18"/>
  <c r="AF58" i="18" s="1"/>
  <c r="AB58" i="18"/>
  <c r="Y58" i="18" s="1"/>
  <c r="U58" i="18"/>
  <c r="AY57" i="18"/>
  <c r="AV57" i="18" s="1"/>
  <c r="AI57" i="18"/>
  <c r="AF57" i="18" s="1"/>
  <c r="AB57" i="18"/>
  <c r="Y57" i="18" s="1"/>
  <c r="U57" i="18"/>
  <c r="AY56" i="18"/>
  <c r="AV56" i="18" s="1"/>
  <c r="AI56" i="18"/>
  <c r="AF56" i="18" s="1"/>
  <c r="AB56" i="18"/>
  <c r="Y56" i="18" s="1"/>
  <c r="U56" i="18"/>
  <c r="AY55" i="18"/>
  <c r="AV55" i="18" s="1"/>
  <c r="AI55" i="18"/>
  <c r="AF55" i="18" s="1"/>
  <c r="AB55" i="18"/>
  <c r="Y55" i="18" s="1"/>
  <c r="U55" i="18"/>
  <c r="AY54" i="18"/>
  <c r="AV54" i="18" s="1"/>
  <c r="AI54" i="18"/>
  <c r="AF54" i="18" s="1"/>
  <c r="AB54" i="18"/>
  <c r="Y54" i="18" s="1"/>
  <c r="U54" i="18"/>
  <c r="AY53" i="18"/>
  <c r="AV53" i="18" s="1"/>
  <c r="AI53" i="18"/>
  <c r="AF53" i="18" s="1"/>
  <c r="AB53" i="18"/>
  <c r="Y53" i="18" s="1"/>
  <c r="U53" i="18"/>
  <c r="AY52" i="18"/>
  <c r="AV52" i="18" s="1"/>
  <c r="AI52" i="18"/>
  <c r="AF52" i="18" s="1"/>
  <c r="AB52" i="18"/>
  <c r="Y52" i="18" s="1"/>
  <c r="U52" i="18"/>
  <c r="AY51" i="18"/>
  <c r="AV51" i="18" s="1"/>
  <c r="AI51" i="18"/>
  <c r="AF51" i="18" s="1"/>
  <c r="AB51" i="18"/>
  <c r="Y51" i="18" s="1"/>
  <c r="U51" i="18"/>
  <c r="AY50" i="18"/>
  <c r="AV50" i="18" s="1"/>
  <c r="AI50" i="18"/>
  <c r="AF50" i="18" s="1"/>
  <c r="AB50" i="18"/>
  <c r="Y50" i="18" s="1"/>
  <c r="U50" i="18"/>
  <c r="AY49" i="18"/>
  <c r="AV49" i="18" s="1"/>
  <c r="AI49" i="18"/>
  <c r="AF49" i="18" s="1"/>
  <c r="AB49" i="18"/>
  <c r="Y49" i="18" s="1"/>
  <c r="U49" i="18"/>
  <c r="AY48" i="18"/>
  <c r="AV48" i="18" s="1"/>
  <c r="AI48" i="18"/>
  <c r="AF48" i="18" s="1"/>
  <c r="AB48" i="18"/>
  <c r="Y48" i="18" s="1"/>
  <c r="U48" i="18"/>
  <c r="AY47" i="18"/>
  <c r="AV47" i="18" s="1"/>
  <c r="AI47" i="18"/>
  <c r="AF47" i="18" s="1"/>
  <c r="AB47" i="18"/>
  <c r="Y47" i="18" s="1"/>
  <c r="U47" i="18"/>
  <c r="AY46" i="18"/>
  <c r="AV46" i="18" s="1"/>
  <c r="AI46" i="18"/>
  <c r="AF46" i="18" s="1"/>
  <c r="AB46" i="18"/>
  <c r="Y46" i="18" s="1"/>
  <c r="U46" i="18"/>
  <c r="AY45" i="18"/>
  <c r="AV45" i="18" s="1"/>
  <c r="AI45" i="18"/>
  <c r="AF45" i="18" s="1"/>
  <c r="AB45" i="18"/>
  <c r="Y45" i="18" s="1"/>
  <c r="U45" i="18"/>
  <c r="AY44" i="18"/>
  <c r="AV44" i="18" s="1"/>
  <c r="AI44" i="18"/>
  <c r="AF44" i="18" s="1"/>
  <c r="AB44" i="18"/>
  <c r="Y44" i="18" s="1"/>
  <c r="U44" i="18"/>
  <c r="AY43" i="18"/>
  <c r="AV43" i="18" s="1"/>
  <c r="AI43" i="18"/>
  <c r="AF43" i="18" s="1"/>
  <c r="AB43" i="18"/>
  <c r="Y43" i="18" s="1"/>
  <c r="U43" i="18"/>
  <c r="AY42" i="18"/>
  <c r="AV42" i="18" s="1"/>
  <c r="AI42" i="18"/>
  <c r="AF42" i="18" s="1"/>
  <c r="AB42" i="18"/>
  <c r="Y42" i="18" s="1"/>
  <c r="U42" i="18"/>
  <c r="AY41" i="18"/>
  <c r="AV41" i="18" s="1"/>
  <c r="AI41" i="18"/>
  <c r="AF41" i="18" s="1"/>
  <c r="AB41" i="18"/>
  <c r="Y41" i="18" s="1"/>
  <c r="U41" i="18"/>
  <c r="AY40" i="18"/>
  <c r="AV40" i="18" s="1"/>
  <c r="AI40" i="18"/>
  <c r="AF40" i="18" s="1"/>
  <c r="AB40" i="18"/>
  <c r="Y40" i="18" s="1"/>
  <c r="U40" i="18"/>
  <c r="AY39" i="18"/>
  <c r="AV39" i="18" s="1"/>
  <c r="AI39" i="18"/>
  <c r="AF39" i="18" s="1"/>
  <c r="AB39" i="18"/>
  <c r="U39" i="18"/>
  <c r="AY38" i="18"/>
  <c r="AV38" i="18" s="1"/>
  <c r="AI38" i="18"/>
  <c r="AF38" i="18" s="1"/>
  <c r="AB38" i="18"/>
  <c r="Y38" i="18" s="1"/>
  <c r="U38" i="18"/>
  <c r="AY37" i="18"/>
  <c r="AV37" i="18" s="1"/>
  <c r="AI37" i="18"/>
  <c r="AF37" i="18" s="1"/>
  <c r="AB37" i="18"/>
  <c r="Y37" i="18" s="1"/>
  <c r="U37" i="18"/>
  <c r="AY36" i="18"/>
  <c r="AV36" i="18" s="1"/>
  <c r="AI36" i="18"/>
  <c r="AF36" i="18" s="1"/>
  <c r="AB36" i="18"/>
  <c r="Y36" i="18" s="1"/>
  <c r="U36" i="18"/>
  <c r="AY35" i="18"/>
  <c r="AI35" i="18"/>
  <c r="AF35" i="18" s="1"/>
  <c r="AB35" i="18"/>
  <c r="Y35" i="18" s="1"/>
  <c r="U35" i="18"/>
  <c r="AY34" i="18"/>
  <c r="AV34" i="18" s="1"/>
  <c r="AI34" i="18"/>
  <c r="AF34" i="18" s="1"/>
  <c r="AB34" i="18"/>
  <c r="Y34" i="18" s="1"/>
  <c r="U34" i="18"/>
  <c r="AY33" i="18"/>
  <c r="AV33" i="18" s="1"/>
  <c r="AI33" i="18"/>
  <c r="AF33" i="18" s="1"/>
  <c r="AB33" i="18"/>
  <c r="Y33" i="18" s="1"/>
  <c r="U33" i="18"/>
  <c r="BY32" i="18"/>
  <c r="BB32" i="18"/>
  <c r="BA32" i="18"/>
  <c r="AZ32" i="18"/>
  <c r="AX32" i="18"/>
  <c r="AW32" i="18"/>
  <c r="AU32" i="18"/>
  <c r="AT32" i="18"/>
  <c r="AS32" i="18"/>
  <c r="AR32" i="18"/>
  <c r="AQ32" i="18"/>
  <c r="AP32" i="18"/>
  <c r="AO32" i="18"/>
  <c r="AN32" i="18"/>
  <c r="AM32" i="18"/>
  <c r="AL32" i="18"/>
  <c r="AK32" i="18"/>
  <c r="AJ32" i="18"/>
  <c r="AH32" i="18"/>
  <c r="AG32" i="18"/>
  <c r="AE32" i="18"/>
  <c r="AD32" i="18"/>
  <c r="AC32" i="18"/>
  <c r="AA32" i="18"/>
  <c r="Z32" i="18"/>
  <c r="X32" i="18"/>
  <c r="W32" i="18"/>
  <c r="V32" i="18"/>
  <c r="T32" i="18"/>
  <c r="S32" i="18"/>
  <c r="R32" i="18"/>
  <c r="Q32" i="18"/>
  <c r="P32" i="18"/>
  <c r="O32" i="18"/>
  <c r="N32" i="18"/>
  <c r="M32" i="18"/>
  <c r="AY31" i="18"/>
  <c r="AV31" i="18" s="1"/>
  <c r="AI31" i="18"/>
  <c r="AF31" i="18" s="1"/>
  <c r="AB31" i="18"/>
  <c r="Y31" i="18" s="1"/>
  <c r="U31" i="18"/>
  <c r="AY30" i="18"/>
  <c r="AV30" i="18" s="1"/>
  <c r="AI30" i="18"/>
  <c r="AF30" i="18" s="1"/>
  <c r="AB30" i="18"/>
  <c r="Y30" i="18" s="1"/>
  <c r="U30" i="18"/>
  <c r="AY29" i="18"/>
  <c r="AV29" i="18" s="1"/>
  <c r="AI29" i="18"/>
  <c r="AF29" i="18" s="1"/>
  <c r="AB29" i="18"/>
  <c r="Y29" i="18" s="1"/>
  <c r="U29" i="18"/>
  <c r="AY28" i="18"/>
  <c r="AV28" i="18" s="1"/>
  <c r="AI28" i="18"/>
  <c r="AF28" i="18" s="1"/>
  <c r="AB28" i="18"/>
  <c r="Y28" i="18" s="1"/>
  <c r="U28" i="18"/>
  <c r="AY27" i="18"/>
  <c r="AV27" i="18" s="1"/>
  <c r="AI27" i="18"/>
  <c r="AF27" i="18" s="1"/>
  <c r="AB27" i="18"/>
  <c r="Y27" i="18" s="1"/>
  <c r="U27" i="18"/>
  <c r="AY26" i="18"/>
  <c r="AV26" i="18" s="1"/>
  <c r="AI26" i="18"/>
  <c r="AF26" i="18" s="1"/>
  <c r="AB26" i="18"/>
  <c r="Y26" i="18" s="1"/>
  <c r="U26" i="18"/>
  <c r="AY25" i="18"/>
  <c r="AV25" i="18" s="1"/>
  <c r="AI25" i="18"/>
  <c r="AF25" i="18" s="1"/>
  <c r="AB25" i="18"/>
  <c r="U25" i="18"/>
  <c r="AY24" i="18"/>
  <c r="AV24" i="18" s="1"/>
  <c r="AI24" i="18"/>
  <c r="AF24" i="18" s="1"/>
  <c r="AB24" i="18"/>
  <c r="Y24" i="18" s="1"/>
  <c r="U24" i="18"/>
  <c r="AY23" i="18"/>
  <c r="AV23" i="18" s="1"/>
  <c r="AI23" i="18"/>
  <c r="AF23" i="18" s="1"/>
  <c r="AB23" i="18"/>
  <c r="Y23" i="18" s="1"/>
  <c r="U23" i="18"/>
  <c r="M23" i="18"/>
  <c r="M22" i="18" s="1"/>
  <c r="BY22" i="18"/>
  <c r="BB22" i="18"/>
  <c r="BA22" i="18"/>
  <c r="AZ22" i="18"/>
  <c r="AX22" i="18"/>
  <c r="AW22" i="18"/>
  <c r="AU22" i="18"/>
  <c r="AT22" i="18"/>
  <c r="AS22" i="18"/>
  <c r="AR22" i="18"/>
  <c r="AQ22" i="18"/>
  <c r="AP22" i="18"/>
  <c r="AO22" i="18"/>
  <c r="AN22" i="18"/>
  <c r="AM22" i="18"/>
  <c r="AL22" i="18"/>
  <c r="AK22" i="18"/>
  <c r="AJ22" i="18"/>
  <c r="AH22" i="18"/>
  <c r="AG22" i="18"/>
  <c r="AE22" i="18"/>
  <c r="AD22" i="18"/>
  <c r="AC22" i="18"/>
  <c r="AA22" i="18"/>
  <c r="Z22" i="18"/>
  <c r="X22" i="18"/>
  <c r="W22" i="18"/>
  <c r="V22" i="18"/>
  <c r="T22" i="18"/>
  <c r="S22" i="18"/>
  <c r="R22" i="18"/>
  <c r="Q22" i="18"/>
  <c r="P22" i="18"/>
  <c r="O22" i="18"/>
  <c r="N22" i="18"/>
  <c r="H22" i="18"/>
  <c r="BF18" i="18"/>
  <c r="AY18" i="18"/>
  <c r="AV18" i="18" s="1"/>
  <c r="AP18" i="18"/>
  <c r="AM18" i="18" s="1"/>
  <c r="AI18" i="18"/>
  <c r="AF18" i="18" s="1"/>
  <c r="AB18" i="18"/>
  <c r="Y18" i="18" s="1"/>
  <c r="BF17" i="18"/>
  <c r="AY17" i="18"/>
  <c r="AV17" i="18" s="1"/>
  <c r="AP17" i="18"/>
  <c r="AM17" i="18" s="1"/>
  <c r="AI17" i="18"/>
  <c r="AB17" i="18"/>
  <c r="BY16" i="18"/>
  <c r="BB16" i="18"/>
  <c r="BA16" i="18"/>
  <c r="AZ16" i="18"/>
  <c r="AX16" i="18"/>
  <c r="AW16" i="18"/>
  <c r="AU16" i="18"/>
  <c r="AT16" i="18"/>
  <c r="AS16" i="18"/>
  <c r="AR16" i="18"/>
  <c r="AQ16" i="18"/>
  <c r="AO16" i="18"/>
  <c r="AN16" i="18"/>
  <c r="AL16" i="18"/>
  <c r="AK16" i="18"/>
  <c r="AJ16" i="18"/>
  <c r="AH16" i="18"/>
  <c r="AG16" i="18"/>
  <c r="AE16" i="18"/>
  <c r="AD16" i="18"/>
  <c r="AC16" i="18"/>
  <c r="AA16" i="18"/>
  <c r="Z16" i="18"/>
  <c r="BL90" i="18" l="1"/>
  <c r="BO90" i="18"/>
  <c r="BV111" i="18"/>
  <c r="BT90" i="18"/>
  <c r="BF111" i="18"/>
  <c r="BJ111" i="18"/>
  <c r="BH90" i="18"/>
  <c r="BK111" i="18"/>
  <c r="BD90" i="18"/>
  <c r="T241" i="18"/>
  <c r="BU214" i="18"/>
  <c r="AM214" i="18"/>
  <c r="BR111" i="18"/>
  <c r="BP90" i="18"/>
  <c r="BW214" i="18"/>
  <c r="BC90" i="18"/>
  <c r="BW111" i="18"/>
  <c r="BF90" i="18"/>
  <c r="BJ90" i="18"/>
  <c r="BN90" i="18"/>
  <c r="BR90" i="18"/>
  <c r="BV90" i="18"/>
  <c r="BE111" i="18"/>
  <c r="BI111" i="18"/>
  <c r="BQ111" i="18"/>
  <c r="BU111" i="18"/>
  <c r="AM90" i="18"/>
  <c r="BM90" i="18"/>
  <c r="BH111" i="18"/>
  <c r="BT111" i="18"/>
  <c r="BG111" i="18"/>
  <c r="BS111" i="18"/>
  <c r="BE90" i="18"/>
  <c r="BQ90" i="18"/>
  <c r="M111" i="18"/>
  <c r="BG90" i="18"/>
  <c r="BS90" i="18"/>
  <c r="BI90" i="18"/>
  <c r="BU90" i="18"/>
  <c r="BL111" i="18"/>
  <c r="BC17" i="18"/>
  <c r="BF16" i="18"/>
  <c r="BM111" i="18"/>
  <c r="BK90" i="18"/>
  <c r="BW90" i="18"/>
  <c r="BN111" i="18"/>
  <c r="AZ21" i="18"/>
  <c r="BC111" i="18"/>
  <c r="BO111" i="18"/>
  <c r="BD111" i="18"/>
  <c r="BP111" i="18"/>
  <c r="AP162" i="18"/>
  <c r="V162" i="18"/>
  <c r="AL162" i="18"/>
  <c r="AH162" i="18"/>
  <c r="AA214" i="18"/>
  <c r="AE241" i="18"/>
  <c r="R241" i="18"/>
  <c r="AU21" i="18"/>
  <c r="AB215" i="18"/>
  <c r="Y215" i="18" s="1"/>
  <c r="Q111" i="18"/>
  <c r="AU214" i="18"/>
  <c r="BM214" i="18"/>
  <c r="BA214" i="18"/>
  <c r="AX162" i="18"/>
  <c r="AG241" i="18"/>
  <c r="BP241" i="18"/>
  <c r="BS241" i="18"/>
  <c r="AB242" i="18"/>
  <c r="BA241" i="18"/>
  <c r="BQ241" i="18"/>
  <c r="AH214" i="18"/>
  <c r="BY162" i="18"/>
  <c r="AP214" i="18"/>
  <c r="BI214" i="18"/>
  <c r="S214" i="18"/>
  <c r="W90" i="18"/>
  <c r="AQ90" i="18"/>
  <c r="AT90" i="18"/>
  <c r="AL21" i="18"/>
  <c r="AM21" i="18"/>
  <c r="X21" i="18"/>
  <c r="BA90" i="18"/>
  <c r="Z214" i="18"/>
  <c r="AX241" i="18"/>
  <c r="BB21" i="18"/>
  <c r="AL241" i="18"/>
  <c r="BD241" i="18"/>
  <c r="AB16" i="18"/>
  <c r="BB214" i="18"/>
  <c r="Z90" i="18"/>
  <c r="AK162" i="18"/>
  <c r="Y112" i="18"/>
  <c r="V111" i="18"/>
  <c r="AG162" i="18"/>
  <c r="T214" i="18"/>
  <c r="BJ241" i="18"/>
  <c r="AA111" i="18"/>
  <c r="H90" i="18"/>
  <c r="AG111" i="18"/>
  <c r="AL214" i="18"/>
  <c r="BC214" i="18"/>
  <c r="AN214" i="18"/>
  <c r="AX21" i="18"/>
  <c r="M162" i="18"/>
  <c r="AZ162" i="18"/>
  <c r="AO214" i="18"/>
  <c r="AH241" i="18"/>
  <c r="AS162" i="18"/>
  <c r="AI242" i="18"/>
  <c r="P162" i="18"/>
  <c r="AB91" i="18"/>
  <c r="BR241" i="18"/>
  <c r="Q241" i="18"/>
  <c r="AB102" i="18"/>
  <c r="BE241" i="18"/>
  <c r="S241" i="18"/>
  <c r="BV241" i="18"/>
  <c r="BG241" i="18"/>
  <c r="T21" i="18"/>
  <c r="AO21" i="18"/>
  <c r="AR111" i="18"/>
  <c r="S162" i="18"/>
  <c r="BF241" i="18"/>
  <c r="BC275" i="18"/>
  <c r="BC274" i="18" s="1"/>
  <c r="AM16" i="18"/>
  <c r="V21" i="18"/>
  <c r="BY21" i="18"/>
  <c r="R90" i="18"/>
  <c r="BA162" i="18"/>
  <c r="BT181" i="18"/>
  <c r="BT167" i="18" s="1"/>
  <c r="BT162" i="18" s="1"/>
  <c r="BK214" i="18"/>
  <c r="V241" i="18"/>
  <c r="Q162" i="18"/>
  <c r="AA241" i="18"/>
  <c r="Q90" i="18"/>
  <c r="AY215" i="18"/>
  <c r="AV215" i="18" s="1"/>
  <c r="BO214" i="18"/>
  <c r="AS241" i="18"/>
  <c r="AT241" i="18"/>
  <c r="AN90" i="18"/>
  <c r="AU162" i="18"/>
  <c r="AO162" i="18"/>
  <c r="BM241" i="18"/>
  <c r="Y17" i="18"/>
  <c r="Y16" i="18" s="1"/>
  <c r="AV268" i="18"/>
  <c r="BI241" i="18"/>
  <c r="BU241" i="18"/>
  <c r="AK241" i="18"/>
  <c r="AU241" i="18"/>
  <c r="AY242" i="18"/>
  <c r="W241" i="18"/>
  <c r="AB268" i="18"/>
  <c r="AN241" i="18"/>
  <c r="BG214" i="18"/>
  <c r="V214" i="18"/>
  <c r="AW214" i="18"/>
  <c r="AY234" i="18"/>
  <c r="AK214" i="18"/>
  <c r="BJ214" i="18"/>
  <c r="BV214" i="18"/>
  <c r="W162" i="18"/>
  <c r="AM162" i="18"/>
  <c r="U163" i="18"/>
  <c r="AY163" i="18"/>
  <c r="Z162" i="18"/>
  <c r="AD162" i="18"/>
  <c r="AR162" i="18"/>
  <c r="AC162" i="18"/>
  <c r="N162" i="18"/>
  <c r="AQ162" i="18"/>
  <c r="U112" i="18"/>
  <c r="W111" i="18"/>
  <c r="AN111" i="18"/>
  <c r="Z111" i="18"/>
  <c r="AO111" i="18"/>
  <c r="P111" i="18"/>
  <c r="Y104" i="18"/>
  <c r="Y102" i="18" s="1"/>
  <c r="AO90" i="18"/>
  <c r="AK90" i="18"/>
  <c r="AX90" i="18"/>
  <c r="M90" i="18"/>
  <c r="AA90" i="18"/>
  <c r="AF91" i="18"/>
  <c r="V90" i="18"/>
  <c r="AZ90" i="18"/>
  <c r="AH90" i="18"/>
  <c r="AU90" i="18"/>
  <c r="N90" i="18"/>
  <c r="P21" i="18"/>
  <c r="AY22" i="18"/>
  <c r="AG21" i="18"/>
  <c r="AK21" i="18"/>
  <c r="S21" i="18"/>
  <c r="AR21" i="18"/>
  <c r="AJ21" i="18"/>
  <c r="AP21" i="18"/>
  <c r="AI81" i="18"/>
  <c r="AQ21" i="18"/>
  <c r="AI167" i="18"/>
  <c r="AD21" i="18"/>
  <c r="AE21" i="18"/>
  <c r="AS21" i="18"/>
  <c r="U91" i="18"/>
  <c r="AE111" i="18"/>
  <c r="Y163" i="18"/>
  <c r="Q214" i="18"/>
  <c r="AT214" i="18"/>
  <c r="BS214" i="18"/>
  <c r="AR214" i="18"/>
  <c r="BF214" i="18"/>
  <c r="BR214" i="18"/>
  <c r="AI234" i="18"/>
  <c r="AM241" i="18"/>
  <c r="AZ241" i="18"/>
  <c r="BL241" i="18"/>
  <c r="BY241" i="18"/>
  <c r="AB167" i="18"/>
  <c r="R21" i="18"/>
  <c r="AH21" i="18"/>
  <c r="O90" i="18"/>
  <c r="T111" i="18"/>
  <c r="AK111" i="18"/>
  <c r="BA111" i="18"/>
  <c r="AA162" i="18"/>
  <c r="R162" i="18"/>
  <c r="R214" i="18"/>
  <c r="Y269" i="18"/>
  <c r="Y268" i="18" s="1"/>
  <c r="P90" i="18"/>
  <c r="AD90" i="18"/>
  <c r="AR90" i="18"/>
  <c r="AT111" i="18"/>
  <c r="AB112" i="18"/>
  <c r="AQ111" i="18"/>
  <c r="AT21" i="18"/>
  <c r="AY203" i="18"/>
  <c r="S90" i="18"/>
  <c r="AU111" i="18"/>
  <c r="AI112" i="18"/>
  <c r="O162" i="18"/>
  <c r="Z241" i="18"/>
  <c r="AO241" i="18"/>
  <c r="BC241" i="18"/>
  <c r="BO241" i="18"/>
  <c r="AI268" i="18"/>
  <c r="AP16" i="18"/>
  <c r="AV16" i="18"/>
  <c r="U95" i="18"/>
  <c r="AJ111" i="18"/>
  <c r="AW111" i="18"/>
  <c r="U217" i="18"/>
  <c r="AZ214" i="18"/>
  <c r="BL214" i="18"/>
  <c r="BY214" i="18"/>
  <c r="M241" i="18"/>
  <c r="Y91" i="18"/>
  <c r="AX111" i="18"/>
  <c r="BN214" i="18"/>
  <c r="W214" i="18"/>
  <c r="N241" i="18"/>
  <c r="AC241" i="18"/>
  <c r="AQ241" i="18"/>
  <c r="AR241" i="18"/>
  <c r="AY81" i="18"/>
  <c r="T90" i="18"/>
  <c r="O111" i="18"/>
  <c r="AI163" i="18"/>
  <c r="AB234" i="18"/>
  <c r="AJ241" i="18"/>
  <c r="O241" i="18"/>
  <c r="AD241" i="18"/>
  <c r="U268" i="18"/>
  <c r="AP90" i="18"/>
  <c r="S111" i="18"/>
  <c r="H162" i="18"/>
  <c r="H148" i="18" s="1"/>
  <c r="H125" i="18" s="1"/>
  <c r="N21" i="18"/>
  <c r="AC21" i="18"/>
  <c r="AE90" i="18"/>
  <c r="X90" i="18"/>
  <c r="AM111" i="18"/>
  <c r="N111" i="18"/>
  <c r="O214" i="18"/>
  <c r="M214" i="18"/>
  <c r="P241" i="18"/>
  <c r="BH241" i="18"/>
  <c r="BT241" i="18"/>
  <c r="AA21" i="18"/>
  <c r="H21" i="18"/>
  <c r="AN21" i="18"/>
  <c r="BA21" i="18"/>
  <c r="AL90" i="18"/>
  <c r="BY90" i="18"/>
  <c r="X111" i="18"/>
  <c r="T162" i="18"/>
  <c r="P214" i="18"/>
  <c r="AE214" i="18"/>
  <c r="AS214" i="18"/>
  <c r="N214" i="18"/>
  <c r="AC214" i="18"/>
  <c r="AQ214" i="18"/>
  <c r="BP214" i="18"/>
  <c r="AF235" i="18"/>
  <c r="AF234" i="18" s="1"/>
  <c r="BK241" i="18"/>
  <c r="BW241" i="18"/>
  <c r="AI32" i="18"/>
  <c r="U81" i="18"/>
  <c r="AV81" i="18"/>
  <c r="AF114" i="18"/>
  <c r="AF112" i="18" s="1"/>
  <c r="AF165" i="18"/>
  <c r="AF163" i="18" s="1"/>
  <c r="AL111" i="18"/>
  <c r="AY112" i="18"/>
  <c r="AV112" i="18"/>
  <c r="AI244" i="18"/>
  <c r="AF32" i="18"/>
  <c r="AF104" i="18"/>
  <c r="AF102" i="18" s="1"/>
  <c r="AI102" i="18"/>
  <c r="AZ111" i="18"/>
  <c r="BY111" i="18"/>
  <c r="AV244" i="18"/>
  <c r="AW21" i="18"/>
  <c r="AV171" i="18"/>
  <c r="AV167" i="18" s="1"/>
  <c r="AY167" i="18"/>
  <c r="W21" i="18"/>
  <c r="Z21" i="18"/>
  <c r="BB90" i="18"/>
  <c r="Y208" i="18"/>
  <c r="Y203" i="18" s="1"/>
  <c r="AB203" i="18"/>
  <c r="AX214" i="18"/>
  <c r="AW241" i="18"/>
  <c r="AC90" i="18"/>
  <c r="U102" i="18"/>
  <c r="AV149" i="18"/>
  <c r="AV148" i="18" s="1"/>
  <c r="AY148" i="18"/>
  <c r="AN162" i="18"/>
  <c r="BB162" i="18"/>
  <c r="U167" i="18"/>
  <c r="U203" i="18"/>
  <c r="X241" i="18"/>
  <c r="O21" i="18"/>
  <c r="AY95" i="18"/>
  <c r="M21" i="18"/>
  <c r="Y117" i="18"/>
  <c r="Y115" i="18" s="1"/>
  <c r="AB115" i="18"/>
  <c r="AF148" i="18"/>
  <c r="U22" i="18"/>
  <c r="Q21" i="18"/>
  <c r="AG90" i="18"/>
  <c r="AS90" i="18"/>
  <c r="AI148" i="18"/>
  <c r="Y234" i="18"/>
  <c r="BB241" i="18"/>
  <c r="BN241" i="18"/>
  <c r="AY244" i="18"/>
  <c r="AF22" i="18"/>
  <c r="AH111" i="18"/>
  <c r="AE162" i="18"/>
  <c r="BD214" i="18"/>
  <c r="AB217" i="18"/>
  <c r="AP241" i="18"/>
  <c r="U244" i="18"/>
  <c r="AI91" i="18"/>
  <c r="AF95" i="18"/>
  <c r="AT162" i="18"/>
  <c r="AD214" i="18"/>
  <c r="U234" i="18"/>
  <c r="AF168" i="18"/>
  <c r="AF167" i="18" s="1"/>
  <c r="AV235" i="18"/>
  <c r="AV234" i="18" s="1"/>
  <c r="AF245" i="18"/>
  <c r="AF244" i="18" s="1"/>
  <c r="U115" i="18"/>
  <c r="U125" i="18"/>
  <c r="AB163" i="18"/>
  <c r="AJ162" i="18"/>
  <c r="AY268" i="18"/>
  <c r="AW90" i="18"/>
  <c r="AJ90" i="18"/>
  <c r="U148" i="18"/>
  <c r="BH214" i="18"/>
  <c r="BT214" i="18"/>
  <c r="AJ214" i="18"/>
  <c r="X162" i="18"/>
  <c r="AC111" i="18"/>
  <c r="AS111" i="18"/>
  <c r="AB148" i="18"/>
  <c r="BB111" i="18"/>
  <c r="BE214" i="18"/>
  <c r="BQ214" i="18"/>
  <c r="X214" i="18"/>
  <c r="AB244" i="18"/>
  <c r="AP111" i="18"/>
  <c r="AF215" i="18"/>
  <c r="AF269" i="18"/>
  <c r="AF268" i="18" s="1"/>
  <c r="AD111" i="18"/>
  <c r="AY217" i="18"/>
  <c r="Y217" i="18"/>
  <c r="R111" i="18"/>
  <c r="AW162" i="18"/>
  <c r="AI217" i="18"/>
  <c r="AF81" i="18"/>
  <c r="Y148" i="18"/>
  <c r="AB81" i="18"/>
  <c r="AV95" i="18"/>
  <c r="AI95" i="18"/>
  <c r="AB22" i="18"/>
  <c r="Y25" i="18"/>
  <c r="Y22" i="18" s="1"/>
  <c r="Y81" i="18"/>
  <c r="AI22" i="18"/>
  <c r="AY91" i="18"/>
  <c r="AV94" i="18"/>
  <c r="AV91" i="18" s="1"/>
  <c r="AY115" i="18"/>
  <c r="AI115" i="18"/>
  <c r="AF124" i="18"/>
  <c r="AF115" i="18" s="1"/>
  <c r="AB32" i="18"/>
  <c r="Y39" i="18"/>
  <c r="Y32" i="18" s="1"/>
  <c r="U32" i="18"/>
  <c r="AY16" i="18"/>
  <c r="AV115" i="18"/>
  <c r="AY32" i="18"/>
  <c r="AV35" i="18"/>
  <c r="AV32" i="18" s="1"/>
  <c r="AY102" i="18"/>
  <c r="AV110" i="18"/>
  <c r="AV102" i="18" s="1"/>
  <c r="AY125" i="18"/>
  <c r="AV136" i="18"/>
  <c r="AV125" i="18" s="1"/>
  <c r="AF203" i="18"/>
  <c r="AB95" i="18"/>
  <c r="AB125" i="18"/>
  <c r="Y128" i="18"/>
  <c r="Y125" i="18" s="1"/>
  <c r="Y95" i="18"/>
  <c r="AI125" i="18"/>
  <c r="AF126" i="18"/>
  <c r="AF125" i="18" s="1"/>
  <c r="AI16" i="18"/>
  <c r="AF17" i="18"/>
  <c r="AF16" i="18" s="1"/>
  <c r="BC18" i="18"/>
  <c r="AV22" i="18"/>
  <c r="Y167" i="18"/>
  <c r="AV166" i="18"/>
  <c r="AV163" i="18" s="1"/>
  <c r="AI203" i="18"/>
  <c r="AV211" i="18"/>
  <c r="AV203" i="18" s="1"/>
  <c r="AG214" i="18"/>
  <c r="AF216" i="18"/>
  <c r="AF218" i="18"/>
  <c r="AF217" i="18" s="1"/>
  <c r="AV228" i="18"/>
  <c r="AV217" i="18" s="1"/>
  <c r="Y246" i="18"/>
  <c r="Y244" i="18" s="1"/>
  <c r="BJ20" i="18" l="1"/>
  <c r="BJ15" i="18" s="1"/>
  <c r="BF20" i="18"/>
  <c r="BE20" i="18"/>
  <c r="BE15" i="18" s="1"/>
  <c r="BQ20" i="18"/>
  <c r="BQ15" i="18" s="1"/>
  <c r="BI20" i="18"/>
  <c r="BI15" i="18" s="1"/>
  <c r="BO20" i="18"/>
  <c r="BO15" i="18" s="1"/>
  <c r="BC20" i="18"/>
  <c r="BK20" i="18"/>
  <c r="BK15" i="18" s="1"/>
  <c r="BC16" i="18"/>
  <c r="BL20" i="18"/>
  <c r="BL15" i="18" s="1"/>
  <c r="BT20" i="18"/>
  <c r="BT15" i="18" s="1"/>
  <c r="BU20" i="18"/>
  <c r="BU15" i="18" s="1"/>
  <c r="BV20" i="18"/>
  <c r="BV15" i="18" s="1"/>
  <c r="BF15" i="18"/>
  <c r="BS20" i="18"/>
  <c r="BS15" i="18" s="1"/>
  <c r="BH20" i="18"/>
  <c r="BH15" i="18" s="1"/>
  <c r="BD20" i="18"/>
  <c r="BD15" i="18" s="1"/>
  <c r="BG20" i="18"/>
  <c r="BG15" i="18" s="1"/>
  <c r="BN20" i="18"/>
  <c r="BN15" i="18" s="1"/>
  <c r="BM20" i="18"/>
  <c r="BM15" i="18" s="1"/>
  <c r="BP20" i="18"/>
  <c r="BP15" i="18" s="1"/>
  <c r="BW20" i="18"/>
  <c r="BW15" i="18" s="1"/>
  <c r="BR20" i="18"/>
  <c r="BR15" i="18" s="1"/>
  <c r="AY21" i="18"/>
  <c r="AV241" i="18"/>
  <c r="AB241" i="18"/>
  <c r="AI162" i="18"/>
  <c r="AM20" i="18"/>
  <c r="AM15" i="18" s="1"/>
  <c r="AY214" i="18"/>
  <c r="Z20" i="18"/>
  <c r="Z15" i="18" s="1"/>
  <c r="X20" i="18"/>
  <c r="X15" i="18" s="1"/>
  <c r="U162" i="18"/>
  <c r="AB214" i="18"/>
  <c r="Y162" i="18"/>
  <c r="AB111" i="18"/>
  <c r="T20" i="18"/>
  <c r="T15" i="18" s="1"/>
  <c r="Q20" i="18"/>
  <c r="Q15" i="18" s="1"/>
  <c r="AU20" i="18"/>
  <c r="AU15" i="18" s="1"/>
  <c r="BA20" i="18"/>
  <c r="BA15" i="18" s="1"/>
  <c r="AB162" i="18"/>
  <c r="Y241" i="18"/>
  <c r="M20" i="18"/>
  <c r="M15" i="18" s="1"/>
  <c r="AF241" i="18"/>
  <c r="AH20" i="18"/>
  <c r="AH15" i="18" s="1"/>
  <c r="AO20" i="18"/>
  <c r="AO15" i="18" s="1"/>
  <c r="AB90" i="18"/>
  <c r="AD20" i="18"/>
  <c r="AD15" i="18" s="1"/>
  <c r="AI241" i="18"/>
  <c r="AE20" i="18"/>
  <c r="AE15" i="18" s="1"/>
  <c r="AF214" i="18"/>
  <c r="V20" i="18"/>
  <c r="V15" i="18" s="1"/>
  <c r="AI214" i="18"/>
  <c r="AZ20" i="18"/>
  <c r="AZ15" i="18" s="1"/>
  <c r="AV214" i="18"/>
  <c r="R20" i="18"/>
  <c r="R15" i="18" s="1"/>
  <c r="AY162" i="18"/>
  <c r="AQ20" i="18"/>
  <c r="AQ15" i="18" s="1"/>
  <c r="AL20" i="18"/>
  <c r="AL15" i="18" s="1"/>
  <c r="S20" i="18"/>
  <c r="S15" i="18" s="1"/>
  <c r="O20" i="18"/>
  <c r="O15" i="18" s="1"/>
  <c r="AX20" i="18"/>
  <c r="AX15" i="18" s="1"/>
  <c r="AK20" i="18"/>
  <c r="AK15" i="18" s="1"/>
  <c r="AR20" i="18"/>
  <c r="AR15" i="18" s="1"/>
  <c r="Y90" i="18"/>
  <c r="P20" i="18"/>
  <c r="P15" i="18" s="1"/>
  <c r="N20" i="18"/>
  <c r="N15" i="18" s="1"/>
  <c r="AV162" i="18"/>
  <c r="AT20" i="18"/>
  <c r="AT15" i="18" s="1"/>
  <c r="U21" i="18"/>
  <c r="AF90" i="18"/>
  <c r="AA20" i="18"/>
  <c r="AA15" i="18" s="1"/>
  <c r="AC20" i="18"/>
  <c r="AC15" i="18" s="1"/>
  <c r="AY241" i="18"/>
  <c r="U241" i="18"/>
  <c r="U214" i="18"/>
  <c r="AF21" i="18"/>
  <c r="AP20" i="18"/>
  <c r="AP15" i="18" s="1"/>
  <c r="Y214" i="18"/>
  <c r="AN20" i="18"/>
  <c r="AN15" i="18" s="1"/>
  <c r="AI21" i="18"/>
  <c r="AY90" i="18"/>
  <c r="AG20" i="18"/>
  <c r="AG15" i="18" s="1"/>
  <c r="AJ20" i="18"/>
  <c r="AJ15" i="18" s="1"/>
  <c r="U90" i="18"/>
  <c r="W20" i="18"/>
  <c r="W15" i="18" s="1"/>
  <c r="AF162" i="18"/>
  <c r="Y21" i="18"/>
  <c r="AI90" i="18"/>
  <c r="AV111" i="18"/>
  <c r="BB20" i="18"/>
  <c r="BB15" i="18" s="1"/>
  <c r="AF111" i="18"/>
  <c r="AS20" i="18"/>
  <c r="AS15" i="18" s="1"/>
  <c r="U111" i="18"/>
  <c r="AW20" i="18"/>
  <c r="AW15" i="18" s="1"/>
  <c r="AV90" i="18"/>
  <c r="Y111" i="18"/>
  <c r="AB21" i="18"/>
  <c r="AV21" i="18"/>
  <c r="AI111" i="18"/>
  <c r="AY111" i="18"/>
  <c r="BC15" i="18" l="1"/>
  <c r="AB20" i="18"/>
  <c r="AB15" i="18" s="1"/>
  <c r="AY20" i="18"/>
  <c r="AY15" i="18" s="1"/>
  <c r="U20" i="18"/>
  <c r="U15" i="18" s="1"/>
  <c r="AF20" i="18"/>
  <c r="AF15" i="18" s="1"/>
  <c r="AI20" i="18"/>
  <c r="AI15" i="18" s="1"/>
  <c r="Y20" i="18"/>
  <c r="Y15" i="18" s="1"/>
  <c r="AV20" i="18"/>
  <c r="AV15" i="18" s="1"/>
  <c r="BK233" i="17" l="1"/>
  <c r="BJ233" i="17" s="1"/>
  <c r="AY233" i="17"/>
  <c r="AV233" i="17" s="1"/>
  <c r="AV231" i="17" s="1"/>
  <c r="AP233" i="17"/>
  <c r="AH233" i="17"/>
  <c r="AH231" i="17" s="1"/>
  <c r="BJ232" i="17"/>
  <c r="AP232" i="17"/>
  <c r="AM232" i="17" s="1"/>
  <c r="AM231" i="17" s="1"/>
  <c r="AG232" i="17"/>
  <c r="AF232" i="17"/>
  <c r="AC232" i="17" s="1"/>
  <c r="CO231" i="17"/>
  <c r="CJ231" i="17"/>
  <c r="CJ194" i="17" s="1"/>
  <c r="CI231" i="17"/>
  <c r="CI194" i="17" s="1"/>
  <c r="CH231" i="17"/>
  <c r="CH194" i="17" s="1"/>
  <c r="CG231" i="17"/>
  <c r="CG194" i="17" s="1"/>
  <c r="CF231" i="17"/>
  <c r="CF194" i="17" s="1"/>
  <c r="CE231" i="17"/>
  <c r="CD231" i="17"/>
  <c r="CD194" i="17" s="1"/>
  <c r="CC231" i="17"/>
  <c r="CC194" i="17" s="1"/>
  <c r="CB231" i="17"/>
  <c r="CB194" i="17" s="1"/>
  <c r="CA231" i="17"/>
  <c r="CA194" i="17" s="1"/>
  <c r="BZ231" i="17"/>
  <c r="BX231" i="17"/>
  <c r="BW231" i="17"/>
  <c r="BV231" i="17"/>
  <c r="BU231" i="17"/>
  <c r="BT231" i="17"/>
  <c r="BS231" i="17"/>
  <c r="BR231" i="17"/>
  <c r="BQ231" i="17"/>
  <c r="BP231" i="17"/>
  <c r="BO231" i="17"/>
  <c r="BN231" i="17"/>
  <c r="BM231" i="17"/>
  <c r="BL231" i="17"/>
  <c r="BH231" i="17"/>
  <c r="BG231" i="17"/>
  <c r="BE231" i="17"/>
  <c r="BD231" i="17"/>
  <c r="BC231" i="17"/>
  <c r="BB231" i="17"/>
  <c r="BA231" i="17"/>
  <c r="AZ231" i="17"/>
  <c r="AX231" i="17"/>
  <c r="AW231" i="17"/>
  <c r="AU231" i="17"/>
  <c r="AT231" i="17"/>
  <c r="AS231" i="17"/>
  <c r="AR231" i="17"/>
  <c r="AQ231" i="17"/>
  <c r="AO231" i="17"/>
  <c r="AN231" i="17"/>
  <c r="AL231" i="17"/>
  <c r="AK231" i="17"/>
  <c r="AI231" i="17"/>
  <c r="AE231" i="17"/>
  <c r="AD231" i="17"/>
  <c r="AB231" i="17"/>
  <c r="AA231" i="17"/>
  <c r="Z231" i="17"/>
  <c r="Y231" i="17"/>
  <c r="X231" i="17"/>
  <c r="W231" i="17"/>
  <c r="V231" i="17"/>
  <c r="U231" i="17"/>
  <c r="T231" i="17"/>
  <c r="S231" i="17"/>
  <c r="R231" i="17"/>
  <c r="Q231" i="17"/>
  <c r="P231" i="17"/>
  <c r="CE230" i="17"/>
  <c r="BZ230" i="17"/>
  <c r="BS230" i="17"/>
  <c r="BP230" i="17" s="1"/>
  <c r="BJ230" i="17"/>
  <c r="BI230" i="17"/>
  <c r="BF230" i="17" s="1"/>
  <c r="AY230" i="17"/>
  <c r="AW230" i="17"/>
  <c r="AP230" i="17"/>
  <c r="AM230" i="17" s="1"/>
  <c r="AG230" i="17"/>
  <c r="AF230" i="17"/>
  <c r="AC230" i="17" s="1"/>
  <c r="CE229" i="17"/>
  <c r="BZ229" i="17"/>
  <c r="BT229" i="17"/>
  <c r="BS229" i="17" s="1"/>
  <c r="BP229" i="17" s="1"/>
  <c r="BJ229" i="17"/>
  <c r="BI229" i="17"/>
  <c r="BF229" i="17" s="1"/>
  <c r="AZ229" i="17"/>
  <c r="AY229" i="17" s="1"/>
  <c r="AV229" i="17" s="1"/>
  <c r="AP229" i="17"/>
  <c r="AM229" i="17" s="1"/>
  <c r="AG229" i="17"/>
  <c r="AF229" i="17"/>
  <c r="AC229" i="17" s="1"/>
  <c r="CE228" i="17"/>
  <c r="BZ228" i="17"/>
  <c r="BS228" i="17"/>
  <c r="BP228" i="17" s="1"/>
  <c r="BJ228" i="17"/>
  <c r="BI228" i="17"/>
  <c r="BF228" i="17" s="1"/>
  <c r="AY228" i="17"/>
  <c r="AV228" i="17" s="1"/>
  <c r="AP228" i="17"/>
  <c r="AM228" i="17" s="1"/>
  <c r="AG228" i="17"/>
  <c r="AF228" i="17"/>
  <c r="AC228" i="17" s="1"/>
  <c r="CE227" i="17"/>
  <c r="BZ227" i="17"/>
  <c r="BS227" i="17"/>
  <c r="BP227" i="17" s="1"/>
  <c r="BJ227" i="17"/>
  <c r="BI227" i="17"/>
  <c r="BF227" i="17" s="1"/>
  <c r="AY227" i="17"/>
  <c r="AV227" i="17" s="1"/>
  <c r="AP227" i="17"/>
  <c r="AM227" i="17" s="1"/>
  <c r="AG227" i="17"/>
  <c r="AF227" i="17"/>
  <c r="AC227" i="17" s="1"/>
  <c r="CE226" i="17"/>
  <c r="BZ226" i="17"/>
  <c r="BP226" i="17"/>
  <c r="BJ226" i="17"/>
  <c r="BI226" i="17"/>
  <c r="BF226" i="17" s="1"/>
  <c r="AY226" i="17"/>
  <c r="AV226" i="17" s="1"/>
  <c r="AP226" i="17"/>
  <c r="AM226" i="17" s="1"/>
  <c r="AG226" i="17"/>
  <c r="AF226" i="17"/>
  <c r="AC226" i="17" s="1"/>
  <c r="CE225" i="17"/>
  <c r="BZ225" i="17"/>
  <c r="BP225" i="17"/>
  <c r="BJ225" i="17"/>
  <c r="BI225" i="17"/>
  <c r="BF225" i="17" s="1"/>
  <c r="AY225" i="17"/>
  <c r="AV225" i="17" s="1"/>
  <c r="AP225" i="17"/>
  <c r="AG225" i="17"/>
  <c r="AF225" i="17"/>
  <c r="AC225" i="17" s="1"/>
  <c r="CE224" i="17"/>
  <c r="BZ224" i="17"/>
  <c r="BP224" i="17"/>
  <c r="BJ224" i="17"/>
  <c r="BI224" i="17"/>
  <c r="BF224" i="17" s="1"/>
  <c r="AY224" i="17"/>
  <c r="AV224" i="17" s="1"/>
  <c r="AP224" i="17"/>
  <c r="AM224" i="17" s="1"/>
  <c r="AG224" i="17"/>
  <c r="AF224" i="17"/>
  <c r="AC224" i="17" s="1"/>
  <c r="CE223" i="17"/>
  <c r="BZ223" i="17"/>
  <c r="BP223" i="17"/>
  <c r="BJ223" i="17"/>
  <c r="BI223" i="17"/>
  <c r="BF223" i="17" s="1"/>
  <c r="AY223" i="17"/>
  <c r="AV223" i="17" s="1"/>
  <c r="AP223" i="17"/>
  <c r="AM223" i="17" s="1"/>
  <c r="AG223" i="17"/>
  <c r="AF223" i="17"/>
  <c r="AC223" i="17" s="1"/>
  <c r="BX222" i="17"/>
  <c r="BW222" i="17"/>
  <c r="BV222" i="17"/>
  <c r="BU222" i="17"/>
  <c r="BT222" i="17"/>
  <c r="BS222" i="17"/>
  <c r="BR222" i="17"/>
  <c r="BQ222" i="17"/>
  <c r="BO222" i="17"/>
  <c r="BN222" i="17"/>
  <c r="BM222" i="17"/>
  <c r="BL222" i="17"/>
  <c r="BK222" i="17"/>
  <c r="BH222" i="17"/>
  <c r="BG222" i="17"/>
  <c r="BD222" i="17"/>
  <c r="BC222" i="17"/>
  <c r="BB222" i="17"/>
  <c r="BA222" i="17"/>
  <c r="AZ222" i="17"/>
  <c r="AX222" i="17"/>
  <c r="AW222" i="17"/>
  <c r="AU222" i="17"/>
  <c r="AT222" i="17"/>
  <c r="AR222" i="17"/>
  <c r="AQ222" i="17"/>
  <c r="AO222" i="17"/>
  <c r="AN222" i="17"/>
  <c r="AL222" i="17"/>
  <c r="AK222" i="17"/>
  <c r="AI222" i="17"/>
  <c r="AH222" i="17"/>
  <c r="AE222" i="17"/>
  <c r="AD222" i="17"/>
  <c r="T222" i="17"/>
  <c r="T194" i="17" s="1"/>
  <c r="R222" i="17"/>
  <c r="Q222" i="17"/>
  <c r="CE221" i="17"/>
  <c r="BZ221" i="17"/>
  <c r="BP221" i="17"/>
  <c r="BJ221" i="17"/>
  <c r="BI221" i="17"/>
  <c r="BF221" i="17" s="1"/>
  <c r="AY221" i="17"/>
  <c r="AV221" i="17" s="1"/>
  <c r="AP221" i="17"/>
  <c r="AM221" i="17" s="1"/>
  <c r="AG221" i="17"/>
  <c r="AF221" i="17"/>
  <c r="AC221" i="17" s="1"/>
  <c r="CE220" i="17"/>
  <c r="BZ220" i="17"/>
  <c r="BP220" i="17"/>
  <c r="BJ220" i="17"/>
  <c r="BI220" i="17"/>
  <c r="BF220" i="17" s="1"/>
  <c r="AY220" i="17"/>
  <c r="AV220" i="17" s="1"/>
  <c r="AP220" i="17"/>
  <c r="AM220" i="17" s="1"/>
  <c r="AG220" i="17"/>
  <c r="AF220" i="17"/>
  <c r="AC220" i="17" s="1"/>
  <c r="CE219" i="17"/>
  <c r="BZ219" i="17"/>
  <c r="BP219" i="17"/>
  <c r="BJ219" i="17"/>
  <c r="BI219" i="17"/>
  <c r="BF219" i="17" s="1"/>
  <c r="AY219" i="17"/>
  <c r="AV219" i="17" s="1"/>
  <c r="AP219" i="17"/>
  <c r="AM219" i="17" s="1"/>
  <c r="AG219" i="17"/>
  <c r="AF219" i="17"/>
  <c r="AC219" i="17" s="1"/>
  <c r="CE218" i="17"/>
  <c r="BZ218" i="17"/>
  <c r="BP218" i="17"/>
  <c r="BJ218" i="17"/>
  <c r="BI218" i="17"/>
  <c r="BF218" i="17" s="1"/>
  <c r="AY218" i="17"/>
  <c r="AV218" i="17" s="1"/>
  <c r="AP218" i="17"/>
  <c r="AG218" i="17"/>
  <c r="AF218" i="17"/>
  <c r="AC218" i="17" s="1"/>
  <c r="BX217" i="17"/>
  <c r="BW217" i="17"/>
  <c r="BV217" i="17"/>
  <c r="BU217" i="17"/>
  <c r="BT217" i="17"/>
  <c r="BS217" i="17"/>
  <c r="BR217" i="17"/>
  <c r="BQ217" i="17"/>
  <c r="BO217" i="17"/>
  <c r="BN217" i="17"/>
  <c r="BM217" i="17"/>
  <c r="BL217" i="17"/>
  <c r="BK217" i="17"/>
  <c r="BH217" i="17"/>
  <c r="BG217" i="17"/>
  <c r="BD217" i="17"/>
  <c r="BC217" i="17"/>
  <c r="BB217" i="17"/>
  <c r="BA217" i="17"/>
  <c r="AZ217" i="17"/>
  <c r="AX217" i="17"/>
  <c r="AW217" i="17"/>
  <c r="AU217" i="17"/>
  <c r="AT217" i="17"/>
  <c r="AR217" i="17"/>
  <c r="AQ217" i="17"/>
  <c r="AO217" i="17"/>
  <c r="AN217" i="17"/>
  <c r="AL217" i="17"/>
  <c r="AK217" i="17"/>
  <c r="AI217" i="17"/>
  <c r="AH217" i="17"/>
  <c r="AE217" i="17"/>
  <c r="AD217" i="17"/>
  <c r="R217" i="17"/>
  <c r="Q217" i="17"/>
  <c r="CE216" i="17"/>
  <c r="BZ216" i="17"/>
  <c r="BP216" i="17"/>
  <c r="BF216" i="17"/>
  <c r="AY216" i="17"/>
  <c r="AV216" i="17" s="1"/>
  <c r="AP216" i="17"/>
  <c r="AM216" i="17" s="1"/>
  <c r="AG216" i="17"/>
  <c r="AF216" i="17"/>
  <c r="AC216" i="17" s="1"/>
  <c r="CE215" i="17"/>
  <c r="BZ215" i="17"/>
  <c r="BP215" i="17"/>
  <c r="BF215" i="17"/>
  <c r="AY215" i="17"/>
  <c r="AV215" i="17" s="1"/>
  <c r="AP215" i="17"/>
  <c r="AM215" i="17" s="1"/>
  <c r="AG215" i="17"/>
  <c r="AF215" i="17"/>
  <c r="AC215" i="17" s="1"/>
  <c r="CE214" i="17"/>
  <c r="BZ214" i="17"/>
  <c r="BP214" i="17"/>
  <c r="BF214" i="17"/>
  <c r="AY214" i="17"/>
  <c r="AV214" i="17" s="1"/>
  <c r="AP214" i="17"/>
  <c r="AM214" i="17" s="1"/>
  <c r="AG214" i="17"/>
  <c r="AF214" i="17"/>
  <c r="AC214" i="17" s="1"/>
  <c r="AY213" i="17"/>
  <c r="AV213" i="17" s="1"/>
  <c r="AP213" i="17"/>
  <c r="AM213" i="17" s="1"/>
  <c r="AG213" i="17"/>
  <c r="AF213" i="17"/>
  <c r="AC213" i="17" s="1"/>
  <c r="AY212" i="17"/>
  <c r="AV212" i="17" s="1"/>
  <c r="AP212" i="17"/>
  <c r="AM212" i="17" s="1"/>
  <c r="AG212" i="17"/>
  <c r="AF212" i="17"/>
  <c r="AC212" i="17" s="1"/>
  <c r="AY211" i="17"/>
  <c r="AP211" i="17"/>
  <c r="AM211" i="17" s="1"/>
  <c r="AG211" i="17"/>
  <c r="AF211" i="17"/>
  <c r="AC211" i="17" s="1"/>
  <c r="CE210" i="17"/>
  <c r="BZ210" i="17"/>
  <c r="BP210" i="17"/>
  <c r="BF210" i="17"/>
  <c r="AY210" i="17"/>
  <c r="AV210" i="17" s="1"/>
  <c r="AP210" i="17"/>
  <c r="AG210" i="17"/>
  <c r="AF210" i="17"/>
  <c r="BX209" i="17"/>
  <c r="BW209" i="17"/>
  <c r="BV209" i="17"/>
  <c r="BU209" i="17"/>
  <c r="BT209" i="17"/>
  <c r="BS209" i="17"/>
  <c r="BR209" i="17"/>
  <c r="BQ209" i="17"/>
  <c r="BO209" i="17"/>
  <c r="BN209" i="17"/>
  <c r="BM209" i="17"/>
  <c r="BL209" i="17"/>
  <c r="BK209" i="17"/>
  <c r="BI209" i="17"/>
  <c r="BH209" i="17"/>
  <c r="BG209" i="17"/>
  <c r="BD209" i="17"/>
  <c r="BC209" i="17"/>
  <c r="BB209" i="17"/>
  <c r="BA209" i="17"/>
  <c r="AZ209" i="17"/>
  <c r="AX209" i="17"/>
  <c r="AW209" i="17"/>
  <c r="AU209" i="17"/>
  <c r="AT209" i="17"/>
  <c r="AS209" i="17"/>
  <c r="AS194" i="17" s="1"/>
  <c r="AR209" i="17"/>
  <c r="AQ209" i="17"/>
  <c r="AO209" i="17"/>
  <c r="AN209" i="17"/>
  <c r="AL209" i="17"/>
  <c r="AK209" i="17"/>
  <c r="AJ209" i="17"/>
  <c r="AJ194" i="17" s="1"/>
  <c r="AJ233" i="17" s="1"/>
  <c r="AJ231" i="17" s="1"/>
  <c r="AI209" i="17"/>
  <c r="AH209" i="17"/>
  <c r="AE209" i="17"/>
  <c r="AD209" i="17"/>
  <c r="CE208" i="17"/>
  <c r="BZ208" i="17"/>
  <c r="BV208" i="17"/>
  <c r="BS208" i="17" s="1"/>
  <c r="BP208" i="17" s="1"/>
  <c r="BJ208" i="17"/>
  <c r="BI208" i="17"/>
  <c r="BF208" i="17" s="1"/>
  <c r="BB208" i="17"/>
  <c r="AY208" i="17" s="1"/>
  <c r="AV208" i="17" s="1"/>
  <c r="AP208" i="17"/>
  <c r="AM208" i="17" s="1"/>
  <c r="AG208" i="17"/>
  <c r="AF208" i="17"/>
  <c r="AC208" i="17" s="1"/>
  <c r="CE207" i="17"/>
  <c r="BZ207" i="17"/>
  <c r="BS207" i="17"/>
  <c r="BJ207" i="17"/>
  <c r="BI207" i="17"/>
  <c r="BF207" i="17" s="1"/>
  <c r="BB207" i="17"/>
  <c r="AY207" i="17" s="1"/>
  <c r="AV207" i="17" s="1"/>
  <c r="AP207" i="17"/>
  <c r="AM207" i="17" s="1"/>
  <c r="AG207" i="17"/>
  <c r="AF207" i="17"/>
  <c r="AC207" i="17" s="1"/>
  <c r="CE206" i="17"/>
  <c r="BZ206" i="17"/>
  <c r="BP206" i="17"/>
  <c r="BJ206" i="17"/>
  <c r="BI206" i="17"/>
  <c r="BF206" i="17" s="1"/>
  <c r="AY206" i="17"/>
  <c r="AV206" i="17" s="1"/>
  <c r="AP206" i="17"/>
  <c r="AM206" i="17" s="1"/>
  <c r="AG206" i="17"/>
  <c r="AF206" i="17"/>
  <c r="AC206" i="17" s="1"/>
  <c r="CE205" i="17"/>
  <c r="BZ205" i="17"/>
  <c r="BP205" i="17"/>
  <c r="BJ205" i="17"/>
  <c r="BI205" i="17"/>
  <c r="BF205" i="17" s="1"/>
  <c r="AY205" i="17"/>
  <c r="AV205" i="17" s="1"/>
  <c r="AP205" i="17"/>
  <c r="AM205" i="17" s="1"/>
  <c r="AG205" i="17"/>
  <c r="AF205" i="17"/>
  <c r="AC205" i="17" s="1"/>
  <c r="CE204" i="17"/>
  <c r="BZ204" i="17"/>
  <c r="BP204" i="17"/>
  <c r="BJ204" i="17"/>
  <c r="BI204" i="17"/>
  <c r="BF204" i="17" s="1"/>
  <c r="AY204" i="17"/>
  <c r="AV204" i="17" s="1"/>
  <c r="AP204" i="17"/>
  <c r="AM204" i="17" s="1"/>
  <c r="AG204" i="17"/>
  <c r="AF204" i="17"/>
  <c r="AC204" i="17" s="1"/>
  <c r="CE203" i="17"/>
  <c r="BZ203" i="17"/>
  <c r="BP203" i="17"/>
  <c r="BJ203" i="17"/>
  <c r="BI203" i="17"/>
  <c r="BF203" i="17" s="1"/>
  <c r="AY203" i="17"/>
  <c r="AV203" i="17" s="1"/>
  <c r="AP203" i="17"/>
  <c r="AN203" i="17"/>
  <c r="AG203" i="17"/>
  <c r="AF203" i="17"/>
  <c r="AD203" i="17"/>
  <c r="Q203" i="17"/>
  <c r="S203" i="17" s="1"/>
  <c r="S194" i="17" s="1"/>
  <c r="CE202" i="17"/>
  <c r="BZ202" i="17"/>
  <c r="BP202" i="17"/>
  <c r="BJ202" i="17"/>
  <c r="BI202" i="17"/>
  <c r="BF202" i="17" s="1"/>
  <c r="AY202" i="17"/>
  <c r="AV202" i="17" s="1"/>
  <c r="AP202" i="17"/>
  <c r="AM202" i="17" s="1"/>
  <c r="AG202" i="17"/>
  <c r="AF202" i="17"/>
  <c r="AC202" i="17" s="1"/>
  <c r="CE201" i="17"/>
  <c r="BZ201" i="17"/>
  <c r="BP201" i="17"/>
  <c r="BJ201" i="17"/>
  <c r="BI201" i="17"/>
  <c r="BF201" i="17" s="1"/>
  <c r="AY201" i="17"/>
  <c r="AV201" i="17" s="1"/>
  <c r="AP201" i="17"/>
  <c r="AM201" i="17" s="1"/>
  <c r="AG201" i="17"/>
  <c r="AF201" i="17"/>
  <c r="AC201" i="17" s="1"/>
  <c r="CE200" i="17"/>
  <c r="BZ200" i="17"/>
  <c r="BP200" i="17"/>
  <c r="BJ200" i="17"/>
  <c r="BI200" i="17"/>
  <c r="BF200" i="17" s="1"/>
  <c r="AY200" i="17"/>
  <c r="AV200" i="17" s="1"/>
  <c r="AP200" i="17"/>
  <c r="AM200" i="17" s="1"/>
  <c r="AG200" i="17"/>
  <c r="AF200" i="17"/>
  <c r="AC200" i="17" s="1"/>
  <c r="CE199" i="17"/>
  <c r="BZ199" i="17"/>
  <c r="BP199" i="17"/>
  <c r="BJ199" i="17"/>
  <c r="BI199" i="17"/>
  <c r="BF199" i="17" s="1"/>
  <c r="AY199" i="17"/>
  <c r="AV199" i="17" s="1"/>
  <c r="AP199" i="17"/>
  <c r="AM199" i="17" s="1"/>
  <c r="AG199" i="17"/>
  <c r="AF199" i="17"/>
  <c r="AC199" i="17" s="1"/>
  <c r="Q199" i="17"/>
  <c r="CE198" i="17"/>
  <c r="BZ198" i="17"/>
  <c r="BQ198" i="17"/>
  <c r="BP198" i="17" s="1"/>
  <c r="BJ198" i="17"/>
  <c r="BI198" i="17"/>
  <c r="BF198" i="17" s="1"/>
  <c r="AY198" i="17"/>
  <c r="AW198" i="17"/>
  <c r="AP198" i="17"/>
  <c r="AM198" i="17" s="1"/>
  <c r="AG198" i="17"/>
  <c r="AF198" i="17"/>
  <c r="AC198" i="17" s="1"/>
  <c r="Q198" i="17"/>
  <c r="CE197" i="17"/>
  <c r="BZ197" i="17"/>
  <c r="BP197" i="17"/>
  <c r="BJ197" i="17"/>
  <c r="BI197" i="17"/>
  <c r="BF197" i="17" s="1"/>
  <c r="AY197" i="17"/>
  <c r="AV197" i="17" s="1"/>
  <c r="AP197" i="17"/>
  <c r="AM197" i="17" s="1"/>
  <c r="AG197" i="17"/>
  <c r="AF197" i="17"/>
  <c r="AC197" i="17" s="1"/>
  <c r="BP196" i="17"/>
  <c r="BJ196" i="17"/>
  <c r="BI196" i="17"/>
  <c r="BF196" i="17" s="1"/>
  <c r="AV196" i="17"/>
  <c r="AP196" i="17"/>
  <c r="AM196" i="17" s="1"/>
  <c r="AG196" i="17"/>
  <c r="AF196" i="17"/>
  <c r="AC196" i="17" s="1"/>
  <c r="CE195" i="17"/>
  <c r="BZ195" i="17"/>
  <c r="BP195" i="17"/>
  <c r="BJ195" i="17"/>
  <c r="BI195" i="17"/>
  <c r="BF195" i="17" s="1"/>
  <c r="AY195" i="17"/>
  <c r="AV195" i="17" s="1"/>
  <c r="AP195" i="17"/>
  <c r="AM195" i="17" s="1"/>
  <c r="AG195" i="17"/>
  <c r="AF195" i="17"/>
  <c r="AC195" i="17" s="1"/>
  <c r="AB194" i="17"/>
  <c r="AA194" i="17"/>
  <c r="Z194" i="17"/>
  <c r="Y194" i="17"/>
  <c r="X194" i="17"/>
  <c r="W194" i="17"/>
  <c r="W15" i="17" s="1"/>
  <c r="V194" i="17"/>
  <c r="U194" i="17"/>
  <c r="P194" i="17"/>
  <c r="BJ191" i="17"/>
  <c r="AG191" i="17"/>
  <c r="BJ190" i="17"/>
  <c r="AG190" i="17"/>
  <c r="BJ189" i="17"/>
  <c r="AG189" i="17"/>
  <c r="BN188" i="17"/>
  <c r="BM188" i="17"/>
  <c r="BL188" i="17"/>
  <c r="BK188" i="17"/>
  <c r="BI188" i="17"/>
  <c r="BH188" i="17"/>
  <c r="BG188" i="17"/>
  <c r="BF188" i="17"/>
  <c r="BE188" i="17"/>
  <c r="BD188" i="17"/>
  <c r="BC188" i="17"/>
  <c r="BB188" i="17"/>
  <c r="BA188" i="17"/>
  <c r="AZ188" i="17"/>
  <c r="AY188" i="17"/>
  <c r="AX188" i="17"/>
  <c r="AW188" i="17"/>
  <c r="AV188" i="17"/>
  <c r="AU188" i="17"/>
  <c r="AT188" i="17"/>
  <c r="AS188" i="17"/>
  <c r="AR188" i="17"/>
  <c r="AQ188" i="17"/>
  <c r="AP188" i="17"/>
  <c r="AO188" i="17"/>
  <c r="AN188" i="17"/>
  <c r="AM188" i="17"/>
  <c r="AL188" i="17"/>
  <c r="AK188" i="17"/>
  <c r="AJ188" i="17"/>
  <c r="AI188" i="17"/>
  <c r="AH188" i="17"/>
  <c r="AF188" i="17"/>
  <c r="AE188" i="17"/>
  <c r="AD188" i="17"/>
  <c r="AC188" i="17"/>
  <c r="AB188" i="17"/>
  <c r="AA188" i="17"/>
  <c r="Z188" i="17"/>
  <c r="Y188" i="17"/>
  <c r="X188" i="17"/>
  <c r="W188" i="17"/>
  <c r="V188" i="17"/>
  <c r="U188" i="17"/>
  <c r="T188" i="17"/>
  <c r="S188" i="17"/>
  <c r="R188" i="17"/>
  <c r="Q188" i="17"/>
  <c r="P188" i="17"/>
  <c r="BJ187" i="17"/>
  <c r="AG187" i="17"/>
  <c r="BJ186" i="17"/>
  <c r="AG186" i="17"/>
  <c r="BJ185" i="17"/>
  <c r="AG185" i="17"/>
  <c r="CE184" i="17"/>
  <c r="BZ184" i="17"/>
  <c r="BM184" i="17"/>
  <c r="BM180" i="17" s="1"/>
  <c r="BJ184" i="17"/>
  <c r="BB184" i="17"/>
  <c r="AY184" i="17" s="1"/>
  <c r="AV184" i="17" s="1"/>
  <c r="AS184" i="17"/>
  <c r="AP184" i="17" s="1"/>
  <c r="AM184" i="17" s="1"/>
  <c r="AG184" i="17"/>
  <c r="AF184" i="17"/>
  <c r="AC184" i="17" s="1"/>
  <c r="BJ183" i="17"/>
  <c r="AG183" i="17"/>
  <c r="BJ182" i="17"/>
  <c r="AG182" i="17"/>
  <c r="CE181" i="17"/>
  <c r="BZ181" i="17"/>
  <c r="BP181" i="17"/>
  <c r="BJ181" i="17"/>
  <c r="BI181" i="17"/>
  <c r="AY181" i="17"/>
  <c r="AP181" i="17"/>
  <c r="AM181" i="17" s="1"/>
  <c r="AH181" i="17"/>
  <c r="AG181" i="17" s="1"/>
  <c r="CN180" i="17"/>
  <c r="CN179" i="17" s="1"/>
  <c r="CM180" i="17"/>
  <c r="CM179" i="17" s="1"/>
  <c r="CL180" i="17"/>
  <c r="CL179" i="17" s="1"/>
  <c r="CK180" i="17"/>
  <c r="CK179" i="17" s="1"/>
  <c r="CJ180" i="17"/>
  <c r="CJ179" i="17" s="1"/>
  <c r="CI180" i="17"/>
  <c r="CI179" i="17" s="1"/>
  <c r="CH180" i="17"/>
  <c r="CH179" i="17" s="1"/>
  <c r="CG180" i="17"/>
  <c r="CG179" i="17" s="1"/>
  <c r="CF180" i="17"/>
  <c r="CF179" i="17" s="1"/>
  <c r="CD180" i="17"/>
  <c r="CD179" i="17" s="1"/>
  <c r="CC180" i="17"/>
  <c r="CC179" i="17" s="1"/>
  <c r="CB180" i="17"/>
  <c r="CB179" i="17" s="1"/>
  <c r="CA180" i="17"/>
  <c r="CA179" i="17" s="1"/>
  <c r="BX180" i="17"/>
  <c r="BX179" i="17" s="1"/>
  <c r="BW180" i="17"/>
  <c r="BW179" i="17" s="1"/>
  <c r="BU180" i="17"/>
  <c r="BU179" i="17" s="1"/>
  <c r="BT180" i="17"/>
  <c r="BT179" i="17" s="1"/>
  <c r="BR180" i="17"/>
  <c r="BR179" i="17" s="1"/>
  <c r="BQ180" i="17"/>
  <c r="BQ179" i="17" s="1"/>
  <c r="BO180" i="17"/>
  <c r="BO179" i="17" s="1"/>
  <c r="BN180" i="17"/>
  <c r="BL180" i="17"/>
  <c r="BK180" i="17"/>
  <c r="BH180" i="17"/>
  <c r="BG180" i="17"/>
  <c r="BD180" i="17"/>
  <c r="BC180" i="17"/>
  <c r="BA180" i="17"/>
  <c r="AZ180" i="17"/>
  <c r="AX180" i="17"/>
  <c r="AW180" i="17"/>
  <c r="AU180" i="17"/>
  <c r="AT180" i="17"/>
  <c r="AR180" i="17"/>
  <c r="AQ180" i="17"/>
  <c r="AO180" i="17"/>
  <c r="AN180" i="17"/>
  <c r="AL180" i="17"/>
  <c r="AK180" i="17"/>
  <c r="AJ180" i="17"/>
  <c r="AI180" i="17"/>
  <c r="AE180" i="17"/>
  <c r="AD180" i="17"/>
  <c r="AB180" i="17"/>
  <c r="AA180" i="17"/>
  <c r="Z180" i="17"/>
  <c r="Y180" i="17"/>
  <c r="X180" i="17"/>
  <c r="W180" i="17"/>
  <c r="V180" i="17"/>
  <c r="U180" i="17"/>
  <c r="T180" i="17"/>
  <c r="S180" i="17"/>
  <c r="R180" i="17"/>
  <c r="Q180" i="17"/>
  <c r="P180" i="17"/>
  <c r="CR179" i="17"/>
  <c r="CQ179" i="17"/>
  <c r="CP179" i="17"/>
  <c r="CO179" i="17"/>
  <c r="BJ178" i="17"/>
  <c r="AG178" i="17"/>
  <c r="BJ177" i="17"/>
  <c r="AG177" i="17"/>
  <c r="BJ176" i="17"/>
  <c r="AG176" i="17"/>
  <c r="BN175" i="17"/>
  <c r="BM175" i="17"/>
  <c r="BL175" i="17"/>
  <c r="BK175" i="17"/>
  <c r="BI175" i="17"/>
  <c r="BH175" i="17"/>
  <c r="BG175" i="17"/>
  <c r="BF175" i="17"/>
  <c r="BE175" i="17"/>
  <c r="BD175" i="17"/>
  <c r="BC175" i="17"/>
  <c r="BB175" i="17"/>
  <c r="BA175" i="17"/>
  <c r="AZ175" i="17"/>
  <c r="AY175" i="17"/>
  <c r="AX175" i="17"/>
  <c r="AW175" i="17"/>
  <c r="AV175" i="17"/>
  <c r="AU175" i="17"/>
  <c r="AT175" i="17"/>
  <c r="AS175" i="17"/>
  <c r="AR175" i="17"/>
  <c r="AQ175" i="17"/>
  <c r="AP175" i="17"/>
  <c r="AO175" i="17"/>
  <c r="AN175" i="17"/>
  <c r="AM175" i="17"/>
  <c r="AL175" i="17"/>
  <c r="AK175" i="17"/>
  <c r="AJ175" i="17"/>
  <c r="AI175" i="17"/>
  <c r="AH175" i="17"/>
  <c r="AF175" i="17"/>
  <c r="AE175" i="17"/>
  <c r="AD175" i="17"/>
  <c r="AC175" i="17"/>
  <c r="AB175" i="17"/>
  <c r="AA175" i="17"/>
  <c r="Z175" i="17"/>
  <c r="Y175" i="17"/>
  <c r="X175" i="17"/>
  <c r="W175" i="17"/>
  <c r="V175" i="17"/>
  <c r="U175" i="17"/>
  <c r="T175" i="17"/>
  <c r="S175" i="17"/>
  <c r="R175" i="17"/>
  <c r="Q175" i="17"/>
  <c r="P175" i="17"/>
  <c r="BJ174" i="17"/>
  <c r="AG174" i="17"/>
  <c r="BJ173" i="17"/>
  <c r="AG173" i="17"/>
  <c r="BJ172" i="17"/>
  <c r="AG172" i="17"/>
  <c r="BJ171" i="17"/>
  <c r="AG171" i="17"/>
  <c r="BJ170" i="17"/>
  <c r="AG170" i="17"/>
  <c r="CN169" i="17"/>
  <c r="CN168" i="17" s="1"/>
  <c r="CM169" i="17"/>
  <c r="CM168" i="17" s="1"/>
  <c r="CL169" i="17"/>
  <c r="CL168" i="17" s="1"/>
  <c r="CK169" i="17"/>
  <c r="CK168" i="17" s="1"/>
  <c r="CJ169" i="17"/>
  <c r="CJ168" i="17" s="1"/>
  <c r="CI169" i="17"/>
  <c r="CI168" i="17" s="1"/>
  <c r="CH169" i="17"/>
  <c r="CH168" i="17" s="1"/>
  <c r="CG169" i="17"/>
  <c r="CG168" i="17" s="1"/>
  <c r="CF169" i="17"/>
  <c r="CF168" i="17" s="1"/>
  <c r="CE169" i="17"/>
  <c r="CE168" i="17" s="1"/>
  <c r="CD169" i="17"/>
  <c r="CD168" i="17" s="1"/>
  <c r="CC169" i="17"/>
  <c r="CC168" i="17" s="1"/>
  <c r="CB169" i="17"/>
  <c r="CB168" i="17" s="1"/>
  <c r="CA169" i="17"/>
  <c r="CA168" i="17" s="1"/>
  <c r="BZ169" i="17"/>
  <c r="BZ168" i="17" s="1"/>
  <c r="BY169" i="17"/>
  <c r="BY168" i="17" s="1"/>
  <c r="BX169" i="17"/>
  <c r="BX168" i="17" s="1"/>
  <c r="BW169" i="17"/>
  <c r="BW168" i="17" s="1"/>
  <c r="BV169" i="17"/>
  <c r="BV168" i="17" s="1"/>
  <c r="BU169" i="17"/>
  <c r="BU168" i="17" s="1"/>
  <c r="BT169" i="17"/>
  <c r="BT168" i="17" s="1"/>
  <c r="BS169" i="17"/>
  <c r="BS168" i="17" s="1"/>
  <c r="BR169" i="17"/>
  <c r="BR168" i="17" s="1"/>
  <c r="BQ169" i="17"/>
  <c r="BQ168" i="17" s="1"/>
  <c r="BP169" i="17"/>
  <c r="BP168" i="17" s="1"/>
  <c r="BO169" i="17"/>
  <c r="BO168" i="17" s="1"/>
  <c r="BN169" i="17"/>
  <c r="BM169" i="17"/>
  <c r="BL169" i="17"/>
  <c r="BK169" i="17"/>
  <c r="BI169" i="17"/>
  <c r="BH169" i="17"/>
  <c r="BG169" i="17"/>
  <c r="BF169" i="17"/>
  <c r="BE169" i="17"/>
  <c r="BD169" i="17"/>
  <c r="BC169" i="17"/>
  <c r="BB169" i="17"/>
  <c r="BA169" i="17"/>
  <c r="AZ169" i="17"/>
  <c r="AY169" i="17"/>
  <c r="AX169" i="17"/>
  <c r="AW169" i="17"/>
  <c r="AV169" i="17"/>
  <c r="AU169" i="17"/>
  <c r="AT169" i="17"/>
  <c r="AS169" i="17"/>
  <c r="AR169" i="17"/>
  <c r="AQ169" i="17"/>
  <c r="AP169" i="17"/>
  <c r="AO169" i="17"/>
  <c r="AN169" i="17"/>
  <c r="AM169" i="17"/>
  <c r="AL169" i="17"/>
  <c r="AK169" i="17"/>
  <c r="AJ169" i="17"/>
  <c r="AI169" i="17"/>
  <c r="AH169" i="17"/>
  <c r="AF169" i="17"/>
  <c r="AE169" i="17"/>
  <c r="AD169" i="17"/>
  <c r="AC169" i="17"/>
  <c r="AB169" i="17"/>
  <c r="AA169" i="17"/>
  <c r="Z169" i="17"/>
  <c r="Y169" i="17"/>
  <c r="X169" i="17"/>
  <c r="W169" i="17"/>
  <c r="V169" i="17"/>
  <c r="U169" i="17"/>
  <c r="T169" i="17"/>
  <c r="S169" i="17"/>
  <c r="R169" i="17"/>
  <c r="Q169" i="17"/>
  <c r="P169" i="17"/>
  <c r="BJ167" i="17"/>
  <c r="AG167" i="17"/>
  <c r="AF167" i="17"/>
  <c r="AC167" i="17" s="1"/>
  <c r="BJ166" i="17"/>
  <c r="AG166" i="17"/>
  <c r="BJ165" i="17"/>
  <c r="AG165" i="17"/>
  <c r="BJ164" i="17"/>
  <c r="AG164" i="17"/>
  <c r="BJ163" i="17"/>
  <c r="AG163" i="17"/>
  <c r="BJ162" i="17"/>
  <c r="AG162" i="17"/>
  <c r="BJ161" i="17"/>
  <c r="AG161" i="17"/>
  <c r="BJ160" i="17"/>
  <c r="AG160" i="17"/>
  <c r="BJ159" i="17"/>
  <c r="AG159" i="17"/>
  <c r="AF159" i="17"/>
  <c r="BJ158" i="17"/>
  <c r="AG158" i="17"/>
  <c r="BJ157" i="17"/>
  <c r="AG157" i="17"/>
  <c r="BN156" i="17"/>
  <c r="BM156" i="17"/>
  <c r="BL156" i="17"/>
  <c r="BK156" i="17"/>
  <c r="BI156" i="17"/>
  <c r="BH156" i="17"/>
  <c r="BG156" i="17"/>
  <c r="BF156" i="17"/>
  <c r="BE156" i="17"/>
  <c r="BD156" i="17"/>
  <c r="BC156" i="17"/>
  <c r="BB156" i="17"/>
  <c r="BA156" i="17"/>
  <c r="AZ156" i="17"/>
  <c r="AY156" i="17"/>
  <c r="AX156" i="17"/>
  <c r="AW156" i="17"/>
  <c r="AV156" i="17"/>
  <c r="AU156" i="17"/>
  <c r="AT156" i="17"/>
  <c r="AS156" i="17"/>
  <c r="AR156" i="17"/>
  <c r="AQ156" i="17"/>
  <c r="AP156" i="17"/>
  <c r="AO156" i="17"/>
  <c r="AN156" i="17"/>
  <c r="AM156" i="17"/>
  <c r="AL156" i="17"/>
  <c r="AK156" i="17"/>
  <c r="AJ156" i="17"/>
  <c r="AI156" i="17"/>
  <c r="AH156" i="17"/>
  <c r="AE156" i="17"/>
  <c r="AD156" i="17"/>
  <c r="AB156" i="17"/>
  <c r="AA156" i="17"/>
  <c r="Z156" i="17"/>
  <c r="Y156" i="17"/>
  <c r="X156" i="17"/>
  <c r="W156" i="17"/>
  <c r="V156" i="17"/>
  <c r="U156" i="17"/>
  <c r="T156" i="17"/>
  <c r="S156" i="17"/>
  <c r="R156" i="17"/>
  <c r="Q156" i="17"/>
  <c r="P156" i="17"/>
  <c r="BJ155" i="17"/>
  <c r="AG155" i="17"/>
  <c r="BJ154" i="17"/>
  <c r="AG154" i="17"/>
  <c r="CE153" i="17"/>
  <c r="BZ153" i="17"/>
  <c r="BP153" i="17"/>
  <c r="BJ153" i="17"/>
  <c r="BI153" i="17"/>
  <c r="BF153" i="17" s="1"/>
  <c r="AY153" i="17"/>
  <c r="AV153" i="17" s="1"/>
  <c r="AP153" i="17"/>
  <c r="AM153" i="17" s="1"/>
  <c r="AG153" i="17"/>
  <c r="AF153" i="17"/>
  <c r="CE152" i="17"/>
  <c r="BZ152" i="17"/>
  <c r="BM152" i="17"/>
  <c r="BV152" i="17" s="1"/>
  <c r="BJ152" i="17"/>
  <c r="BB152" i="17"/>
  <c r="AY152" i="17" s="1"/>
  <c r="AS152" i="17"/>
  <c r="AP152" i="17" s="1"/>
  <c r="AM152" i="17" s="1"/>
  <c r="AG152" i="17"/>
  <c r="AF152" i="17"/>
  <c r="AC152" i="17" s="1"/>
  <c r="BJ151" i="17"/>
  <c r="AG151" i="17"/>
  <c r="BJ150" i="17"/>
  <c r="AG150" i="17"/>
  <c r="BJ149" i="17"/>
  <c r="AG149" i="17"/>
  <c r="BJ148" i="17"/>
  <c r="AG148" i="17"/>
  <c r="BJ147" i="17"/>
  <c r="AG147" i="17"/>
  <c r="BJ146" i="17"/>
  <c r="AG146" i="17"/>
  <c r="BJ145" i="17"/>
  <c r="AG145" i="17"/>
  <c r="BJ144" i="17"/>
  <c r="AG144" i="17"/>
  <c r="BJ143" i="17"/>
  <c r="AG143" i="17"/>
  <c r="BJ142" i="17"/>
  <c r="AG142" i="17"/>
  <c r="BJ141" i="17"/>
  <c r="AG141" i="17"/>
  <c r="CN140" i="17"/>
  <c r="CN138" i="17" s="1"/>
  <c r="CM140" i="17"/>
  <c r="CM138" i="17" s="1"/>
  <c r="CL140" i="17"/>
  <c r="CL138" i="17" s="1"/>
  <c r="CK140" i="17"/>
  <c r="CK138" i="17" s="1"/>
  <c r="CJ140" i="17"/>
  <c r="CJ138" i="17" s="1"/>
  <c r="CI140" i="17"/>
  <c r="CH140" i="17"/>
  <c r="CH138" i="17" s="1"/>
  <c r="CG140" i="17"/>
  <c r="CG138" i="17" s="1"/>
  <c r="CF140" i="17"/>
  <c r="CF138" i="17" s="1"/>
  <c r="CD140" i="17"/>
  <c r="CD138" i="17" s="1"/>
  <c r="CC140" i="17"/>
  <c r="CC138" i="17" s="1"/>
  <c r="CB140" i="17"/>
  <c r="CB138" i="17" s="1"/>
  <c r="CA140" i="17"/>
  <c r="CA138" i="17" s="1"/>
  <c r="BX140" i="17"/>
  <c r="BX138" i="17" s="1"/>
  <c r="BW140" i="17"/>
  <c r="BW138" i="17" s="1"/>
  <c r="BU140" i="17"/>
  <c r="BU138" i="17" s="1"/>
  <c r="BT140" i="17"/>
  <c r="BT138" i="17" s="1"/>
  <c r="BR140" i="17"/>
  <c r="BR138" i="17" s="1"/>
  <c r="BQ140" i="17"/>
  <c r="BQ138" i="17" s="1"/>
  <c r="BO140" i="17"/>
  <c r="BO138" i="17" s="1"/>
  <c r="BN140" i="17"/>
  <c r="BL140" i="17"/>
  <c r="BK140" i="17"/>
  <c r="BH140" i="17"/>
  <c r="BG140" i="17"/>
  <c r="BD140" i="17"/>
  <c r="BC140" i="17"/>
  <c r="BA140" i="17"/>
  <c r="AZ140" i="17"/>
  <c r="AX140" i="17"/>
  <c r="AW140" i="17"/>
  <c r="AU140" i="17"/>
  <c r="AT140" i="17"/>
  <c r="AR140" i="17"/>
  <c r="AQ140" i="17"/>
  <c r="AO140" i="17"/>
  <c r="AN140" i="17"/>
  <c r="AL140" i="17"/>
  <c r="AK140" i="17"/>
  <c r="AJ140" i="17"/>
  <c r="AI140" i="17"/>
  <c r="AH140" i="17"/>
  <c r="AE140" i="17"/>
  <c r="AD140" i="17"/>
  <c r="AB140" i="17"/>
  <c r="AA140" i="17"/>
  <c r="Z140" i="17"/>
  <c r="Y140" i="17"/>
  <c r="X140" i="17"/>
  <c r="W140" i="17"/>
  <c r="V140" i="17"/>
  <c r="U140" i="17"/>
  <c r="T140" i="17"/>
  <c r="S140" i="17"/>
  <c r="R140" i="17"/>
  <c r="Q140" i="17"/>
  <c r="P140" i="17"/>
  <c r="BJ139" i="17"/>
  <c r="BJ138" i="17" s="1"/>
  <c r="BN138" i="17"/>
  <c r="BM138" i="17"/>
  <c r="BL138" i="17"/>
  <c r="BK138" i="17"/>
  <c r="BI138" i="17"/>
  <c r="BH138" i="17"/>
  <c r="BG138" i="17"/>
  <c r="BF138" i="17"/>
  <c r="BE138" i="17"/>
  <c r="BD138" i="17"/>
  <c r="BC138" i="17"/>
  <c r="BB138" i="17"/>
  <c r="BA138" i="17"/>
  <c r="AZ138" i="17"/>
  <c r="AY138" i="17"/>
  <c r="AX138" i="17"/>
  <c r="AW138" i="17"/>
  <c r="AV138" i="17"/>
  <c r="AU138" i="17"/>
  <c r="AT138" i="17"/>
  <c r="AS138" i="17"/>
  <c r="AR138" i="17"/>
  <c r="AQ138" i="17"/>
  <c r="AP138" i="17"/>
  <c r="AO138" i="17"/>
  <c r="AN138" i="17"/>
  <c r="AM138" i="17"/>
  <c r="AL138" i="17"/>
  <c r="AK138" i="17"/>
  <c r="AJ138" i="17"/>
  <c r="AI138" i="17"/>
  <c r="AH138" i="17"/>
  <c r="AG138" i="17"/>
  <c r="AF138" i="17"/>
  <c r="AE138" i="17"/>
  <c r="AD138" i="17"/>
  <c r="AC138" i="17"/>
  <c r="AB138" i="17"/>
  <c r="AA138" i="17"/>
  <c r="Z138" i="17"/>
  <c r="Y138" i="17"/>
  <c r="X138" i="17"/>
  <c r="W138" i="17"/>
  <c r="V138" i="17"/>
  <c r="U138" i="17"/>
  <c r="T138" i="17"/>
  <c r="S138" i="17"/>
  <c r="R138" i="17"/>
  <c r="Q138" i="17"/>
  <c r="P138" i="17"/>
  <c r="BJ137" i="17"/>
  <c r="BJ136" i="17" s="1"/>
  <c r="AG137" i="17"/>
  <c r="AG136" i="17" s="1"/>
  <c r="CN136" i="17"/>
  <c r="CM136" i="17"/>
  <c r="CL136" i="17"/>
  <c r="CK136" i="17"/>
  <c r="CJ136" i="17"/>
  <c r="CI136" i="17"/>
  <c r="CH136" i="17"/>
  <c r="CG136" i="17"/>
  <c r="CF136" i="17"/>
  <c r="CE136" i="17"/>
  <c r="CD136" i="17"/>
  <c r="CC136" i="17"/>
  <c r="CB136" i="17"/>
  <c r="CA136" i="17"/>
  <c r="BZ136" i="17"/>
  <c r="BY136" i="17"/>
  <c r="BX136" i="17"/>
  <c r="BW136" i="17"/>
  <c r="BV136" i="17"/>
  <c r="BU136" i="17"/>
  <c r="BT136" i="17"/>
  <c r="BS136" i="17"/>
  <c r="BR136" i="17"/>
  <c r="BQ136" i="17"/>
  <c r="BP136" i="17"/>
  <c r="BO136" i="17"/>
  <c r="BN136" i="17"/>
  <c r="BM136" i="17"/>
  <c r="BL136" i="17"/>
  <c r="BK136" i="17"/>
  <c r="BI136" i="17"/>
  <c r="BH136" i="17"/>
  <c r="BG136" i="17"/>
  <c r="BF136" i="17"/>
  <c r="BE136" i="17"/>
  <c r="BD136" i="17"/>
  <c r="BC136" i="17"/>
  <c r="BB136" i="17"/>
  <c r="BA136" i="17"/>
  <c r="AZ136" i="17"/>
  <c r="AY136" i="17"/>
  <c r="AX136" i="17"/>
  <c r="AW136" i="17"/>
  <c r="AV136" i="17"/>
  <c r="AU136" i="17"/>
  <c r="AT136" i="17"/>
  <c r="AS136" i="17"/>
  <c r="AR136" i="17"/>
  <c r="AQ136" i="17"/>
  <c r="AP136" i="17"/>
  <c r="AO136" i="17"/>
  <c r="AN136" i="17"/>
  <c r="AM136" i="17"/>
  <c r="AL136" i="17"/>
  <c r="AK136" i="17"/>
  <c r="AJ136" i="17"/>
  <c r="AI136" i="17"/>
  <c r="AH136" i="17"/>
  <c r="AF136" i="17"/>
  <c r="AE136" i="17"/>
  <c r="AD136" i="17"/>
  <c r="AC136" i="17"/>
  <c r="AB136" i="17"/>
  <c r="AA136" i="17"/>
  <c r="Z136" i="17"/>
  <c r="Y136" i="17"/>
  <c r="T136" i="17"/>
  <c r="S136" i="17"/>
  <c r="R136" i="17"/>
  <c r="Q136" i="17"/>
  <c r="P136" i="17"/>
  <c r="CR135" i="17"/>
  <c r="CQ135" i="17"/>
  <c r="CP135" i="17"/>
  <c r="CO135" i="17"/>
  <c r="BJ134" i="17"/>
  <c r="AG134" i="17"/>
  <c r="BJ133" i="17"/>
  <c r="AG133" i="17"/>
  <c r="BJ132" i="17"/>
  <c r="AG132" i="17"/>
  <c r="BJ131" i="17"/>
  <c r="AG131" i="17"/>
  <c r="BJ130" i="17"/>
  <c r="AG130" i="17"/>
  <c r="BJ129" i="17"/>
  <c r="AG129" i="17"/>
  <c r="BJ128" i="17"/>
  <c r="AG128" i="17"/>
  <c r="AF128" i="17"/>
  <c r="AC128" i="17" s="1"/>
  <c r="BJ127" i="17"/>
  <c r="AG127" i="17"/>
  <c r="AF127" i="17"/>
  <c r="AC127" i="17" s="1"/>
  <c r="BJ126" i="17"/>
  <c r="AG126" i="17"/>
  <c r="BJ125" i="17"/>
  <c r="AG125" i="17"/>
  <c r="BJ124" i="17"/>
  <c r="AG124" i="17"/>
  <c r="BJ123" i="17"/>
  <c r="AG123" i="17"/>
  <c r="BJ122" i="17"/>
  <c r="AG122" i="17"/>
  <c r="BJ121" i="17"/>
  <c r="AG121" i="17"/>
  <c r="BJ120" i="17"/>
  <c r="AG120" i="17"/>
  <c r="BJ119" i="17"/>
  <c r="AG119" i="17"/>
  <c r="BJ118" i="17"/>
  <c r="AG118" i="17"/>
  <c r="BJ117" i="17"/>
  <c r="AG117" i="17"/>
  <c r="BJ116" i="17"/>
  <c r="AG116" i="17"/>
  <c r="BJ115" i="17"/>
  <c r="AG115" i="17"/>
  <c r="BJ114" i="17"/>
  <c r="AG114" i="17"/>
  <c r="BJ113" i="17"/>
  <c r="AG113" i="17"/>
  <c r="BJ112" i="17"/>
  <c r="AG112" i="17"/>
  <c r="BJ111" i="17"/>
  <c r="AG111" i="17"/>
  <c r="BJ110" i="17"/>
  <c r="AG110" i="17"/>
  <c r="BJ109" i="17"/>
  <c r="AG109" i="17"/>
  <c r="BJ108" i="17"/>
  <c r="AG108" i="17"/>
  <c r="BJ107" i="17"/>
  <c r="AG107" i="17"/>
  <c r="BJ106" i="17"/>
  <c r="AG106" i="17"/>
  <c r="BJ105" i="17"/>
  <c r="AG105" i="17"/>
  <c r="BJ104" i="17"/>
  <c r="AG104" i="17"/>
  <c r="BJ103" i="17"/>
  <c r="AG103" i="17"/>
  <c r="BJ102" i="17"/>
  <c r="AG102" i="17"/>
  <c r="BJ101" i="17"/>
  <c r="AG101" i="17"/>
  <c r="BJ100" i="17"/>
  <c r="AG100" i="17"/>
  <c r="BJ99" i="17"/>
  <c r="AG99" i="17"/>
  <c r="BJ98" i="17"/>
  <c r="AG98" i="17"/>
  <c r="BJ97" i="17"/>
  <c r="AG97" i="17"/>
  <c r="BJ96" i="17"/>
  <c r="AG96" i="17"/>
  <c r="BJ95" i="17"/>
  <c r="AG95" i="17"/>
  <c r="BJ94" i="17"/>
  <c r="AJ94" i="17"/>
  <c r="AJ81" i="17" s="1"/>
  <c r="AG94" i="17"/>
  <c r="AF94" i="17"/>
  <c r="BJ93" i="17"/>
  <c r="AG93" i="17"/>
  <c r="BJ92" i="17"/>
  <c r="AG92" i="17"/>
  <c r="BJ91" i="17"/>
  <c r="AG91" i="17"/>
  <c r="BJ90" i="17"/>
  <c r="AG90" i="17"/>
  <c r="BJ89" i="17"/>
  <c r="AG89" i="17"/>
  <c r="BJ88" i="17"/>
  <c r="AG88" i="17"/>
  <c r="BJ87" i="17"/>
  <c r="AG87" i="17"/>
  <c r="BJ86" i="17"/>
  <c r="AG86" i="17"/>
  <c r="BJ85" i="17"/>
  <c r="AG85" i="17"/>
  <c r="BJ84" i="17"/>
  <c r="AG84" i="17"/>
  <c r="BJ46" i="17"/>
  <c r="BJ45" i="17" s="1"/>
  <c r="AG46" i="17"/>
  <c r="AG45" i="17" s="1"/>
  <c r="BJ83" i="17"/>
  <c r="AG83" i="17"/>
  <c r="BJ82" i="17"/>
  <c r="AG82" i="17"/>
  <c r="BN81" i="17"/>
  <c r="BM81" i="17"/>
  <c r="BL81" i="17"/>
  <c r="BK81" i="17"/>
  <c r="BI81" i="17"/>
  <c r="BH81" i="17"/>
  <c r="BG81" i="17"/>
  <c r="BF81" i="17"/>
  <c r="BE81" i="17"/>
  <c r="BD81" i="17"/>
  <c r="BC81" i="17"/>
  <c r="BB81" i="17"/>
  <c r="BA81" i="17"/>
  <c r="AZ81" i="17"/>
  <c r="AY81" i="17"/>
  <c r="AX81" i="17"/>
  <c r="AW81" i="17"/>
  <c r="AV81" i="17"/>
  <c r="AU81" i="17"/>
  <c r="AT81" i="17"/>
  <c r="AS81" i="17"/>
  <c r="AR81" i="17"/>
  <c r="AQ81" i="17"/>
  <c r="AP81" i="17"/>
  <c r="AO81" i="17"/>
  <c r="AN81" i="17"/>
  <c r="AM81" i="17"/>
  <c r="AL81" i="17"/>
  <c r="AK81" i="17"/>
  <c r="AI81" i="17"/>
  <c r="AH81" i="17"/>
  <c r="AE81" i="17"/>
  <c r="AD81" i="17"/>
  <c r="AB81" i="17"/>
  <c r="AA81" i="17"/>
  <c r="Z81" i="17"/>
  <c r="Y81" i="17"/>
  <c r="X81" i="17"/>
  <c r="W81" i="17"/>
  <c r="V81" i="17"/>
  <c r="U81" i="17"/>
  <c r="T81" i="17"/>
  <c r="S81" i="17"/>
  <c r="R81" i="17"/>
  <c r="Q81" i="17"/>
  <c r="BP80" i="17"/>
  <c r="BJ80" i="17"/>
  <c r="BI80" i="17"/>
  <c r="BF80" i="17" s="1"/>
  <c r="AY80" i="17"/>
  <c r="AV80" i="17" s="1"/>
  <c r="AP80" i="17"/>
  <c r="AM80" i="17" s="1"/>
  <c r="AG80" i="17"/>
  <c r="AF80" i="17"/>
  <c r="AC80" i="17" s="1"/>
  <c r="BJ79" i="17"/>
  <c r="AG79" i="17"/>
  <c r="BJ78" i="17"/>
  <c r="AG78" i="17"/>
  <c r="CE77" i="17"/>
  <c r="BZ77" i="17"/>
  <c r="BS77" i="17"/>
  <c r="BP77" i="17" s="1"/>
  <c r="BJ77" i="17"/>
  <c r="BI77" i="17"/>
  <c r="BF77" i="17" s="1"/>
  <c r="AZ77" i="17"/>
  <c r="AY77" i="17" s="1"/>
  <c r="AV77" i="17" s="1"/>
  <c r="AP77" i="17"/>
  <c r="AM77" i="17" s="1"/>
  <c r="AG77" i="17"/>
  <c r="AF77" i="17"/>
  <c r="AC77" i="17" s="1"/>
  <c r="BJ76" i="17"/>
  <c r="AG76" i="17"/>
  <c r="BJ75" i="17"/>
  <c r="AG75" i="17"/>
  <c r="BJ74" i="17"/>
  <c r="AG74" i="17"/>
  <c r="BJ73" i="17"/>
  <c r="AG73" i="17"/>
  <c r="BJ72" i="17"/>
  <c r="AG72" i="17"/>
  <c r="BJ71" i="17"/>
  <c r="AG71" i="17"/>
  <c r="BJ70" i="17"/>
  <c r="AG70" i="17"/>
  <c r="BJ69" i="17"/>
  <c r="AG69" i="17"/>
  <c r="BJ68" i="17"/>
  <c r="AG68" i="17"/>
  <c r="BJ67" i="17"/>
  <c r="AG67" i="17"/>
  <c r="BJ66" i="17"/>
  <c r="AG66" i="17"/>
  <c r="BJ65" i="17"/>
  <c r="AG65" i="17"/>
  <c r="BJ64" i="17"/>
  <c r="AG64" i="17"/>
  <c r="BJ63" i="17"/>
  <c r="AG63" i="17"/>
  <c r="BJ62" i="17"/>
  <c r="AG62" i="17"/>
  <c r="BJ61" i="17"/>
  <c r="AG61" i="17"/>
  <c r="BJ60" i="17"/>
  <c r="AG60" i="17"/>
  <c r="BJ59" i="17"/>
  <c r="AG59" i="17"/>
  <c r="BJ58" i="17"/>
  <c r="AG58" i="17"/>
  <c r="BJ57" i="17"/>
  <c r="AG57" i="17"/>
  <c r="BJ56" i="17"/>
  <c r="AG56" i="17"/>
  <c r="BJ55" i="17"/>
  <c r="AG55" i="17"/>
  <c r="BJ54" i="17"/>
  <c r="AG54" i="17"/>
  <c r="BJ53" i="17"/>
  <c r="AG53" i="17"/>
  <c r="BJ52" i="17"/>
  <c r="AG52" i="17"/>
  <c r="CE51" i="17"/>
  <c r="BZ51" i="17"/>
  <c r="BP51" i="17"/>
  <c r="BJ51" i="17"/>
  <c r="BI51" i="17"/>
  <c r="BF51" i="17" s="1"/>
  <c r="AY51" i="17"/>
  <c r="AV51" i="17" s="1"/>
  <c r="AP51" i="17"/>
  <c r="AM51" i="17" s="1"/>
  <c r="AG51" i="17"/>
  <c r="AF51" i="17"/>
  <c r="AC51" i="17" s="1"/>
  <c r="BJ50" i="17"/>
  <c r="AG50" i="17"/>
  <c r="BJ49" i="17"/>
  <c r="AG49" i="17"/>
  <c r="BJ48" i="17"/>
  <c r="AG48" i="17"/>
  <c r="CN47" i="17"/>
  <c r="CM47" i="17"/>
  <c r="CL47" i="17"/>
  <c r="CK47" i="17"/>
  <c r="CJ47" i="17"/>
  <c r="CI47" i="17"/>
  <c r="CH47" i="17"/>
  <c r="CG47" i="17"/>
  <c r="CF47" i="17"/>
  <c r="CD47" i="17"/>
  <c r="CC47" i="17"/>
  <c r="CB47" i="17"/>
  <c r="CA47" i="17"/>
  <c r="BX47" i="17"/>
  <c r="BW47" i="17"/>
  <c r="BV47" i="17"/>
  <c r="BU47" i="17"/>
  <c r="BT47" i="17"/>
  <c r="BR47" i="17"/>
  <c r="BQ47" i="17"/>
  <c r="BO47" i="17"/>
  <c r="BN47" i="17"/>
  <c r="BM47" i="17"/>
  <c r="BL47" i="17"/>
  <c r="BK47" i="17"/>
  <c r="BH47" i="17"/>
  <c r="BG47" i="17"/>
  <c r="BD47" i="17"/>
  <c r="BC47" i="17"/>
  <c r="BB47" i="17"/>
  <c r="BA47" i="17"/>
  <c r="AX47" i="17"/>
  <c r="AW47" i="17"/>
  <c r="AU47" i="17"/>
  <c r="AT47" i="17"/>
  <c r="AS47" i="17"/>
  <c r="AR47" i="17"/>
  <c r="AQ47" i="17"/>
  <c r="AO47" i="17"/>
  <c r="AN47" i="17"/>
  <c r="AL47" i="17"/>
  <c r="AK47" i="17"/>
  <c r="AJ47" i="17"/>
  <c r="AI47" i="17"/>
  <c r="AH47" i="17"/>
  <c r="AE47" i="17"/>
  <c r="AD47" i="17"/>
  <c r="AB47" i="17"/>
  <c r="AA47" i="17"/>
  <c r="Z47" i="17"/>
  <c r="Y47" i="17"/>
  <c r="X47" i="17"/>
  <c r="W47" i="17"/>
  <c r="V47" i="17"/>
  <c r="U47" i="17"/>
  <c r="T47" i="17"/>
  <c r="S47" i="17"/>
  <c r="R47" i="17"/>
  <c r="Q47" i="17"/>
  <c r="P47" i="17"/>
  <c r="BJ44" i="17"/>
  <c r="AG44" i="17"/>
  <c r="BJ43" i="17"/>
  <c r="AG43" i="17"/>
  <c r="CN42" i="17"/>
  <c r="CM42" i="17"/>
  <c r="CL42" i="17"/>
  <c r="CK42" i="17"/>
  <c r="CJ42" i="17"/>
  <c r="CI42" i="17"/>
  <c r="CH42" i="17"/>
  <c r="CG42" i="17"/>
  <c r="CF42" i="17"/>
  <c r="CF41" i="17" s="1"/>
  <c r="CE42" i="17"/>
  <c r="CD42" i="17"/>
  <c r="CC42" i="17"/>
  <c r="CC41" i="17" s="1"/>
  <c r="CB42" i="17"/>
  <c r="CA42" i="17"/>
  <c r="BZ42" i="17"/>
  <c r="BY42" i="17"/>
  <c r="BX42" i="17"/>
  <c r="BW42" i="17"/>
  <c r="BV42" i="17"/>
  <c r="BU42" i="17"/>
  <c r="BT42" i="17"/>
  <c r="BS42" i="17"/>
  <c r="BR42" i="17"/>
  <c r="BQ42" i="17"/>
  <c r="BP42" i="17"/>
  <c r="BO42" i="17"/>
  <c r="BN42" i="17"/>
  <c r="BM42" i="17"/>
  <c r="BL42" i="17"/>
  <c r="BK42" i="17"/>
  <c r="BI42" i="17"/>
  <c r="BH42" i="17"/>
  <c r="BG42" i="17"/>
  <c r="BF42" i="17"/>
  <c r="BE42" i="17"/>
  <c r="BD42" i="17"/>
  <c r="BC42" i="17"/>
  <c r="BB42" i="17"/>
  <c r="BA42" i="17"/>
  <c r="AZ42" i="17"/>
  <c r="AY42" i="17"/>
  <c r="AX42" i="17"/>
  <c r="AW42" i="17"/>
  <c r="AV42" i="17"/>
  <c r="AU42" i="17"/>
  <c r="AT42" i="17"/>
  <c r="AS42" i="17"/>
  <c r="AR42" i="17"/>
  <c r="AQ42" i="17"/>
  <c r="AP42" i="17"/>
  <c r="AO42" i="17"/>
  <c r="AN42" i="17"/>
  <c r="AM42" i="17"/>
  <c r="AL42" i="17"/>
  <c r="AK42" i="17"/>
  <c r="AJ42" i="17"/>
  <c r="AI42" i="17"/>
  <c r="AH42" i="17"/>
  <c r="AF42" i="17"/>
  <c r="AE42" i="17"/>
  <c r="AD42" i="17"/>
  <c r="AC42" i="17"/>
  <c r="AB42" i="17"/>
  <c r="AA42" i="17"/>
  <c r="Z42" i="17"/>
  <c r="Y42" i="17"/>
  <c r="U42" i="17"/>
  <c r="T42" i="17"/>
  <c r="S42" i="17"/>
  <c r="R42" i="17"/>
  <c r="Q42" i="17"/>
  <c r="P42" i="17"/>
  <c r="BJ40" i="17"/>
  <c r="AG40" i="17"/>
  <c r="BJ39" i="17"/>
  <c r="AG39" i="17"/>
  <c r="AF39" i="17"/>
  <c r="AC39" i="17" s="1"/>
  <c r="BJ38" i="17"/>
  <c r="AG38" i="17"/>
  <c r="AF38" i="17"/>
  <c r="AC38" i="17" s="1"/>
  <c r="BJ37" i="17"/>
  <c r="AG37" i="17"/>
  <c r="BJ36" i="17"/>
  <c r="AG36" i="17"/>
  <c r="BN35" i="17"/>
  <c r="BM35" i="17"/>
  <c r="BL35" i="17"/>
  <c r="BK35" i="17"/>
  <c r="BI35" i="17"/>
  <c r="BH35" i="17"/>
  <c r="BG35" i="17"/>
  <c r="BF35" i="17"/>
  <c r="BE35" i="17"/>
  <c r="BD35" i="17"/>
  <c r="BC35" i="17"/>
  <c r="BB35" i="17"/>
  <c r="BA35" i="17"/>
  <c r="AZ35" i="17"/>
  <c r="AY35" i="17"/>
  <c r="AX35" i="17"/>
  <c r="AW35" i="17"/>
  <c r="AV35" i="17"/>
  <c r="AU35" i="17"/>
  <c r="AT35" i="17"/>
  <c r="AS35" i="17"/>
  <c r="AR35" i="17"/>
  <c r="AQ35" i="17"/>
  <c r="AP35" i="17"/>
  <c r="AO35" i="17"/>
  <c r="AN35" i="17"/>
  <c r="AM35" i="17"/>
  <c r="AL35" i="17"/>
  <c r="AK35" i="17"/>
  <c r="AJ35" i="17"/>
  <c r="AI35" i="17"/>
  <c r="AH35" i="17"/>
  <c r="AE35" i="17"/>
  <c r="AD35" i="17"/>
  <c r="AB35" i="17"/>
  <c r="AA35" i="17"/>
  <c r="Z35" i="17"/>
  <c r="Y35" i="17"/>
  <c r="X35" i="17"/>
  <c r="W35" i="17"/>
  <c r="V35" i="17"/>
  <c r="U35" i="17"/>
  <c r="T35" i="17"/>
  <c r="S35" i="17"/>
  <c r="R35" i="17"/>
  <c r="Q35" i="17"/>
  <c r="P35" i="17"/>
  <c r="BJ34" i="17"/>
  <c r="AG34" i="17"/>
  <c r="BJ33" i="17"/>
  <c r="AG33" i="17"/>
  <c r="BJ32" i="17"/>
  <c r="AG32" i="17"/>
  <c r="CE31" i="17"/>
  <c r="BZ31" i="17"/>
  <c r="BP31" i="17"/>
  <c r="BJ31" i="17"/>
  <c r="BI31" i="17"/>
  <c r="BF31" i="17" s="1"/>
  <c r="AY31" i="17"/>
  <c r="AV31" i="17" s="1"/>
  <c r="AP31" i="17"/>
  <c r="AM31" i="17" s="1"/>
  <c r="AG31" i="17"/>
  <c r="AF31" i="17"/>
  <c r="CE30" i="17"/>
  <c r="BZ30" i="17"/>
  <c r="BP30" i="17"/>
  <c r="BJ30" i="17"/>
  <c r="BI30" i="17"/>
  <c r="BF30" i="17" s="1"/>
  <c r="AY30" i="17"/>
  <c r="AP30" i="17"/>
  <c r="AM30" i="17" s="1"/>
  <c r="AG30" i="17"/>
  <c r="AF30" i="17"/>
  <c r="AC30" i="17" s="1"/>
  <c r="BJ29" i="17"/>
  <c r="AG29" i="17"/>
  <c r="BJ28" i="17"/>
  <c r="AG28" i="17"/>
  <c r="BN27" i="17"/>
  <c r="BM27" i="17"/>
  <c r="BL27" i="17"/>
  <c r="BK27" i="17"/>
  <c r="BH27" i="17"/>
  <c r="BG27" i="17"/>
  <c r="BD27" i="17"/>
  <c r="BC27" i="17"/>
  <c r="BB27" i="17"/>
  <c r="BA27" i="17"/>
  <c r="AZ27" i="17"/>
  <c r="AX27" i="17"/>
  <c r="AW27" i="17"/>
  <c r="AU27" i="17"/>
  <c r="AT27" i="17"/>
  <c r="AS27" i="17"/>
  <c r="AR27" i="17"/>
  <c r="AQ27" i="17"/>
  <c r="AO27" i="17"/>
  <c r="AN27" i="17"/>
  <c r="AL27" i="17"/>
  <c r="AK27" i="17"/>
  <c r="AJ27" i="17"/>
  <c r="AI27" i="17"/>
  <c r="AH27" i="17"/>
  <c r="AE27" i="17"/>
  <c r="AD27" i="17"/>
  <c r="AB27" i="17"/>
  <c r="AA27" i="17"/>
  <c r="Z27" i="17"/>
  <c r="Y27" i="17"/>
  <c r="X27" i="17"/>
  <c r="W27" i="17"/>
  <c r="V27" i="17"/>
  <c r="U27" i="17"/>
  <c r="T27" i="17"/>
  <c r="S27" i="17"/>
  <c r="R27" i="17"/>
  <c r="Q27" i="17"/>
  <c r="CE26" i="17"/>
  <c r="CE25" i="17" s="1"/>
  <c r="BZ26" i="17"/>
  <c r="BZ25" i="17" s="1"/>
  <c r="BP26" i="17"/>
  <c r="BP25" i="17" s="1"/>
  <c r="BJ26" i="17"/>
  <c r="BJ25" i="17" s="1"/>
  <c r="BI26" i="17"/>
  <c r="BF26" i="17" s="1"/>
  <c r="AZ26" i="17"/>
  <c r="AZ25" i="17" s="1"/>
  <c r="AQ26" i="17"/>
  <c r="AP26" i="17" s="1"/>
  <c r="AG26" i="17"/>
  <c r="AG25" i="17" s="1"/>
  <c r="AF26" i="17"/>
  <c r="AC26" i="17" s="1"/>
  <c r="AC25" i="17" s="1"/>
  <c r="S26" i="17"/>
  <c r="S25" i="17" s="1"/>
  <c r="Q26" i="17"/>
  <c r="BN25" i="17"/>
  <c r="BM25" i="17"/>
  <c r="BL25" i="17"/>
  <c r="BK25" i="17"/>
  <c r="BH25" i="17"/>
  <c r="BG25" i="17"/>
  <c r="BD25" i="17"/>
  <c r="BC25" i="17"/>
  <c r="BB25" i="17"/>
  <c r="BA25" i="17"/>
  <c r="AX25" i="17"/>
  <c r="AW25" i="17"/>
  <c r="AU25" i="17"/>
  <c r="AT25" i="17"/>
  <c r="AS25" i="17"/>
  <c r="AR25" i="17"/>
  <c r="AO25" i="17"/>
  <c r="AN25" i="17"/>
  <c r="AL25" i="17"/>
  <c r="AK25" i="17"/>
  <c r="AJ25" i="17"/>
  <c r="AI25" i="17"/>
  <c r="AH25" i="17"/>
  <c r="AE25" i="17"/>
  <c r="AD25" i="17"/>
  <c r="AB25" i="17"/>
  <c r="AA25" i="17"/>
  <c r="Z25" i="17"/>
  <c r="Y25" i="17"/>
  <c r="T25" i="17"/>
  <c r="R25" i="17"/>
  <c r="BP22" i="17"/>
  <c r="BM22" i="17"/>
  <c r="BJ22" i="17"/>
  <c r="BB22" i="17"/>
  <c r="AY22" i="17" s="1"/>
  <c r="AS22" i="17"/>
  <c r="AS16" i="17" s="1"/>
  <c r="AK22" i="17"/>
  <c r="AK16" i="17" s="1"/>
  <c r="AJ22" i="17"/>
  <c r="AJ16" i="17" s="1"/>
  <c r="AG22" i="17"/>
  <c r="BP21" i="17"/>
  <c r="BJ21" i="17"/>
  <c r="BI21" i="17"/>
  <c r="BF21" i="17" s="1"/>
  <c r="AY21" i="17"/>
  <c r="AV21" i="17" s="1"/>
  <c r="AP21" i="17"/>
  <c r="AM21" i="17" s="1"/>
  <c r="AG21" i="17"/>
  <c r="AF21" i="17"/>
  <c r="AC21" i="17" s="1"/>
  <c r="BP20" i="17"/>
  <c r="BJ20" i="17"/>
  <c r="BI20" i="17"/>
  <c r="BF20" i="17" s="1"/>
  <c r="AY20" i="17"/>
  <c r="AV20" i="17" s="1"/>
  <c r="AP20" i="17"/>
  <c r="AM20" i="17" s="1"/>
  <c r="AG20" i="17"/>
  <c r="AF20" i="17"/>
  <c r="AC20" i="17" s="1"/>
  <c r="BP19" i="17"/>
  <c r="BJ19" i="17"/>
  <c r="BI19" i="17"/>
  <c r="BF19" i="17" s="1"/>
  <c r="AY19" i="17"/>
  <c r="AV19" i="17" s="1"/>
  <c r="AP19" i="17"/>
  <c r="AM19" i="17" s="1"/>
  <c r="AG19" i="17"/>
  <c r="AF19" i="17"/>
  <c r="AC19" i="17" s="1"/>
  <c r="CE18" i="17"/>
  <c r="CE16" i="17" s="1"/>
  <c r="BZ18" i="17"/>
  <c r="BZ16" i="17" s="1"/>
  <c r="BS18" i="17"/>
  <c r="BJ18" i="17"/>
  <c r="BI18" i="17"/>
  <c r="BF18" i="17" s="1"/>
  <c r="AY18" i="17"/>
  <c r="AV18" i="17" s="1"/>
  <c r="AP18" i="17"/>
  <c r="AM18" i="17" s="1"/>
  <c r="AG18" i="17"/>
  <c r="AF18" i="17"/>
  <c r="AC18" i="17" s="1"/>
  <c r="BJ17" i="17"/>
  <c r="AG17" i="17"/>
  <c r="BN16" i="17"/>
  <c r="BL16" i="17"/>
  <c r="BK16" i="17"/>
  <c r="BH16" i="17"/>
  <c r="BG16" i="17"/>
  <c r="BD16" i="17"/>
  <c r="BC16" i="17"/>
  <c r="BA16" i="17"/>
  <c r="AZ16" i="17"/>
  <c r="AX16" i="17"/>
  <c r="AW16" i="17"/>
  <c r="AU16" i="17"/>
  <c r="AT16" i="17"/>
  <c r="AR16" i="17"/>
  <c r="AQ16" i="17"/>
  <c r="AO16" i="17"/>
  <c r="AN16" i="17"/>
  <c r="AL16" i="17"/>
  <c r="AI16" i="17"/>
  <c r="AH16" i="17"/>
  <c r="AE16" i="17"/>
  <c r="AD16" i="17"/>
  <c r="AB16" i="17"/>
  <c r="AA16" i="17"/>
  <c r="Z16" i="17"/>
  <c r="Y16" i="17"/>
  <c r="U16" i="17"/>
  <c r="T16" i="17"/>
  <c r="S16" i="17"/>
  <c r="R16" i="17"/>
  <c r="Q16" i="17"/>
  <c r="V15" i="17" l="1"/>
  <c r="BO41" i="17"/>
  <c r="CJ41" i="17"/>
  <c r="CQ23" i="17"/>
  <c r="CQ15" i="17" s="1"/>
  <c r="AO41" i="17"/>
  <c r="AN41" i="17"/>
  <c r="X15" i="17"/>
  <c r="U15" i="17"/>
  <c r="CM41" i="17"/>
  <c r="CL41" i="17"/>
  <c r="CK41" i="17"/>
  <c r="Q41" i="17"/>
  <c r="S41" i="17"/>
  <c r="BM41" i="17"/>
  <c r="BA41" i="17"/>
  <c r="R41" i="17"/>
  <c r="BB41" i="17"/>
  <c r="BR41" i="17"/>
  <c r="P41" i="17"/>
  <c r="BD41" i="17"/>
  <c r="BQ41" i="17"/>
  <c r="AH41" i="17"/>
  <c r="T41" i="17"/>
  <c r="CH41" i="17"/>
  <c r="CG41" i="17"/>
  <c r="BZ27" i="17"/>
  <c r="BZ24" i="17" s="1"/>
  <c r="AL41" i="17"/>
  <c r="BK41" i="17"/>
  <c r="CI41" i="17"/>
  <c r="CA41" i="17"/>
  <c r="BC41" i="17"/>
  <c r="CN41" i="17"/>
  <c r="CR23" i="17"/>
  <c r="CR15" i="17" s="1"/>
  <c r="Y41" i="17"/>
  <c r="AT41" i="17"/>
  <c r="AX41" i="17"/>
  <c r="BW41" i="17"/>
  <c r="CE27" i="17"/>
  <c r="CE24" i="17" s="1"/>
  <c r="AD41" i="17"/>
  <c r="AI41" i="17"/>
  <c r="BG41" i="17"/>
  <c r="BL41" i="17"/>
  <c r="CB41" i="17"/>
  <c r="CP23" i="17"/>
  <c r="CP15" i="17" s="1"/>
  <c r="BP27" i="17"/>
  <c r="BP24" i="17" s="1"/>
  <c r="BP18" i="17"/>
  <c r="BP16" i="17" s="1"/>
  <c r="BS16" i="17"/>
  <c r="AU41" i="17"/>
  <c r="BT41" i="17"/>
  <c r="BX41" i="17"/>
  <c r="AA41" i="17"/>
  <c r="AE41" i="17"/>
  <c r="AJ41" i="17"/>
  <c r="AR41" i="17"/>
  <c r="BH41" i="17"/>
  <c r="BU41" i="17"/>
  <c r="Z41" i="17"/>
  <c r="AQ41" i="17"/>
  <c r="AY231" i="17"/>
  <c r="AB41" i="17"/>
  <c r="AK41" i="17"/>
  <c r="AS41" i="17"/>
  <c r="AW41" i="17"/>
  <c r="BN41" i="17"/>
  <c r="BV41" i="17"/>
  <c r="CD41" i="17"/>
  <c r="BK179" i="17"/>
  <c r="U168" i="17"/>
  <c r="BL24" i="17"/>
  <c r="BB16" i="17"/>
  <c r="BN179" i="17"/>
  <c r="AO179" i="17"/>
  <c r="AI24" i="17"/>
  <c r="BZ140" i="17"/>
  <c r="BZ138" i="17" s="1"/>
  <c r="BZ180" i="17"/>
  <c r="BZ179" i="17" s="1"/>
  <c r="AX194" i="17"/>
  <c r="W179" i="17"/>
  <c r="CO225" i="17"/>
  <c r="CO30" i="17"/>
  <c r="AF47" i="17"/>
  <c r="AW24" i="17"/>
  <c r="S168" i="17"/>
  <c r="AE168" i="17"/>
  <c r="X24" i="17"/>
  <c r="Y135" i="17"/>
  <c r="AO168" i="17"/>
  <c r="BA168" i="17"/>
  <c r="BN168" i="17"/>
  <c r="AZ24" i="17"/>
  <c r="BW194" i="17"/>
  <c r="BK231" i="17"/>
  <c r="AZ194" i="17"/>
  <c r="BJ42" i="17"/>
  <c r="CD135" i="17"/>
  <c r="BT135" i="17"/>
  <c r="Y24" i="17"/>
  <c r="AU179" i="17"/>
  <c r="CO214" i="17"/>
  <c r="AZ47" i="17"/>
  <c r="AZ41" i="17" s="1"/>
  <c r="AN135" i="17"/>
  <c r="AZ135" i="17"/>
  <c r="CK135" i="17"/>
  <c r="AE179" i="17"/>
  <c r="P26" i="17"/>
  <c r="P25" i="17" s="1"/>
  <c r="P24" i="17" s="1"/>
  <c r="CM135" i="17"/>
  <c r="AF140" i="17"/>
  <c r="AP22" i="17"/>
  <c r="AM22" i="17" s="1"/>
  <c r="AM16" i="17" s="1"/>
  <c r="AK179" i="17"/>
  <c r="CO199" i="17"/>
  <c r="AM203" i="17"/>
  <c r="BE203" i="17" s="1"/>
  <c r="BB140" i="17"/>
  <c r="BB135" i="17" s="1"/>
  <c r="AN179" i="17"/>
  <c r="BE202" i="17"/>
  <c r="AV230" i="17"/>
  <c r="BE230" i="17" s="1"/>
  <c r="CF135" i="17"/>
  <c r="CF23" i="17" s="1"/>
  <c r="CF15" i="17" s="1"/>
  <c r="R168" i="17"/>
  <c r="AD168" i="17"/>
  <c r="AQ168" i="17"/>
  <c r="BC168" i="17"/>
  <c r="BK194" i="17"/>
  <c r="CO206" i="17"/>
  <c r="AF156" i="17"/>
  <c r="BY210" i="17"/>
  <c r="AY27" i="17"/>
  <c r="AA24" i="17"/>
  <c r="Z135" i="17"/>
  <c r="CO197" i="17"/>
  <c r="BY227" i="17"/>
  <c r="BE213" i="17"/>
  <c r="BH24" i="17"/>
  <c r="BE196" i="17"/>
  <c r="AK24" i="17"/>
  <c r="AG42" i="17"/>
  <c r="V179" i="17"/>
  <c r="BR135" i="17"/>
  <c r="CO200" i="17"/>
  <c r="BI233" i="17"/>
  <c r="AN24" i="17"/>
  <c r="AA168" i="17"/>
  <c r="CO205" i="17"/>
  <c r="BE77" i="17"/>
  <c r="CN135" i="17"/>
  <c r="CO216" i="17"/>
  <c r="AF25" i="17"/>
  <c r="AU24" i="17"/>
  <c r="AC153" i="17"/>
  <c r="AC140" i="17" s="1"/>
  <c r="W168" i="17"/>
  <c r="AJ168" i="17"/>
  <c r="AV168" i="17"/>
  <c r="BH168" i="17"/>
  <c r="BU194" i="17"/>
  <c r="CO19" i="17"/>
  <c r="BK24" i="17"/>
  <c r="CO80" i="17"/>
  <c r="Q135" i="17"/>
  <c r="CJ135" i="17"/>
  <c r="CJ23" i="17" s="1"/>
  <c r="CJ15" i="17" s="1"/>
  <c r="BJ16" i="17"/>
  <c r="BK168" i="17"/>
  <c r="AJ24" i="17"/>
  <c r="R194" i="17"/>
  <c r="BG179" i="17"/>
  <c r="AL24" i="17"/>
  <c r="AY26" i="17"/>
  <c r="AY25" i="17" s="1"/>
  <c r="U24" i="17"/>
  <c r="AL135" i="17"/>
  <c r="AX135" i="17"/>
  <c r="BW135" i="17"/>
  <c r="CO153" i="17"/>
  <c r="X179" i="17"/>
  <c r="AL179" i="17"/>
  <c r="BE199" i="17"/>
  <c r="BY214" i="17"/>
  <c r="Z24" i="17"/>
  <c r="BG24" i="17"/>
  <c r="BB168" i="17"/>
  <c r="W24" i="17"/>
  <c r="BY223" i="17"/>
  <c r="BJ231" i="17"/>
  <c r="BD24" i="17"/>
  <c r="CE47" i="17"/>
  <c r="CE41" i="17" s="1"/>
  <c r="BJ156" i="17"/>
  <c r="AW179" i="17"/>
  <c r="AR24" i="17"/>
  <c r="AY140" i="17"/>
  <c r="AY135" i="17" s="1"/>
  <c r="U41" i="17"/>
  <c r="BQ135" i="17"/>
  <c r="T135" i="17"/>
  <c r="BU135" i="17"/>
  <c r="CG135" i="17"/>
  <c r="AY168" i="17"/>
  <c r="BK135" i="17"/>
  <c r="BM168" i="17"/>
  <c r="AA135" i="17"/>
  <c r="BX135" i="17"/>
  <c r="U135" i="17"/>
  <c r="AX24" i="17"/>
  <c r="AB135" i="17"/>
  <c r="AB24" i="17"/>
  <c r="AX179" i="17"/>
  <c r="BB24" i="17"/>
  <c r="BC24" i="17"/>
  <c r="CB135" i="17"/>
  <c r="T168" i="17"/>
  <c r="AF168" i="17"/>
  <c r="AS168" i="17"/>
  <c r="BE168" i="17"/>
  <c r="Z179" i="17"/>
  <c r="BL179" i="17"/>
  <c r="CO20" i="17"/>
  <c r="BE18" i="17"/>
  <c r="CC135" i="17"/>
  <c r="CC23" i="17" s="1"/>
  <c r="CC15" i="17" s="1"/>
  <c r="AS140" i="17"/>
  <c r="AS135" i="17" s="1"/>
  <c r="AM168" i="17"/>
  <c r="BH179" i="17"/>
  <c r="CO201" i="17"/>
  <c r="BY208" i="17"/>
  <c r="BG194" i="17"/>
  <c r="BV194" i="17"/>
  <c r="Q168" i="17"/>
  <c r="AC168" i="17"/>
  <c r="AP168" i="17"/>
  <c r="AA179" i="17"/>
  <c r="AS180" i="17"/>
  <c r="AS179" i="17" s="1"/>
  <c r="BH194" i="17"/>
  <c r="AG81" i="17"/>
  <c r="AC203" i="17"/>
  <c r="BJ209" i="17"/>
  <c r="BX194" i="17"/>
  <c r="BL135" i="17"/>
  <c r="V135" i="17"/>
  <c r="AW135" i="17"/>
  <c r="BS47" i="17"/>
  <c r="BS41" i="17" s="1"/>
  <c r="AF81" i="17"/>
  <c r="AK135" i="17"/>
  <c r="BJ169" i="17"/>
  <c r="R179" i="17"/>
  <c r="BE184" i="17"/>
  <c r="CI135" i="17"/>
  <c r="AD179" i="17"/>
  <c r="AP209" i="17"/>
  <c r="BL194" i="17"/>
  <c r="AS24" i="17"/>
  <c r="BM179" i="17"/>
  <c r="AE194" i="17"/>
  <c r="AU194" i="17"/>
  <c r="BY230" i="17"/>
  <c r="T179" i="17"/>
  <c r="AK194" i="17"/>
  <c r="BE212" i="17"/>
  <c r="CO224" i="17"/>
  <c r="BE228" i="17"/>
  <c r="AM47" i="17"/>
  <c r="AM41" i="17" s="1"/>
  <c r="AP140" i="17"/>
  <c r="AP135" i="17" s="1"/>
  <c r="X168" i="17"/>
  <c r="AK168" i="17"/>
  <c r="AW168" i="17"/>
  <c r="BI168" i="17"/>
  <c r="U179" i="17"/>
  <c r="AT179" i="17"/>
  <c r="AL194" i="17"/>
  <c r="AF217" i="17"/>
  <c r="BY229" i="17"/>
  <c r="AG35" i="17"/>
  <c r="AI179" i="17"/>
  <c r="AF22" i="17"/>
  <c r="AC22" i="17" s="1"/>
  <c r="AC16" i="17" s="1"/>
  <c r="BJ35" i="17"/>
  <c r="AH135" i="17"/>
  <c r="AT135" i="17"/>
  <c r="BE195" i="17"/>
  <c r="BE201" i="17"/>
  <c r="BE207" i="17"/>
  <c r="BE221" i="17"/>
  <c r="AI194" i="17"/>
  <c r="BE227" i="17"/>
  <c r="CO227" i="17"/>
  <c r="BE205" i="17"/>
  <c r="BE197" i="17"/>
  <c r="AM26" i="17"/>
  <c r="AM25" i="17" s="1"/>
  <c r="AP25" i="17"/>
  <c r="CO219" i="17"/>
  <c r="BY219" i="17"/>
  <c r="BE208" i="17"/>
  <c r="CO203" i="17"/>
  <c r="BY203" i="17"/>
  <c r="CO26" i="17"/>
  <c r="CO25" i="17" s="1"/>
  <c r="BF25" i="17"/>
  <c r="BJ27" i="17"/>
  <c r="AD135" i="17"/>
  <c r="W135" i="17"/>
  <c r="AH168" i="17"/>
  <c r="AT168" i="17"/>
  <c r="BF168" i="17"/>
  <c r="AG175" i="17"/>
  <c r="S179" i="17"/>
  <c r="CO210" i="17"/>
  <c r="BO194" i="17"/>
  <c r="BE219" i="17"/>
  <c r="BJ222" i="17"/>
  <c r="AP231" i="17"/>
  <c r="AO24" i="17"/>
  <c r="V24" i="17"/>
  <c r="BE51" i="17"/>
  <c r="AP47" i="17"/>
  <c r="AP41" i="17" s="1"/>
  <c r="AO135" i="17"/>
  <c r="BA135" i="17"/>
  <c r="CL135" i="17"/>
  <c r="CL23" i="17" s="1"/>
  <c r="CL15" i="17" s="1"/>
  <c r="R135" i="17"/>
  <c r="X135" i="17"/>
  <c r="AG169" i="17"/>
  <c r="V168" i="17"/>
  <c r="AZ179" i="17"/>
  <c r="AD194" i="17"/>
  <c r="AH194" i="17"/>
  <c r="BQ194" i="17"/>
  <c r="BP222" i="17"/>
  <c r="BY224" i="17"/>
  <c r="AG27" i="17"/>
  <c r="BO135" i="17"/>
  <c r="BO23" i="17" s="1"/>
  <c r="AJ135" i="17"/>
  <c r="BH135" i="17"/>
  <c r="S135" i="17"/>
  <c r="Y168" i="17"/>
  <c r="AL168" i="17"/>
  <c r="AX168" i="17"/>
  <c r="BA179" i="17"/>
  <c r="Y179" i="17"/>
  <c r="AN194" i="17"/>
  <c r="BR194" i="17"/>
  <c r="BI217" i="17"/>
  <c r="AF233" i="17"/>
  <c r="AF231" i="17" s="1"/>
  <c r="AQ25" i="17"/>
  <c r="AQ24" i="17" s="1"/>
  <c r="BI47" i="17"/>
  <c r="BI41" i="17" s="1"/>
  <c r="BM140" i="17"/>
  <c r="BM135" i="17" s="1"/>
  <c r="Z168" i="17"/>
  <c r="BB180" i="17"/>
  <c r="BB179" i="17" s="1"/>
  <c r="BY195" i="17"/>
  <c r="BY198" i="17"/>
  <c r="AG209" i="17"/>
  <c r="AF209" i="17"/>
  <c r="BE216" i="17"/>
  <c r="BJ217" i="17"/>
  <c r="AG233" i="17"/>
  <c r="AG231" i="17" s="1"/>
  <c r="CO21" i="17"/>
  <c r="BI27" i="17"/>
  <c r="P135" i="17"/>
  <c r="AR135" i="17"/>
  <c r="BD135" i="17"/>
  <c r="BN135" i="17"/>
  <c r="AG156" i="17"/>
  <c r="AN168" i="17"/>
  <c r="AZ168" i="17"/>
  <c r="BL168" i="17"/>
  <c r="BC179" i="17"/>
  <c r="BM194" i="17"/>
  <c r="AY209" i="17"/>
  <c r="BC194" i="17"/>
  <c r="BT194" i="17"/>
  <c r="BI25" i="17"/>
  <c r="AV30" i="17"/>
  <c r="BE30" i="17" s="1"/>
  <c r="BJ47" i="17"/>
  <c r="P168" i="17"/>
  <c r="AB168" i="17"/>
  <c r="BI184" i="17"/>
  <c r="BF184" i="17" s="1"/>
  <c r="BN194" i="17"/>
  <c r="AM210" i="17"/>
  <c r="BE210" i="17" s="1"/>
  <c r="AT24" i="17"/>
  <c r="CO31" i="17"/>
  <c r="CI138" i="17"/>
  <c r="BI152" i="17"/>
  <c r="BI140" i="17" s="1"/>
  <c r="BI135" i="17" s="1"/>
  <c r="AQ179" i="17"/>
  <c r="AP222" i="17"/>
  <c r="CO229" i="17"/>
  <c r="AH24" i="17"/>
  <c r="S24" i="17"/>
  <c r="BM24" i="17"/>
  <c r="AY47" i="17"/>
  <c r="AY41" i="17" s="1"/>
  <c r="BJ188" i="17"/>
  <c r="BA194" i="17"/>
  <c r="AQ194" i="17"/>
  <c r="BE226" i="17"/>
  <c r="AC35" i="17"/>
  <c r="T24" i="17"/>
  <c r="BZ47" i="17"/>
  <c r="BZ41" i="17" s="1"/>
  <c r="BV184" i="17"/>
  <c r="AR179" i="17"/>
  <c r="BD179" i="17"/>
  <c r="BY202" i="17"/>
  <c r="BB194" i="17"/>
  <c r="BE214" i="17"/>
  <c r="Q194" i="17"/>
  <c r="CH135" i="17"/>
  <c r="AI135" i="17"/>
  <c r="AU135" i="17"/>
  <c r="BG135" i="17"/>
  <c r="BJ175" i="17"/>
  <c r="P179" i="17"/>
  <c r="AB179" i="17"/>
  <c r="AO194" i="17"/>
  <c r="AT194" i="17"/>
  <c r="BE224" i="17"/>
  <c r="BA24" i="17"/>
  <c r="AF35" i="17"/>
  <c r="CE140" i="17"/>
  <c r="CE138" i="17" s="1"/>
  <c r="AR168" i="17"/>
  <c r="BD168" i="17"/>
  <c r="Q179" i="17"/>
  <c r="AG180" i="17"/>
  <c r="CE180" i="17"/>
  <c r="CE179" i="17" s="1"/>
  <c r="AG188" i="17"/>
  <c r="AW194" i="17"/>
  <c r="BD194" i="17"/>
  <c r="AG222" i="17"/>
  <c r="BY225" i="17"/>
  <c r="BY226" i="17"/>
  <c r="BY228" i="17"/>
  <c r="CO220" i="17"/>
  <c r="BF217" i="17"/>
  <c r="BP47" i="17"/>
  <c r="BP41" i="17" s="1"/>
  <c r="BY77" i="17"/>
  <c r="BY47" i="17" s="1"/>
  <c r="BY41" i="17" s="1"/>
  <c r="AR194" i="17"/>
  <c r="AE135" i="17"/>
  <c r="AQ135" i="17"/>
  <c r="BC135" i="17"/>
  <c r="AM140" i="17"/>
  <c r="AM135" i="17" s="1"/>
  <c r="BZ194" i="17"/>
  <c r="AG16" i="17"/>
  <c r="AC217" i="17"/>
  <c r="AC222" i="17"/>
  <c r="AC81" i="17"/>
  <c r="BE153" i="17"/>
  <c r="BJ180" i="17"/>
  <c r="CE194" i="17"/>
  <c r="AE24" i="17"/>
  <c r="AP27" i="17"/>
  <c r="AF27" i="17"/>
  <c r="AC31" i="17"/>
  <c r="AC27" i="17" s="1"/>
  <c r="AC47" i="17"/>
  <c r="AM180" i="17"/>
  <c r="AM179" i="17" s="1"/>
  <c r="CO202" i="17"/>
  <c r="AC210" i="17"/>
  <c r="AC209" i="17" s="1"/>
  <c r="AM225" i="17"/>
  <c r="AM222" i="17" s="1"/>
  <c r="CA135" i="17"/>
  <c r="AD24" i="17"/>
  <c r="AJ179" i="17"/>
  <c r="AV181" i="17"/>
  <c r="AY180" i="17"/>
  <c r="AY179" i="17" s="1"/>
  <c r="BE229" i="17"/>
  <c r="AP217" i="17"/>
  <c r="AM218" i="17"/>
  <c r="AM217" i="17" s="1"/>
  <c r="AV22" i="17"/>
  <c r="AY16" i="17"/>
  <c r="BJ81" i="17"/>
  <c r="R24" i="17"/>
  <c r="AM27" i="17"/>
  <c r="BE31" i="17"/>
  <c r="AV47" i="17"/>
  <c r="AV41" i="17" s="1"/>
  <c r="BV140" i="17"/>
  <c r="BS152" i="17"/>
  <c r="AC159" i="17"/>
  <c r="AC156" i="17" s="1"/>
  <c r="BE200" i="17"/>
  <c r="BE204" i="17"/>
  <c r="BE206" i="17"/>
  <c r="CO208" i="17"/>
  <c r="AV217" i="17"/>
  <c r="BE220" i="17"/>
  <c r="BE223" i="17"/>
  <c r="AV222" i="17"/>
  <c r="CO226" i="17"/>
  <c r="BY199" i="17"/>
  <c r="BM16" i="17"/>
  <c r="BI22" i="17"/>
  <c r="CO51" i="17"/>
  <c r="BF47" i="17"/>
  <c r="BF41" i="17" s="1"/>
  <c r="CO204" i="17"/>
  <c r="BY221" i="17"/>
  <c r="CO221" i="17"/>
  <c r="BF222" i="17"/>
  <c r="CO223" i="17"/>
  <c r="CO228" i="17"/>
  <c r="BS194" i="17"/>
  <c r="BP207" i="17"/>
  <c r="BY207" i="17" s="1"/>
  <c r="BE215" i="17"/>
  <c r="BY218" i="17"/>
  <c r="CO218" i="17"/>
  <c r="CO230" i="17"/>
  <c r="BN24" i="17"/>
  <c r="AG47" i="17"/>
  <c r="CO77" i="17"/>
  <c r="BJ140" i="17"/>
  <c r="CO195" i="17"/>
  <c r="CO198" i="17"/>
  <c r="CO215" i="17"/>
  <c r="AG140" i="17"/>
  <c r="AI168" i="17"/>
  <c r="AU168" i="17"/>
  <c r="BG168" i="17"/>
  <c r="BP209" i="17"/>
  <c r="BY215" i="17"/>
  <c r="BY220" i="17"/>
  <c r="BP217" i="17"/>
  <c r="AY222" i="17"/>
  <c r="AP180" i="17"/>
  <c r="AP179" i="17" s="1"/>
  <c r="BF181" i="17"/>
  <c r="AV198" i="17"/>
  <c r="BE198" i="17" s="1"/>
  <c r="AG217" i="17"/>
  <c r="Q25" i="17"/>
  <c r="Q24" i="17" s="1"/>
  <c r="BY216" i="17"/>
  <c r="BF27" i="17"/>
  <c r="BF209" i="17"/>
  <c r="AH180" i="17"/>
  <c r="AH179" i="17" s="1"/>
  <c r="AF181" i="17"/>
  <c r="AY217" i="17"/>
  <c r="AF222" i="17"/>
  <c r="AV152" i="17"/>
  <c r="AV211" i="17"/>
  <c r="BE211" i="17" s="1"/>
  <c r="BI222" i="17"/>
  <c r="N244" i="12"/>
  <c r="O244" i="12"/>
  <c r="P244" i="12"/>
  <c r="Q244" i="12"/>
  <c r="Q13" i="12" s="1"/>
  <c r="R244" i="12"/>
  <c r="R13" i="12" s="1"/>
  <c r="S244" i="12"/>
  <c r="S13" i="12" s="1"/>
  <c r="T244" i="12"/>
  <c r="T13" i="12" s="1"/>
  <c r="U244" i="12"/>
  <c r="V244" i="12"/>
  <c r="W244" i="12"/>
  <c r="X244" i="12"/>
  <c r="Y244" i="12"/>
  <c r="Z244" i="12"/>
  <c r="AA244" i="12"/>
  <c r="AB244" i="12"/>
  <c r="AC244" i="12"/>
  <c r="AD244" i="12"/>
  <c r="AE244" i="12"/>
  <c r="AF244" i="12"/>
  <c r="AG244" i="12"/>
  <c r="AH244" i="12"/>
  <c r="AI244" i="12"/>
  <c r="AJ244" i="12"/>
  <c r="AK244" i="12"/>
  <c r="AL244" i="12"/>
  <c r="AM244" i="12"/>
  <c r="AN244" i="12"/>
  <c r="AO244" i="12"/>
  <c r="AP244" i="12"/>
  <c r="AQ244" i="12"/>
  <c r="AR244" i="12"/>
  <c r="AS244" i="12"/>
  <c r="AT244" i="12"/>
  <c r="AU244" i="12"/>
  <c r="AV244" i="12"/>
  <c r="AW244" i="12"/>
  <c r="AX244" i="12"/>
  <c r="AY244" i="12"/>
  <c r="AZ244" i="12"/>
  <c r="BA244" i="12"/>
  <c r="BB244" i="12"/>
  <c r="BC244" i="12"/>
  <c r="BD244" i="12"/>
  <c r="BE244" i="12"/>
  <c r="BF244" i="12"/>
  <c r="BG244" i="12"/>
  <c r="BH244" i="12"/>
  <c r="BI244" i="12"/>
  <c r="BJ244" i="12"/>
  <c r="BK244" i="12"/>
  <c r="BL244" i="12"/>
  <c r="BM244" i="12"/>
  <c r="BN244" i="12"/>
  <c r="BO244" i="12"/>
  <c r="BP244" i="12"/>
  <c r="BQ244" i="12"/>
  <c r="BR244" i="12"/>
  <c r="M244" i="12"/>
  <c r="N14" i="9"/>
  <c r="O14" i="9"/>
  <c r="P14" i="9"/>
  <c r="Q14" i="9"/>
  <c r="R14" i="9"/>
  <c r="T14" i="9"/>
  <c r="U14" i="9"/>
  <c r="V14" i="9"/>
  <c r="X14" i="9"/>
  <c r="Y14" i="9"/>
  <c r="AA14" i="9"/>
  <c r="AC14" i="9"/>
  <c r="AE14" i="9"/>
  <c r="AF14" i="9"/>
  <c r="AH14" i="9"/>
  <c r="AI14" i="9"/>
  <c r="AK14" i="9"/>
  <c r="AM14" i="9"/>
  <c r="AN14" i="9"/>
  <c r="AP14" i="9"/>
  <c r="AQ14" i="9"/>
  <c r="AS14" i="9"/>
  <c r="AU14" i="9"/>
  <c r="AV14" i="9"/>
  <c r="AX14" i="9"/>
  <c r="AY14" i="9"/>
  <c r="AZ14" i="9"/>
  <c r="M14" i="9"/>
  <c r="N106" i="9"/>
  <c r="O106" i="9"/>
  <c r="P106" i="9"/>
  <c r="Q106" i="9"/>
  <c r="R106" i="9"/>
  <c r="S106" i="9"/>
  <c r="T106" i="9"/>
  <c r="U106" i="9"/>
  <c r="V106" i="9"/>
  <c r="X106" i="9"/>
  <c r="Y106" i="9"/>
  <c r="AA106" i="9"/>
  <c r="AB106" i="9"/>
  <c r="AC106" i="9"/>
  <c r="AD106" i="9"/>
  <c r="AE106" i="9"/>
  <c r="AF106" i="9"/>
  <c r="AG106" i="9"/>
  <c r="AH106" i="9"/>
  <c r="AI106" i="9"/>
  <c r="AJ106" i="9"/>
  <c r="AK106" i="9"/>
  <c r="AL106" i="9"/>
  <c r="AM106" i="9"/>
  <c r="AN106" i="9"/>
  <c r="AO106" i="9"/>
  <c r="AP106" i="9"/>
  <c r="AQ106" i="9"/>
  <c r="AR106" i="9"/>
  <c r="AS106" i="9"/>
  <c r="AU106" i="9"/>
  <c r="AV106" i="9"/>
  <c r="AX106" i="9"/>
  <c r="AY106" i="9"/>
  <c r="AZ106" i="9"/>
  <c r="BA106" i="9"/>
  <c r="BB106" i="9"/>
  <c r="BC106" i="9"/>
  <c r="BD106" i="9"/>
  <c r="BE106" i="9"/>
  <c r="BF106" i="9"/>
  <c r="BG106" i="9"/>
  <c r="BH106" i="9"/>
  <c r="BI106" i="9"/>
  <c r="BJ106" i="9"/>
  <c r="BK106" i="9"/>
  <c r="BL106" i="9"/>
  <c r="BM106" i="9"/>
  <c r="BN106" i="9"/>
  <c r="BO106" i="9"/>
  <c r="BP106" i="9"/>
  <c r="BQ106" i="9"/>
  <c r="BR106" i="9"/>
  <c r="BS106" i="9"/>
  <c r="BT106" i="9"/>
  <c r="BU106" i="9"/>
  <c r="BX106" i="9"/>
  <c r="M106" i="9"/>
  <c r="N101" i="7"/>
  <c r="O101" i="7"/>
  <c r="P101" i="7"/>
  <c r="Q101" i="7"/>
  <c r="R101" i="7"/>
  <c r="S101" i="7"/>
  <c r="T101" i="7"/>
  <c r="U101" i="7"/>
  <c r="V101" i="7"/>
  <c r="X101" i="7"/>
  <c r="Y101" i="7"/>
  <c r="Z101" i="7"/>
  <c r="AB101" i="7"/>
  <c r="AC101" i="7"/>
  <c r="AE101" i="7"/>
  <c r="AF101" i="7"/>
  <c r="AH101" i="7"/>
  <c r="AI101" i="7"/>
  <c r="AJ101" i="7"/>
  <c r="AK101" i="7"/>
  <c r="AM101" i="7"/>
  <c r="AN101" i="7"/>
  <c r="AO101" i="7"/>
  <c r="AP101" i="7"/>
  <c r="AQ101" i="7"/>
  <c r="AR101" i="7"/>
  <c r="AS101" i="7"/>
  <c r="AU101" i="7"/>
  <c r="AV101" i="7"/>
  <c r="AX101" i="7"/>
  <c r="AY101" i="7"/>
  <c r="AZ101" i="7"/>
  <c r="BA101" i="7"/>
  <c r="BB101" i="7"/>
  <c r="BC101" i="7"/>
  <c r="BD101" i="7"/>
  <c r="BE101" i="7"/>
  <c r="BF101" i="7"/>
  <c r="BG101" i="7"/>
  <c r="BH101" i="7"/>
  <c r="BI101" i="7"/>
  <c r="BJ101" i="7"/>
  <c r="BK101" i="7"/>
  <c r="BL101" i="7"/>
  <c r="BM101" i="7"/>
  <c r="BN101" i="7"/>
  <c r="BO101" i="7"/>
  <c r="BP101" i="7"/>
  <c r="BQ101" i="7"/>
  <c r="BR101" i="7"/>
  <c r="BS101" i="7"/>
  <c r="BT101" i="7"/>
  <c r="BU101" i="7"/>
  <c r="M101" i="7"/>
  <c r="AD114" i="11"/>
  <c r="AE114" i="11"/>
  <c r="AF114" i="11"/>
  <c r="AG114" i="11"/>
  <c r="AH114" i="11"/>
  <c r="AI114" i="11"/>
  <c r="AJ114" i="11"/>
  <c r="AM114" i="11"/>
  <c r="AN114" i="11"/>
  <c r="AO114" i="11"/>
  <c r="AP114" i="11"/>
  <c r="AQ114" i="11"/>
  <c r="AR114" i="11"/>
  <c r="AS114" i="11"/>
  <c r="AV114" i="11"/>
  <c r="AW114" i="11"/>
  <c r="AX114" i="11"/>
  <c r="AY114" i="11"/>
  <c r="BA114" i="11"/>
  <c r="BB114" i="11"/>
  <c r="BE114" i="11"/>
  <c r="BF114" i="11"/>
  <c r="BG114" i="11"/>
  <c r="BH114" i="11"/>
  <c r="BI114" i="11"/>
  <c r="BJ114" i="11"/>
  <c r="BK114" i="11"/>
  <c r="BL114" i="11"/>
  <c r="BM114" i="11"/>
  <c r="BN114" i="11"/>
  <c r="BN13" i="11" s="1"/>
  <c r="BO114" i="11"/>
  <c r="BO13" i="11" s="1"/>
  <c r="BP114" i="11"/>
  <c r="BP13" i="11" s="1"/>
  <c r="BQ114" i="11"/>
  <c r="BR114" i="11"/>
  <c r="BR13" i="11" s="1"/>
  <c r="BS114" i="11"/>
  <c r="BS13" i="11" s="1"/>
  <c r="BT114" i="11"/>
  <c r="BT13" i="11" s="1"/>
  <c r="BU114" i="11"/>
  <c r="BV114" i="11"/>
  <c r="BV13" i="11" s="1"/>
  <c r="BW114" i="11"/>
  <c r="BW13" i="11" s="1"/>
  <c r="BX114" i="11"/>
  <c r="BX13" i="11" s="1"/>
  <c r="BY114" i="11"/>
  <c r="BZ114" i="11"/>
  <c r="BZ13" i="11" s="1"/>
  <c r="CA114" i="11"/>
  <c r="CA13" i="11" s="1"/>
  <c r="CB114" i="11"/>
  <c r="CB13" i="11" s="1"/>
  <c r="BO15" i="17" l="1"/>
  <c r="BR23" i="17"/>
  <c r="BR15" i="17" s="1"/>
  <c r="CK23" i="17"/>
  <c r="CK15" i="17" s="1"/>
  <c r="BW23" i="17"/>
  <c r="BX23" i="17"/>
  <c r="BX15" i="17"/>
  <c r="BW15" i="17"/>
  <c r="CH23" i="17"/>
  <c r="CH15" i="17" s="1"/>
  <c r="CM23" i="17"/>
  <c r="CM15" i="17" s="1"/>
  <c r="CG23" i="17"/>
  <c r="CG15" i="17" s="1"/>
  <c r="CD23" i="17"/>
  <c r="CD15" i="17" s="1"/>
  <c r="BU23" i="17"/>
  <c r="BU15" i="17" s="1"/>
  <c r="BQ23" i="17"/>
  <c r="BQ15" i="17" s="1"/>
  <c r="CA23" i="17"/>
  <c r="CA15" i="17" s="1"/>
  <c r="AC41" i="17"/>
  <c r="CO18" i="17"/>
  <c r="CI23" i="17"/>
  <c r="CI15" i="17" s="1"/>
  <c r="BY18" i="17"/>
  <c r="BY16" i="17" s="1"/>
  <c r="CN23" i="17"/>
  <c r="CN15" i="17" s="1"/>
  <c r="BT23" i="17"/>
  <c r="BT15" i="17" s="1"/>
  <c r="CB23" i="17"/>
  <c r="CB15" i="17" s="1"/>
  <c r="CO27" i="17"/>
  <c r="CO24" i="17" s="1"/>
  <c r="CO23" i="17" s="1"/>
  <c r="AF41" i="17"/>
  <c r="BJ41" i="17"/>
  <c r="AG41" i="17"/>
  <c r="BZ135" i="17"/>
  <c r="BE47" i="17"/>
  <c r="BE41" i="17" s="1"/>
  <c r="AV26" i="17"/>
  <c r="BE26" i="17" s="1"/>
  <c r="BE25" i="17" s="1"/>
  <c r="AF135" i="17"/>
  <c r="BI24" i="17"/>
  <c r="AK23" i="17"/>
  <c r="AK15" i="17" s="1"/>
  <c r="AX23" i="17"/>
  <c r="AX15" i="17" s="1"/>
  <c r="BK23" i="17"/>
  <c r="BK15" i="17" s="1"/>
  <c r="AM209" i="17"/>
  <c r="AM194" i="17" s="1"/>
  <c r="BE22" i="17"/>
  <c r="BE16" i="17" s="1"/>
  <c r="AY24" i="17"/>
  <c r="AY23" i="17" s="1"/>
  <c r="AP16" i="17"/>
  <c r="BJ135" i="17"/>
  <c r="BB23" i="17"/>
  <c r="BB15" i="17" s="1"/>
  <c r="AW23" i="17"/>
  <c r="AW15" i="17" s="1"/>
  <c r="AC135" i="17"/>
  <c r="BF233" i="17"/>
  <c r="BF231" i="17" s="1"/>
  <c r="BI231" i="17"/>
  <c r="AL23" i="17"/>
  <c r="AL15" i="17" s="1"/>
  <c r="BN23" i="17"/>
  <c r="BN15" i="17" s="1"/>
  <c r="BI180" i="17"/>
  <c r="BI179" i="17" s="1"/>
  <c r="BE218" i="17"/>
  <c r="BE217" i="17" s="1"/>
  <c r="BI194" i="17"/>
  <c r="AG135" i="17"/>
  <c r="BJ179" i="17"/>
  <c r="AU23" i="17"/>
  <c r="AU15" i="17" s="1"/>
  <c r="AP194" i="17"/>
  <c r="AC233" i="17"/>
  <c r="AC231" i="17" s="1"/>
  <c r="BC23" i="17"/>
  <c r="BC15" i="17" s="1"/>
  <c r="AA23" i="17"/>
  <c r="AA15" i="17" s="1"/>
  <c r="BJ24" i="17"/>
  <c r="BA23" i="17"/>
  <c r="BA15" i="17" s="1"/>
  <c r="Z23" i="17"/>
  <c r="Z15" i="17" s="1"/>
  <c r="BF24" i="17"/>
  <c r="AP24" i="17"/>
  <c r="AP23" i="17" s="1"/>
  <c r="BL23" i="17"/>
  <c r="BL15" i="17" s="1"/>
  <c r="AZ23" i="17"/>
  <c r="AZ15" i="17" s="1"/>
  <c r="BH23" i="17"/>
  <c r="BH15" i="17" s="1"/>
  <c r="AN23" i="17"/>
  <c r="AN15" i="17" s="1"/>
  <c r="AG168" i="17"/>
  <c r="P23" i="17"/>
  <c r="P15" i="17" s="1"/>
  <c r="AS23" i="17"/>
  <c r="AS15" i="17" s="1"/>
  <c r="BJ168" i="17"/>
  <c r="AG24" i="17"/>
  <c r="AR23" i="17"/>
  <c r="AR15" i="17" s="1"/>
  <c r="AB23" i="17"/>
  <c r="AB15" i="17" s="1"/>
  <c r="AQ23" i="17"/>
  <c r="AQ15" i="17" s="1"/>
  <c r="BE27" i="17"/>
  <c r="AF194" i="17"/>
  <c r="BP194" i="17"/>
  <c r="AG194" i="17"/>
  <c r="AT23" i="17"/>
  <c r="AT15" i="17" s="1"/>
  <c r="AF16" i="17"/>
  <c r="BD23" i="17"/>
  <c r="BD15" i="17" s="1"/>
  <c r="Q23" i="17"/>
  <c r="Q15" i="17" s="1"/>
  <c r="AI23" i="17"/>
  <c r="AI15" i="17" s="1"/>
  <c r="S23" i="17"/>
  <c r="S15" i="17" s="1"/>
  <c r="AF24" i="17"/>
  <c r="Y23" i="17"/>
  <c r="Y15" i="17" s="1"/>
  <c r="AO23" i="17"/>
  <c r="AO15" i="17" s="1"/>
  <c r="BJ194" i="17"/>
  <c r="T23" i="17"/>
  <c r="T15" i="17" s="1"/>
  <c r="AJ23" i="17"/>
  <c r="AJ15" i="17" s="1"/>
  <c r="AE23" i="17"/>
  <c r="AE15" i="17" s="1"/>
  <c r="AG179" i="17"/>
  <c r="AH23" i="17"/>
  <c r="AH15" i="17" s="1"/>
  <c r="AC24" i="17"/>
  <c r="CO207" i="17"/>
  <c r="CO194" i="17" s="1"/>
  <c r="AV27" i="17"/>
  <c r="R23" i="17"/>
  <c r="R15" i="17" s="1"/>
  <c r="AD23" i="17"/>
  <c r="AD15" i="17" s="1"/>
  <c r="AM24" i="17"/>
  <c r="AM23" i="17" s="1"/>
  <c r="BG23" i="17"/>
  <c r="BG15" i="17" s="1"/>
  <c r="CE135" i="17"/>
  <c r="BM23" i="17"/>
  <c r="BM15" i="17" s="1"/>
  <c r="BS184" i="17"/>
  <c r="BV180" i="17"/>
  <c r="BV179" i="17" s="1"/>
  <c r="BF152" i="17"/>
  <c r="BF140" i="17" s="1"/>
  <c r="BF135" i="17" s="1"/>
  <c r="BE225" i="17"/>
  <c r="BE222" i="17" s="1"/>
  <c r="CO181" i="17"/>
  <c r="BF180" i="17"/>
  <c r="BF179" i="17" s="1"/>
  <c r="AV180" i="17"/>
  <c r="AV179" i="17" s="1"/>
  <c r="BE181" i="17"/>
  <c r="BE180" i="17" s="1"/>
  <c r="BE179" i="17" s="1"/>
  <c r="AC194" i="17"/>
  <c r="BS140" i="17"/>
  <c r="BP152" i="17"/>
  <c r="AY194" i="17"/>
  <c r="BV138" i="17"/>
  <c r="BV135" i="17"/>
  <c r="BE152" i="17"/>
  <c r="BE140" i="17" s="1"/>
  <c r="BE135" i="17" s="1"/>
  <c r="AV140" i="17"/>
  <c r="AV135" i="17" s="1"/>
  <c r="AV209" i="17"/>
  <c r="AC181" i="17"/>
  <c r="AC180" i="17" s="1"/>
  <c r="AC179" i="17" s="1"/>
  <c r="AF180" i="17"/>
  <c r="AF179" i="17" s="1"/>
  <c r="AV16" i="17"/>
  <c r="BF194" i="17"/>
  <c r="BF22" i="17"/>
  <c r="BI16" i="17"/>
  <c r="AM15" i="17" l="1"/>
  <c r="AP15" i="17"/>
  <c r="AY15" i="17"/>
  <c r="BV23" i="17"/>
  <c r="BV15" i="17" s="1"/>
  <c r="BZ23" i="17"/>
  <c r="BZ15" i="17" s="1"/>
  <c r="CE23" i="17"/>
  <c r="CE15" i="17" s="1"/>
  <c r="AV25" i="17"/>
  <c r="AV24" i="17" s="1"/>
  <c r="AV23" i="17" s="1"/>
  <c r="BI23" i="17"/>
  <c r="BI15" i="17" s="1"/>
  <c r="AG23" i="17"/>
  <c r="AG15" i="17" s="1"/>
  <c r="AF23" i="17"/>
  <c r="AF15" i="17" s="1"/>
  <c r="BJ23" i="17"/>
  <c r="BJ15" i="17" s="1"/>
  <c r="AC23" i="17"/>
  <c r="AC15" i="17" s="1"/>
  <c r="BF23" i="17"/>
  <c r="BE24" i="17"/>
  <c r="BE23" i="17" s="1"/>
  <c r="CO152" i="17"/>
  <c r="BP184" i="17"/>
  <c r="BS180" i="17"/>
  <c r="BS179" i="17" s="1"/>
  <c r="BY152" i="17"/>
  <c r="BY140" i="17" s="1"/>
  <c r="BP140" i="17"/>
  <c r="CO22" i="17"/>
  <c r="CO16" i="17" s="1"/>
  <c r="CO15" i="17" s="1"/>
  <c r="BF16" i="17"/>
  <c r="BS138" i="17"/>
  <c r="BS135" i="17"/>
  <c r="AV194" i="17"/>
  <c r="BE194" i="17" s="1"/>
  <c r="BE209" i="17"/>
  <c r="BF15" i="17" l="1"/>
  <c r="AV15" i="17"/>
  <c r="BE15" i="17"/>
  <c r="BS23" i="17"/>
  <c r="BS15" i="17" s="1"/>
  <c r="CO184" i="17"/>
  <c r="BP180" i="17"/>
  <c r="BP179" i="17" s="1"/>
  <c r="BY184" i="17"/>
  <c r="BY180" i="17" s="1"/>
  <c r="BY179" i="17" s="1"/>
  <c r="BP138" i="17"/>
  <c r="BP135" i="17"/>
  <c r="BY138" i="17"/>
  <c r="BY135" i="17"/>
  <c r="BY23" i="17" l="1"/>
  <c r="BY15" i="17" s="1"/>
  <c r="BP23" i="17"/>
  <c r="BP15" i="17" s="1"/>
  <c r="BB151" i="14" l="1"/>
  <c r="AK151" i="14"/>
  <c r="AC151" i="14"/>
  <c r="BB150" i="14"/>
  <c r="BA150" i="14"/>
  <c r="AK150" i="14"/>
  <c r="AK149" i="14" s="1"/>
  <c r="AC150" i="14"/>
  <c r="AB150" i="14"/>
  <c r="Y150" i="14" s="1"/>
  <c r="BZ149" i="14"/>
  <c r="BY149" i="14"/>
  <c r="BX149" i="14"/>
  <c r="BW149" i="14"/>
  <c r="BV149" i="14"/>
  <c r="BU149" i="14"/>
  <c r="BT149" i="14"/>
  <c r="BS149" i="14"/>
  <c r="BR149" i="14"/>
  <c r="BQ149" i="14"/>
  <c r="BP149" i="14"/>
  <c r="BO149" i="14"/>
  <c r="BN149" i="14"/>
  <c r="BM149" i="14"/>
  <c r="BL149" i="14"/>
  <c r="BK149" i="14"/>
  <c r="BJ149" i="14"/>
  <c r="BI149" i="14"/>
  <c r="BH149" i="14"/>
  <c r="BG149" i="14"/>
  <c r="BF149" i="14"/>
  <c r="BD149" i="14"/>
  <c r="BC149" i="14"/>
  <c r="AZ149" i="14"/>
  <c r="AY149" i="14"/>
  <c r="AX149" i="14"/>
  <c r="AW149" i="14"/>
  <c r="AV149" i="14"/>
  <c r="AU149" i="14"/>
  <c r="AT149" i="14"/>
  <c r="AS149" i="14"/>
  <c r="AR149" i="14"/>
  <c r="AQ149" i="14"/>
  <c r="AP149" i="14"/>
  <c r="AO149" i="14"/>
  <c r="AN149" i="14"/>
  <c r="AM149" i="14"/>
  <c r="AL149" i="14"/>
  <c r="AJ149" i="14"/>
  <c r="AI149" i="14"/>
  <c r="AH149" i="14"/>
  <c r="AG149" i="14"/>
  <c r="AE149" i="14"/>
  <c r="AD149" i="14"/>
  <c r="AA149" i="14"/>
  <c r="Z149" i="14"/>
  <c r="BB148" i="14"/>
  <c r="AC148" i="14"/>
  <c r="BR147" i="14"/>
  <c r="BO147" i="14" s="1"/>
  <c r="BJ147" i="14"/>
  <c r="BG147" i="14" s="1"/>
  <c r="BB147" i="14"/>
  <c r="BA147" i="14"/>
  <c r="AX147" i="14" s="1"/>
  <c r="AS147" i="14"/>
  <c r="AP147" i="14" s="1"/>
  <c r="AK147" i="14"/>
  <c r="AH147" i="14" s="1"/>
  <c r="AC147" i="14"/>
  <c r="AB147" i="14"/>
  <c r="Y147" i="14" s="1"/>
  <c r="S147" i="14"/>
  <c r="BR146" i="14"/>
  <c r="BO146" i="14" s="1"/>
  <c r="BM146" i="14"/>
  <c r="BJ146" i="14" s="1"/>
  <c r="BG146" i="14" s="1"/>
  <c r="BE146" i="14"/>
  <c r="BA146" i="14" s="1"/>
  <c r="AX146" i="14" s="1"/>
  <c r="BB146" i="14"/>
  <c r="AS146" i="14"/>
  <c r="AP146" i="14" s="1"/>
  <c r="AK146" i="14"/>
  <c r="AH146" i="14" s="1"/>
  <c r="AF146" i="14"/>
  <c r="AB146" i="14" s="1"/>
  <c r="Y146" i="14" s="1"/>
  <c r="AC146" i="14"/>
  <c r="S146" i="14"/>
  <c r="BR145" i="14"/>
  <c r="BO145" i="14" s="1"/>
  <c r="BJ145" i="14"/>
  <c r="BG145" i="14" s="1"/>
  <c r="BB145" i="14"/>
  <c r="BA145" i="14"/>
  <c r="AX145" i="14" s="1"/>
  <c r="AS145" i="14"/>
  <c r="AP145" i="14" s="1"/>
  <c r="AK145" i="14"/>
  <c r="AH145" i="14" s="1"/>
  <c r="AC145" i="14"/>
  <c r="AB145" i="14"/>
  <c r="Y145" i="14" s="1"/>
  <c r="S145" i="14"/>
  <c r="BR144" i="14"/>
  <c r="BO144" i="14" s="1"/>
  <c r="BJ144" i="14"/>
  <c r="BG144" i="14" s="1"/>
  <c r="BB144" i="14"/>
  <c r="BA144" i="14"/>
  <c r="AX144" i="14" s="1"/>
  <c r="AS144" i="14"/>
  <c r="AP144" i="14" s="1"/>
  <c r="AK144" i="14"/>
  <c r="AH144" i="14" s="1"/>
  <c r="AC144" i="14"/>
  <c r="AB144" i="14"/>
  <c r="Y144" i="14" s="1"/>
  <c r="S144" i="14"/>
  <c r="BR143" i="14"/>
  <c r="BO143" i="14" s="1"/>
  <c r="BJ143" i="14"/>
  <c r="BG143" i="14" s="1"/>
  <c r="BB143" i="14"/>
  <c r="BA143" i="14"/>
  <c r="AX143" i="14" s="1"/>
  <c r="AS143" i="14"/>
  <c r="AP143" i="14" s="1"/>
  <c r="AK143" i="14"/>
  <c r="AH143" i="14" s="1"/>
  <c r="AC143" i="14"/>
  <c r="AB143" i="14"/>
  <c r="Y143" i="14" s="1"/>
  <c r="S143" i="14"/>
  <c r="BR142" i="14"/>
  <c r="BO142" i="14" s="1"/>
  <c r="BJ142" i="14"/>
  <c r="BG142" i="14" s="1"/>
  <c r="BB142" i="14"/>
  <c r="BA142" i="14"/>
  <c r="AX142" i="14" s="1"/>
  <c r="AS142" i="14"/>
  <c r="AP142" i="14" s="1"/>
  <c r="AK142" i="14"/>
  <c r="AH142" i="14" s="1"/>
  <c r="AC142" i="14"/>
  <c r="AB142" i="14"/>
  <c r="Y142" i="14" s="1"/>
  <c r="S142" i="14"/>
  <c r="BR141" i="14"/>
  <c r="BO141" i="14" s="1"/>
  <c r="BJ141" i="14"/>
  <c r="BG141" i="14" s="1"/>
  <c r="BB141" i="14"/>
  <c r="BA141" i="14"/>
  <c r="AX141" i="14" s="1"/>
  <c r="AS141" i="14"/>
  <c r="AP141" i="14" s="1"/>
  <c r="AK141" i="14"/>
  <c r="AH141" i="14" s="1"/>
  <c r="AC141" i="14"/>
  <c r="AB141" i="14"/>
  <c r="Y141" i="14" s="1"/>
  <c r="S141" i="14"/>
  <c r="BR140" i="14"/>
  <c r="BO140" i="14" s="1"/>
  <c r="BJ140" i="14"/>
  <c r="BG140" i="14" s="1"/>
  <c r="BB140" i="14"/>
  <c r="BA140" i="14"/>
  <c r="AX140" i="14" s="1"/>
  <c r="AS140" i="14"/>
  <c r="AP140" i="14" s="1"/>
  <c r="AK140" i="14"/>
  <c r="AH140" i="14" s="1"/>
  <c r="AC140" i="14"/>
  <c r="AB140" i="14"/>
  <c r="Y140" i="14" s="1"/>
  <c r="S140" i="14"/>
  <c r="BR139" i="14"/>
  <c r="BO139" i="14" s="1"/>
  <c r="BJ139" i="14"/>
  <c r="BG139" i="14" s="1"/>
  <c r="BB139" i="14"/>
  <c r="BA139" i="14"/>
  <c r="AX139" i="14" s="1"/>
  <c r="AS139" i="14"/>
  <c r="AP139" i="14" s="1"/>
  <c r="AK139" i="14"/>
  <c r="AH139" i="14" s="1"/>
  <c r="AC139" i="14"/>
  <c r="AB139" i="14"/>
  <c r="Y139" i="14" s="1"/>
  <c r="S139" i="14"/>
  <c r="BR138" i="14"/>
  <c r="BO138" i="14" s="1"/>
  <c r="BJ138" i="14"/>
  <c r="BG138" i="14" s="1"/>
  <c r="BB138" i="14"/>
  <c r="BA138" i="14"/>
  <c r="AX138" i="14" s="1"/>
  <c r="AV138" i="14"/>
  <c r="AS138" i="14" s="1"/>
  <c r="AP138" i="14" s="1"/>
  <c r="AN138" i="14"/>
  <c r="AK138" i="14" s="1"/>
  <c r="AH138" i="14" s="1"/>
  <c r="AF138" i="14"/>
  <c r="AB138" i="14" s="1"/>
  <c r="Y138" i="14" s="1"/>
  <c r="AC138" i="14"/>
  <c r="S138" i="14"/>
  <c r="BR137" i="14"/>
  <c r="BO137" i="14" s="1"/>
  <c r="BJ137" i="14"/>
  <c r="BG137" i="14" s="1"/>
  <c r="BB137" i="14"/>
  <c r="BA137" i="14"/>
  <c r="AX137" i="14" s="1"/>
  <c r="AV137" i="14"/>
  <c r="AS137" i="14" s="1"/>
  <c r="AP137" i="14" s="1"/>
  <c r="AN137" i="14"/>
  <c r="AF137" i="14"/>
  <c r="AB137" i="14" s="1"/>
  <c r="Y137" i="14" s="1"/>
  <c r="AC137" i="14"/>
  <c r="S137" i="14"/>
  <c r="BR136" i="14"/>
  <c r="BO136" i="14" s="1"/>
  <c r="BJ136" i="14"/>
  <c r="BG136" i="14" s="1"/>
  <c r="BB136" i="14"/>
  <c r="BA136" i="14"/>
  <c r="AX136" i="14" s="1"/>
  <c r="AS136" i="14"/>
  <c r="AP136" i="14" s="1"/>
  <c r="AK136" i="14"/>
  <c r="AH136" i="14" s="1"/>
  <c r="AC136" i="14"/>
  <c r="AB136" i="14"/>
  <c r="Y136" i="14" s="1"/>
  <c r="S136" i="14"/>
  <c r="BR135" i="14"/>
  <c r="BO135" i="14" s="1"/>
  <c r="BJ135" i="14"/>
  <c r="BG135" i="14" s="1"/>
  <c r="BB135" i="14"/>
  <c r="BA135" i="14"/>
  <c r="AX135" i="14" s="1"/>
  <c r="AS135" i="14"/>
  <c r="AP135" i="14" s="1"/>
  <c r="AK135" i="14"/>
  <c r="AH135" i="14" s="1"/>
  <c r="AC135" i="14"/>
  <c r="AB135" i="14"/>
  <c r="Y135" i="14" s="1"/>
  <c r="S135" i="14"/>
  <c r="BR134" i="14"/>
  <c r="BO134" i="14" s="1"/>
  <c r="BJ134" i="14"/>
  <c r="BG134" i="14" s="1"/>
  <c r="BB134" i="14"/>
  <c r="BA134" i="14"/>
  <c r="AX134" i="14" s="1"/>
  <c r="AS134" i="14"/>
  <c r="AK134" i="14"/>
  <c r="AH134" i="14" s="1"/>
  <c r="AC134" i="14"/>
  <c r="AB134" i="14"/>
  <c r="Y134" i="14" s="1"/>
  <c r="S134" i="14"/>
  <c r="BR133" i="14"/>
  <c r="BJ133" i="14"/>
  <c r="BG133" i="14" s="1"/>
  <c r="BB133" i="14"/>
  <c r="BA133" i="14"/>
  <c r="AX133" i="14" s="1"/>
  <c r="AS133" i="14"/>
  <c r="AP133" i="14" s="1"/>
  <c r="AK133" i="14"/>
  <c r="AH133" i="14" s="1"/>
  <c r="AC133" i="14"/>
  <c r="AB133" i="14"/>
  <c r="Y133" i="14" s="1"/>
  <c r="S133" i="14"/>
  <c r="BZ132" i="14"/>
  <c r="BY132" i="14"/>
  <c r="BX132" i="14"/>
  <c r="BW132" i="14"/>
  <c r="BV132" i="14"/>
  <c r="BU132" i="14"/>
  <c r="BT132" i="14"/>
  <c r="BS132" i="14"/>
  <c r="BQ132" i="14"/>
  <c r="BP132" i="14"/>
  <c r="BN132" i="14"/>
  <c r="BL132" i="14"/>
  <c r="BK132" i="14"/>
  <c r="BI132" i="14"/>
  <c r="BH132" i="14"/>
  <c r="BF132" i="14"/>
  <c r="BD132" i="14"/>
  <c r="BC132" i="14"/>
  <c r="AZ132" i="14"/>
  <c r="AY132" i="14"/>
  <c r="AW132" i="14"/>
  <c r="AU132" i="14"/>
  <c r="AT132" i="14"/>
  <c r="AR132" i="14"/>
  <c r="AQ132" i="14"/>
  <c r="AO132" i="14"/>
  <c r="AM132" i="14"/>
  <c r="AL132" i="14"/>
  <c r="AJ132" i="14"/>
  <c r="AI132" i="14"/>
  <c r="AG132" i="14"/>
  <c r="AE132" i="14"/>
  <c r="AD132" i="14"/>
  <c r="AA132" i="14"/>
  <c r="Z132" i="14"/>
  <c r="BR131" i="14"/>
  <c r="BO131" i="14" s="1"/>
  <c r="BJ131" i="14"/>
  <c r="BG131" i="14" s="1"/>
  <c r="BB131" i="14"/>
  <c r="BA131" i="14"/>
  <c r="AX131" i="14" s="1"/>
  <c r="AS131" i="14"/>
  <c r="AP131" i="14" s="1"/>
  <c r="AK131" i="14"/>
  <c r="AH131" i="14" s="1"/>
  <c r="AC131" i="14"/>
  <c r="AB131" i="14"/>
  <c r="Y131" i="14" s="1"/>
  <c r="S131" i="14"/>
  <c r="BR130" i="14"/>
  <c r="BO130" i="14" s="1"/>
  <c r="BJ130" i="14"/>
  <c r="BG130" i="14" s="1"/>
  <c r="BB130" i="14"/>
  <c r="BA130" i="14"/>
  <c r="AX130" i="14" s="1"/>
  <c r="AS130" i="14"/>
  <c r="AP130" i="14" s="1"/>
  <c r="AK130" i="14"/>
  <c r="AH130" i="14" s="1"/>
  <c r="AC130" i="14"/>
  <c r="AB130" i="14"/>
  <c r="Y130" i="14" s="1"/>
  <c r="S130" i="14"/>
  <c r="BR129" i="14"/>
  <c r="BO129" i="14" s="1"/>
  <c r="BJ129" i="14"/>
  <c r="BG129" i="14" s="1"/>
  <c r="BB129" i="14"/>
  <c r="BA129" i="14"/>
  <c r="AX129" i="14" s="1"/>
  <c r="AS129" i="14"/>
  <c r="AP129" i="14" s="1"/>
  <c r="AK129" i="14"/>
  <c r="AH129" i="14" s="1"/>
  <c r="AC129" i="14"/>
  <c r="AB129" i="14"/>
  <c r="Y129" i="14" s="1"/>
  <c r="S129" i="14"/>
  <c r="BR128" i="14"/>
  <c r="BO128" i="14" s="1"/>
  <c r="BJ128" i="14"/>
  <c r="BG128" i="14" s="1"/>
  <c r="BB128" i="14"/>
  <c r="BA128" i="14"/>
  <c r="AX128" i="14" s="1"/>
  <c r="AS128" i="14"/>
  <c r="AP128" i="14" s="1"/>
  <c r="AK128" i="14"/>
  <c r="AH128" i="14" s="1"/>
  <c r="AC128" i="14"/>
  <c r="AB128" i="14"/>
  <c r="Y128" i="14" s="1"/>
  <c r="S128" i="14"/>
  <c r="BR127" i="14"/>
  <c r="BO127" i="14" s="1"/>
  <c r="BJ127" i="14"/>
  <c r="BG127" i="14" s="1"/>
  <c r="BB127" i="14"/>
  <c r="BA127" i="14"/>
  <c r="AX127" i="14" s="1"/>
  <c r="AS127" i="14"/>
  <c r="AP127" i="14" s="1"/>
  <c r="AK127" i="14"/>
  <c r="AH127" i="14" s="1"/>
  <c r="AC127" i="14"/>
  <c r="AB127" i="14"/>
  <c r="Y127" i="14" s="1"/>
  <c r="S127" i="14"/>
  <c r="BR126" i="14"/>
  <c r="BO126" i="14" s="1"/>
  <c r="BJ126" i="14"/>
  <c r="BG126" i="14" s="1"/>
  <c r="BB126" i="14"/>
  <c r="BA126" i="14"/>
  <c r="AX126" i="14" s="1"/>
  <c r="AS126" i="14"/>
  <c r="AP126" i="14" s="1"/>
  <c r="AK126" i="14"/>
  <c r="AH126" i="14" s="1"/>
  <c r="AC126" i="14"/>
  <c r="AB126" i="14"/>
  <c r="Y126" i="14" s="1"/>
  <c r="S126" i="14"/>
  <c r="BR125" i="14"/>
  <c r="BO125" i="14" s="1"/>
  <c r="BJ125" i="14"/>
  <c r="BG125" i="14" s="1"/>
  <c r="BB125" i="14"/>
  <c r="BA125" i="14"/>
  <c r="AX125" i="14" s="1"/>
  <c r="AS125" i="14"/>
  <c r="AP125" i="14" s="1"/>
  <c r="AK125" i="14"/>
  <c r="AH125" i="14" s="1"/>
  <c r="AC125" i="14"/>
  <c r="AB125" i="14"/>
  <c r="Y125" i="14" s="1"/>
  <c r="S125" i="14"/>
  <c r="BR124" i="14"/>
  <c r="BO124" i="14" s="1"/>
  <c r="BJ124" i="14"/>
  <c r="BG124" i="14" s="1"/>
  <c r="BB124" i="14"/>
  <c r="BA124" i="14"/>
  <c r="AX124" i="14" s="1"/>
  <c r="AS124" i="14"/>
  <c r="AP124" i="14" s="1"/>
  <c r="AK124" i="14"/>
  <c r="AH124" i="14" s="1"/>
  <c r="AC124" i="14"/>
  <c r="AB124" i="14"/>
  <c r="Y124" i="14" s="1"/>
  <c r="S124" i="14"/>
  <c r="BR123" i="14"/>
  <c r="BO123" i="14" s="1"/>
  <c r="BJ123" i="14"/>
  <c r="BG123" i="14" s="1"/>
  <c r="BB123" i="14"/>
  <c r="BA123" i="14"/>
  <c r="AX123" i="14" s="1"/>
  <c r="AS123" i="14"/>
  <c r="AP123" i="14" s="1"/>
  <c r="AK123" i="14"/>
  <c r="AH123" i="14" s="1"/>
  <c r="AC123" i="14"/>
  <c r="AB123" i="14"/>
  <c r="Y123" i="14" s="1"/>
  <c r="S123" i="14"/>
  <c r="BR122" i="14"/>
  <c r="BO122" i="14" s="1"/>
  <c r="BJ122" i="14"/>
  <c r="BB122" i="14"/>
  <c r="BA122" i="14"/>
  <c r="AX122" i="14" s="1"/>
  <c r="AS122" i="14"/>
  <c r="AP122" i="14" s="1"/>
  <c r="AK122" i="14"/>
  <c r="AH122" i="14" s="1"/>
  <c r="AC122" i="14"/>
  <c r="AB122" i="14"/>
  <c r="Y122" i="14" s="1"/>
  <c r="S122" i="14"/>
  <c r="BR121" i="14"/>
  <c r="BO121" i="14" s="1"/>
  <c r="BJ121" i="14"/>
  <c r="BG121" i="14" s="1"/>
  <c r="BB121" i="14"/>
  <c r="BA121" i="14"/>
  <c r="AX121" i="14" s="1"/>
  <c r="AS121" i="14"/>
  <c r="AP121" i="14" s="1"/>
  <c r="AK121" i="14"/>
  <c r="AH121" i="14" s="1"/>
  <c r="AC121" i="14"/>
  <c r="AB121" i="14"/>
  <c r="Y121" i="14" s="1"/>
  <c r="S121" i="14"/>
  <c r="BR120" i="14"/>
  <c r="BJ120" i="14"/>
  <c r="BG120" i="14" s="1"/>
  <c r="BB120" i="14"/>
  <c r="BA120" i="14"/>
  <c r="AX120" i="14" s="1"/>
  <c r="AS120" i="14"/>
  <c r="AP120" i="14" s="1"/>
  <c r="AK120" i="14"/>
  <c r="AH120" i="14" s="1"/>
  <c r="AC120" i="14"/>
  <c r="AB120" i="14"/>
  <c r="S120" i="14"/>
  <c r="BZ119" i="14"/>
  <c r="BY119" i="14"/>
  <c r="BX119" i="14"/>
  <c r="BW119" i="14"/>
  <c r="BV119" i="14"/>
  <c r="BU119" i="14"/>
  <c r="BT119" i="14"/>
  <c r="BS119" i="14"/>
  <c r="BQ119" i="14"/>
  <c r="BP119" i="14"/>
  <c r="BN119" i="14"/>
  <c r="BM119" i="14"/>
  <c r="BL119" i="14"/>
  <c r="BK119" i="14"/>
  <c r="BI119" i="14"/>
  <c r="BH119" i="14"/>
  <c r="BF119" i="14"/>
  <c r="BE119" i="14"/>
  <c r="BD119" i="14"/>
  <c r="BC119" i="14"/>
  <c r="AZ119" i="14"/>
  <c r="AY119" i="14"/>
  <c r="AW119" i="14"/>
  <c r="AV119" i="14"/>
  <c r="AU119" i="14"/>
  <c r="AT119" i="14"/>
  <c r="AR119" i="14"/>
  <c r="AQ119" i="14"/>
  <c r="AO119" i="14"/>
  <c r="AN119" i="14"/>
  <c r="AM119" i="14"/>
  <c r="AL119" i="14"/>
  <c r="AJ119" i="14"/>
  <c r="AI119" i="14"/>
  <c r="AG119" i="14"/>
  <c r="AF119" i="14"/>
  <c r="AE119" i="14"/>
  <c r="AD119" i="14"/>
  <c r="AA119" i="14"/>
  <c r="Z119" i="14"/>
  <c r="T119" i="14"/>
  <c r="BR118" i="14"/>
  <c r="BO118" i="14" s="1"/>
  <c r="BJ118" i="14"/>
  <c r="BG118" i="14" s="1"/>
  <c r="BB118" i="14"/>
  <c r="BA118" i="14"/>
  <c r="AX118" i="14" s="1"/>
  <c r="AS118" i="14"/>
  <c r="AP118" i="14" s="1"/>
  <c r="AK118" i="14"/>
  <c r="AH118" i="14" s="1"/>
  <c r="AC118" i="14"/>
  <c r="AB118" i="14"/>
  <c r="Y118" i="14" s="1"/>
  <c r="S118" i="14"/>
  <c r="BR117" i="14"/>
  <c r="BO117" i="14" s="1"/>
  <c r="BJ117" i="14"/>
  <c r="BG117" i="14" s="1"/>
  <c r="BB117" i="14"/>
  <c r="BA117" i="14"/>
  <c r="AX117" i="14" s="1"/>
  <c r="AS117" i="14"/>
  <c r="AP117" i="14" s="1"/>
  <c r="AK117" i="14"/>
  <c r="AH117" i="14" s="1"/>
  <c r="AC117" i="14"/>
  <c r="AB117" i="14"/>
  <c r="Y117" i="14" s="1"/>
  <c r="S117" i="14"/>
  <c r="BR116" i="14"/>
  <c r="BO116" i="14" s="1"/>
  <c r="BJ116" i="14"/>
  <c r="BG116" i="14" s="1"/>
  <c r="BB116" i="14"/>
  <c r="BA116" i="14"/>
  <c r="AX116" i="14" s="1"/>
  <c r="AS116" i="14"/>
  <c r="AP116" i="14" s="1"/>
  <c r="AK116" i="14"/>
  <c r="AH116" i="14" s="1"/>
  <c r="AC116" i="14"/>
  <c r="AB116" i="14"/>
  <c r="Y116" i="14" s="1"/>
  <c r="S116" i="14"/>
  <c r="BR115" i="14"/>
  <c r="BO115" i="14" s="1"/>
  <c r="BJ115" i="14"/>
  <c r="BG115" i="14" s="1"/>
  <c r="BB115" i="14"/>
  <c r="BA115" i="14"/>
  <c r="AX115" i="14" s="1"/>
  <c r="AS115" i="14"/>
  <c r="AP115" i="14" s="1"/>
  <c r="AK115" i="14"/>
  <c r="AH115" i="14" s="1"/>
  <c r="AC115" i="14"/>
  <c r="AB115" i="14"/>
  <c r="Y115" i="14" s="1"/>
  <c r="S115" i="14"/>
  <c r="BR114" i="14"/>
  <c r="BO114" i="14" s="1"/>
  <c r="BJ114" i="14"/>
  <c r="BG114" i="14" s="1"/>
  <c r="BB114" i="14"/>
  <c r="BA114" i="14"/>
  <c r="AX114" i="14" s="1"/>
  <c r="AS114" i="14"/>
  <c r="AP114" i="14" s="1"/>
  <c r="AK114" i="14"/>
  <c r="AH114" i="14" s="1"/>
  <c r="AC114" i="14"/>
  <c r="AB114" i="14"/>
  <c r="Y114" i="14" s="1"/>
  <c r="S114" i="14"/>
  <c r="BR113" i="14"/>
  <c r="BO113" i="14" s="1"/>
  <c r="BJ113" i="14"/>
  <c r="BG113" i="14" s="1"/>
  <c r="BB113" i="14"/>
  <c r="BA113" i="14"/>
  <c r="AX113" i="14" s="1"/>
  <c r="AS113" i="14"/>
  <c r="AP113" i="14" s="1"/>
  <c r="AK113" i="14"/>
  <c r="AH113" i="14" s="1"/>
  <c r="AF113" i="14"/>
  <c r="AB113" i="14" s="1"/>
  <c r="Y113" i="14" s="1"/>
  <c r="AC113" i="14"/>
  <c r="S113" i="14"/>
  <c r="BR112" i="14"/>
  <c r="BO112" i="14" s="1"/>
  <c r="BJ112" i="14"/>
  <c r="BG112" i="14" s="1"/>
  <c r="BB112" i="14"/>
  <c r="BA112" i="14"/>
  <c r="AX112" i="14" s="1"/>
  <c r="AS112" i="14"/>
  <c r="AP112" i="14" s="1"/>
  <c r="AK112" i="14"/>
  <c r="AH112" i="14" s="1"/>
  <c r="AC112" i="14"/>
  <c r="AB112" i="14"/>
  <c r="Y112" i="14" s="1"/>
  <c r="S112" i="14"/>
  <c r="BR111" i="14"/>
  <c r="BO111" i="14" s="1"/>
  <c r="BJ111" i="14"/>
  <c r="BG111" i="14" s="1"/>
  <c r="BB111" i="14"/>
  <c r="BA111" i="14"/>
  <c r="AX111" i="14" s="1"/>
  <c r="AV111" i="14"/>
  <c r="AS111" i="14" s="1"/>
  <c r="AP111" i="14" s="1"/>
  <c r="AN111" i="14"/>
  <c r="AK111" i="14" s="1"/>
  <c r="AH111" i="14" s="1"/>
  <c r="AF111" i="14"/>
  <c r="AB111" i="14" s="1"/>
  <c r="Y111" i="14" s="1"/>
  <c r="AC111" i="14"/>
  <c r="S111" i="14"/>
  <c r="BR110" i="14"/>
  <c r="BO110" i="14" s="1"/>
  <c r="BJ110" i="14"/>
  <c r="BG110" i="14" s="1"/>
  <c r="BB110" i="14"/>
  <c r="BA110" i="14"/>
  <c r="AX110" i="14" s="1"/>
  <c r="AV110" i="14"/>
  <c r="AS110" i="14" s="1"/>
  <c r="AP110" i="14" s="1"/>
  <c r="AN110" i="14"/>
  <c r="AK110" i="14" s="1"/>
  <c r="AH110" i="14" s="1"/>
  <c r="AF110" i="14"/>
  <c r="AB110" i="14" s="1"/>
  <c r="Y110" i="14" s="1"/>
  <c r="AC110" i="14"/>
  <c r="S110" i="14"/>
  <c r="BR109" i="14"/>
  <c r="BO109" i="14" s="1"/>
  <c r="BJ109" i="14"/>
  <c r="BG109" i="14" s="1"/>
  <c r="BB109" i="14"/>
  <c r="BA109" i="14"/>
  <c r="AX109" i="14" s="1"/>
  <c r="AS109" i="14"/>
  <c r="AP109" i="14" s="1"/>
  <c r="AK109" i="14"/>
  <c r="AH109" i="14" s="1"/>
  <c r="AC109" i="14"/>
  <c r="AB109" i="14"/>
  <c r="Y109" i="14" s="1"/>
  <c r="S109" i="14"/>
  <c r="BR108" i="14"/>
  <c r="BO108" i="14" s="1"/>
  <c r="BJ108" i="14"/>
  <c r="BG108" i="14" s="1"/>
  <c r="BB108" i="14"/>
  <c r="BA108" i="14"/>
  <c r="AX108" i="14" s="1"/>
  <c r="AS108" i="14"/>
  <c r="AP108" i="14" s="1"/>
  <c r="AK108" i="14"/>
  <c r="AH108" i="14" s="1"/>
  <c r="AC108" i="14"/>
  <c r="AB108" i="14"/>
  <c r="Y108" i="14" s="1"/>
  <c r="S108" i="14"/>
  <c r="BR107" i="14"/>
  <c r="BO107" i="14" s="1"/>
  <c r="BJ107" i="14"/>
  <c r="BG107" i="14" s="1"/>
  <c r="BB107" i="14"/>
  <c r="BA107" i="14"/>
  <c r="AX107" i="14" s="1"/>
  <c r="AV107" i="14"/>
  <c r="AN107" i="14"/>
  <c r="AK107" i="14" s="1"/>
  <c r="AH107" i="14" s="1"/>
  <c r="AF107" i="14"/>
  <c r="AB107" i="14" s="1"/>
  <c r="Y107" i="14" s="1"/>
  <c r="AC107" i="14"/>
  <c r="S107" i="14"/>
  <c r="BR106" i="14"/>
  <c r="BO106" i="14" s="1"/>
  <c r="BJ106" i="14"/>
  <c r="BG106" i="14" s="1"/>
  <c r="BB106" i="14"/>
  <c r="BA106" i="14"/>
  <c r="AX106" i="14" s="1"/>
  <c r="AS106" i="14"/>
  <c r="AP106" i="14" s="1"/>
  <c r="AK106" i="14"/>
  <c r="AH106" i="14" s="1"/>
  <c r="AC106" i="14"/>
  <c r="AB106" i="14"/>
  <c r="Y106" i="14" s="1"/>
  <c r="S106" i="14"/>
  <c r="BR105" i="14"/>
  <c r="BO105" i="14" s="1"/>
  <c r="BJ105" i="14"/>
  <c r="BG105" i="14" s="1"/>
  <c r="BB105" i="14"/>
  <c r="BA105" i="14"/>
  <c r="AX105" i="14" s="1"/>
  <c r="AS105" i="14"/>
  <c r="AP105" i="14" s="1"/>
  <c r="AK105" i="14"/>
  <c r="AH105" i="14" s="1"/>
  <c r="AC105" i="14"/>
  <c r="AB105" i="14"/>
  <c r="Y105" i="14" s="1"/>
  <c r="S105" i="14"/>
  <c r="BR104" i="14"/>
  <c r="BO104" i="14" s="1"/>
  <c r="BJ104" i="14"/>
  <c r="BG104" i="14" s="1"/>
  <c r="BB104" i="14"/>
  <c r="BA104" i="14"/>
  <c r="AX104" i="14" s="1"/>
  <c r="AS104" i="14"/>
  <c r="AP104" i="14" s="1"/>
  <c r="AK104" i="14"/>
  <c r="AH104" i="14" s="1"/>
  <c r="AC104" i="14"/>
  <c r="AB104" i="14"/>
  <c r="Y104" i="14" s="1"/>
  <c r="S104" i="14"/>
  <c r="BR103" i="14"/>
  <c r="BO103" i="14" s="1"/>
  <c r="BJ103" i="14"/>
  <c r="BG103" i="14" s="1"/>
  <c r="BB103" i="14"/>
  <c r="BA103" i="14"/>
  <c r="AX103" i="14" s="1"/>
  <c r="AS103" i="14"/>
  <c r="AK103" i="14"/>
  <c r="AH103" i="14" s="1"/>
  <c r="AC103" i="14"/>
  <c r="AB103" i="14"/>
  <c r="Y103" i="14" s="1"/>
  <c r="S103" i="14"/>
  <c r="BR102" i="14"/>
  <c r="BJ102" i="14"/>
  <c r="BG102" i="14" s="1"/>
  <c r="BB102" i="14"/>
  <c r="BA102" i="14"/>
  <c r="AX102" i="14" s="1"/>
  <c r="AS102" i="14"/>
  <c r="AP102" i="14" s="1"/>
  <c r="AK102" i="14"/>
  <c r="AH102" i="14" s="1"/>
  <c r="AC102" i="14"/>
  <c r="AB102" i="14"/>
  <c r="Y102" i="14" s="1"/>
  <c r="S102" i="14"/>
  <c r="BZ101" i="14"/>
  <c r="BY101" i="14"/>
  <c r="BX101" i="14"/>
  <c r="BW101" i="14"/>
  <c r="BV101" i="14"/>
  <c r="BU101" i="14"/>
  <c r="BT101" i="14"/>
  <c r="BS101" i="14"/>
  <c r="BQ101" i="14"/>
  <c r="BP101" i="14"/>
  <c r="BN101" i="14"/>
  <c r="BM101" i="14"/>
  <c r="BL101" i="14"/>
  <c r="BK101" i="14"/>
  <c r="BI101" i="14"/>
  <c r="BH101" i="14"/>
  <c r="BF101" i="14"/>
  <c r="BE101" i="14"/>
  <c r="BD101" i="14"/>
  <c r="BC101" i="14"/>
  <c r="AZ101" i="14"/>
  <c r="AY101" i="14"/>
  <c r="AW101" i="14"/>
  <c r="AU101" i="14"/>
  <c r="AT101" i="14"/>
  <c r="AR101" i="14"/>
  <c r="AQ101" i="14"/>
  <c r="AO101" i="14"/>
  <c r="AM101" i="14"/>
  <c r="AL101" i="14"/>
  <c r="AJ101" i="14"/>
  <c r="AI101" i="14"/>
  <c r="AG101" i="14"/>
  <c r="AE101" i="14"/>
  <c r="AD101" i="14"/>
  <c r="AA101" i="14"/>
  <c r="Z101" i="14"/>
  <c r="T101" i="14"/>
  <c r="CA100" i="14"/>
  <c r="U100" i="14"/>
  <c r="BB99" i="14"/>
  <c r="AS99" i="14"/>
  <c r="AS98" i="14" s="1"/>
  <c r="AK99" i="14"/>
  <c r="AK98" i="14" s="1"/>
  <c r="AC99" i="14"/>
  <c r="AB99" i="14"/>
  <c r="Y99" i="14" s="1"/>
  <c r="Y98" i="14" s="1"/>
  <c r="CA98" i="14"/>
  <c r="CA75" i="14" s="1"/>
  <c r="CA17" i="14" s="1"/>
  <c r="BZ98" i="14"/>
  <c r="BZ75" i="14" s="1"/>
  <c r="BY98" i="14"/>
  <c r="BY75" i="14" s="1"/>
  <c r="BX98" i="14"/>
  <c r="BX75" i="14" s="1"/>
  <c r="BW98" i="14"/>
  <c r="BV98" i="14"/>
  <c r="BV75" i="14" s="1"/>
  <c r="BU98" i="14"/>
  <c r="BU75" i="14" s="1"/>
  <c r="BT98" i="14"/>
  <c r="BT75" i="14" s="1"/>
  <c r="BS98" i="14"/>
  <c r="BR98" i="14"/>
  <c r="BR75" i="14" s="1"/>
  <c r="BQ98" i="14"/>
  <c r="BQ75" i="14" s="1"/>
  <c r="BP98" i="14"/>
  <c r="BP75" i="14" s="1"/>
  <c r="BO98" i="14"/>
  <c r="BN98" i="14"/>
  <c r="BN75" i="14" s="1"/>
  <c r="BM98" i="14"/>
  <c r="BM75" i="14" s="1"/>
  <c r="BL98" i="14"/>
  <c r="BL75" i="14" s="1"/>
  <c r="BK98" i="14"/>
  <c r="BK75" i="14" s="1"/>
  <c r="BJ98" i="14"/>
  <c r="BI98" i="14"/>
  <c r="BI75" i="14" s="1"/>
  <c r="BH98" i="14"/>
  <c r="BH75" i="14" s="1"/>
  <c r="BG98" i="14"/>
  <c r="BF98" i="14"/>
  <c r="BE98" i="14"/>
  <c r="BD98" i="14"/>
  <c r="BC98" i="14"/>
  <c r="BA98" i="14"/>
  <c r="AZ98" i="14"/>
  <c r="AY98" i="14"/>
  <c r="AX98" i="14"/>
  <c r="AW98" i="14"/>
  <c r="AV98" i="14"/>
  <c r="AU98" i="14"/>
  <c r="AT98" i="14"/>
  <c r="AR98" i="14"/>
  <c r="AQ98" i="14"/>
  <c r="AP98" i="14"/>
  <c r="AO98" i="14"/>
  <c r="AN98" i="14"/>
  <c r="AM98" i="14"/>
  <c r="AL98" i="14"/>
  <c r="AJ98" i="14"/>
  <c r="AI98" i="14"/>
  <c r="AH98" i="14"/>
  <c r="AG98" i="14"/>
  <c r="AF98" i="14"/>
  <c r="AE98" i="14"/>
  <c r="AD98" i="14"/>
  <c r="AA98" i="14"/>
  <c r="Z98" i="14"/>
  <c r="X98" i="14"/>
  <c r="W98" i="14"/>
  <c r="V98" i="14"/>
  <c r="U98" i="14"/>
  <c r="T98" i="14"/>
  <c r="S98" i="14"/>
  <c r="R98" i="14"/>
  <c r="Q98" i="14"/>
  <c r="P98" i="14"/>
  <c r="O98" i="14"/>
  <c r="N98" i="14"/>
  <c r="M98" i="14"/>
  <c r="BS97" i="14"/>
  <c r="BO97" i="14"/>
  <c r="BJ97" i="14"/>
  <c r="BG97" i="14" s="1"/>
  <c r="BB97" i="14"/>
  <c r="BA97" i="14"/>
  <c r="AX97" i="14" s="1"/>
  <c r="AS97" i="14"/>
  <c r="AP97" i="14" s="1"/>
  <c r="AK97" i="14"/>
  <c r="AH97" i="14" s="1"/>
  <c r="AC97" i="14"/>
  <c r="AB97" i="14"/>
  <c r="Y97" i="14" s="1"/>
  <c r="U97" i="14"/>
  <c r="M97" i="14"/>
  <c r="BS96" i="14"/>
  <c r="BO96" i="14"/>
  <c r="BJ96" i="14"/>
  <c r="BG96" i="14" s="1"/>
  <c r="BB96" i="14"/>
  <c r="BA96" i="14"/>
  <c r="AX96" i="14" s="1"/>
  <c r="AS96" i="14"/>
  <c r="AP96" i="14" s="1"/>
  <c r="AK96" i="14"/>
  <c r="AH96" i="14" s="1"/>
  <c r="AC96" i="14"/>
  <c r="AB96" i="14"/>
  <c r="Y96" i="14" s="1"/>
  <c r="U96" i="14"/>
  <c r="M96" i="14"/>
  <c r="BS95" i="14"/>
  <c r="BO95" i="14"/>
  <c r="BJ95" i="14"/>
  <c r="BG95" i="14" s="1"/>
  <c r="BB95" i="14"/>
  <c r="BA95" i="14"/>
  <c r="AX95" i="14" s="1"/>
  <c r="AV95" i="14"/>
  <c r="AN95" i="14"/>
  <c r="AK95" i="14" s="1"/>
  <c r="AH95" i="14" s="1"/>
  <c r="AF95" i="14"/>
  <c r="AB95" i="14" s="1"/>
  <c r="Y95" i="14" s="1"/>
  <c r="AC95" i="14"/>
  <c r="U95" i="14"/>
  <c r="M95" i="14"/>
  <c r="BS94" i="14"/>
  <c r="BO94" i="14"/>
  <c r="BJ94" i="14"/>
  <c r="BG94" i="14" s="1"/>
  <c r="BB94" i="14"/>
  <c r="BA94" i="14"/>
  <c r="AX94" i="14" s="1"/>
  <c r="AT94" i="14"/>
  <c r="AS94" i="14" s="1"/>
  <c r="AP94" i="14" s="1"/>
  <c r="AK94" i="14"/>
  <c r="AH94" i="14" s="1"/>
  <c r="AC94" i="14"/>
  <c r="AB94" i="14"/>
  <c r="Y94" i="14" s="1"/>
  <c r="U94" i="14"/>
  <c r="M94" i="14"/>
  <c r="BS93" i="14"/>
  <c r="BO93" i="14"/>
  <c r="BJ93" i="14"/>
  <c r="BG93" i="14" s="1"/>
  <c r="BB93" i="14"/>
  <c r="BA93" i="14"/>
  <c r="AX93" i="14" s="1"/>
  <c r="AS93" i="14"/>
  <c r="AP93" i="14" s="1"/>
  <c r="AK93" i="14"/>
  <c r="AH93" i="14" s="1"/>
  <c r="AC93" i="14"/>
  <c r="AB93" i="14"/>
  <c r="Y93" i="14" s="1"/>
  <c r="U93" i="14"/>
  <c r="M93" i="14"/>
  <c r="BS92" i="14"/>
  <c r="BO92" i="14"/>
  <c r="BJ92" i="14"/>
  <c r="BG92" i="14" s="1"/>
  <c r="BB92" i="14"/>
  <c r="BA92" i="14"/>
  <c r="AX92" i="14" s="1"/>
  <c r="AT92" i="14"/>
  <c r="AS92" i="14" s="1"/>
  <c r="AP92" i="14" s="1"/>
  <c r="AL92" i="14"/>
  <c r="AK92" i="14" s="1"/>
  <c r="AH92" i="14" s="1"/>
  <c r="AC92" i="14"/>
  <c r="AB92" i="14"/>
  <c r="Y92" i="14" s="1"/>
  <c r="U92" i="14"/>
  <c r="M92" i="14"/>
  <c r="BS91" i="14"/>
  <c r="BO91" i="14"/>
  <c r="BJ91" i="14"/>
  <c r="BG91" i="14" s="1"/>
  <c r="BB91" i="14"/>
  <c r="BA91" i="14"/>
  <c r="AX91" i="14" s="1"/>
  <c r="AS91" i="14"/>
  <c r="AP91" i="14" s="1"/>
  <c r="AK91" i="14"/>
  <c r="AH91" i="14" s="1"/>
  <c r="AC91" i="14"/>
  <c r="AB91" i="14"/>
  <c r="Y91" i="14" s="1"/>
  <c r="U91" i="14"/>
  <c r="M91" i="14"/>
  <c r="BS90" i="14"/>
  <c r="BO90" i="14"/>
  <c r="BJ90" i="14"/>
  <c r="BG90" i="14" s="1"/>
  <c r="BB90" i="14"/>
  <c r="BA90" i="14"/>
  <c r="AX90" i="14" s="1"/>
  <c r="AS90" i="14"/>
  <c r="AP90" i="14" s="1"/>
  <c r="AK90" i="14"/>
  <c r="AH90" i="14" s="1"/>
  <c r="AC90" i="14"/>
  <c r="AB90" i="14"/>
  <c r="Y90" i="14" s="1"/>
  <c r="U90" i="14"/>
  <c r="M90" i="14"/>
  <c r="BS89" i="14"/>
  <c r="BO89" i="14"/>
  <c r="BJ89" i="14"/>
  <c r="BG89" i="14" s="1"/>
  <c r="BB89" i="14"/>
  <c r="BA89" i="14"/>
  <c r="AX89" i="14" s="1"/>
  <c r="AS89" i="14"/>
  <c r="AP89" i="14" s="1"/>
  <c r="AK89" i="14"/>
  <c r="AH89" i="14" s="1"/>
  <c r="AC89" i="14"/>
  <c r="AB89" i="14"/>
  <c r="Y89" i="14" s="1"/>
  <c r="U89" i="14"/>
  <c r="M89" i="14"/>
  <c r="BS88" i="14"/>
  <c r="BO88" i="14"/>
  <c r="BJ88" i="14"/>
  <c r="BG88" i="14" s="1"/>
  <c r="BB88" i="14"/>
  <c r="BA88" i="14"/>
  <c r="AX88" i="14" s="1"/>
  <c r="AS88" i="14"/>
  <c r="AP88" i="14" s="1"/>
  <c r="AK88" i="14"/>
  <c r="AH88" i="14" s="1"/>
  <c r="AB88" i="14"/>
  <c r="Y88" i="14" s="1"/>
  <c r="U88" i="14"/>
  <c r="M88" i="14"/>
  <c r="BS87" i="14"/>
  <c r="BO87" i="14"/>
  <c r="BJ87" i="14"/>
  <c r="BG87" i="14" s="1"/>
  <c r="BB87" i="14"/>
  <c r="BA87" i="14"/>
  <c r="AX87" i="14" s="1"/>
  <c r="AS87" i="14"/>
  <c r="AP87" i="14" s="1"/>
  <c r="AK87" i="14"/>
  <c r="AH87" i="14" s="1"/>
  <c r="AC87" i="14"/>
  <c r="AB87" i="14"/>
  <c r="Y87" i="14" s="1"/>
  <c r="U87" i="14"/>
  <c r="M87" i="14"/>
  <c r="BS86" i="14"/>
  <c r="BO86" i="14"/>
  <c r="BJ86" i="14"/>
  <c r="BG86" i="14" s="1"/>
  <c r="BB86" i="14"/>
  <c r="BA86" i="14"/>
  <c r="AX86" i="14" s="1"/>
  <c r="AV86" i="14"/>
  <c r="AS86" i="14" s="1"/>
  <c r="AP86" i="14" s="1"/>
  <c r="AN86" i="14"/>
  <c r="AK86" i="14" s="1"/>
  <c r="AH86" i="14" s="1"/>
  <c r="AC86" i="14"/>
  <c r="AB86" i="14"/>
  <c r="Y86" i="14" s="1"/>
  <c r="U86" i="14"/>
  <c r="M86" i="14"/>
  <c r="BS85" i="14"/>
  <c r="BO85" i="14"/>
  <c r="BJ85" i="14"/>
  <c r="BB85" i="14"/>
  <c r="BA85" i="14"/>
  <c r="AX85" i="14" s="1"/>
  <c r="AT85" i="14"/>
  <c r="AL85" i="14"/>
  <c r="AD85" i="14"/>
  <c r="AC85" i="14" s="1"/>
  <c r="U85" i="14"/>
  <c r="M85" i="14"/>
  <c r="BF84" i="14"/>
  <c r="BE84" i="14"/>
  <c r="BD84" i="14"/>
  <c r="BC84" i="14"/>
  <c r="AZ84" i="14"/>
  <c r="AY84" i="14"/>
  <c r="AW84" i="14"/>
  <c r="AU84" i="14"/>
  <c r="AR84" i="14"/>
  <c r="AQ84" i="14"/>
  <c r="AO84" i="14"/>
  <c r="AM84" i="14"/>
  <c r="AJ84" i="14"/>
  <c r="AI84" i="14"/>
  <c r="AG84" i="14"/>
  <c r="AE84" i="14"/>
  <c r="AA84" i="14"/>
  <c r="Z84" i="14"/>
  <c r="X84" i="14"/>
  <c r="W84" i="14"/>
  <c r="V84" i="14"/>
  <c r="T84" i="14"/>
  <c r="S84" i="14"/>
  <c r="R84" i="14"/>
  <c r="Q84" i="14"/>
  <c r="P84" i="14"/>
  <c r="O84" i="14"/>
  <c r="N84" i="14"/>
  <c r="BW83" i="14"/>
  <c r="BS83" i="14"/>
  <c r="BO83" i="14"/>
  <c r="BJ83" i="14"/>
  <c r="BG83" i="14" s="1"/>
  <c r="BB83" i="14"/>
  <c r="BA83" i="14"/>
  <c r="AX83" i="14" s="1"/>
  <c r="AS83" i="14"/>
  <c r="AP83" i="14" s="1"/>
  <c r="AK83" i="14"/>
  <c r="AH83" i="14" s="1"/>
  <c r="AC83" i="14"/>
  <c r="AB83" i="14"/>
  <c r="Y83" i="14" s="1"/>
  <c r="U83" i="14"/>
  <c r="M83" i="14"/>
  <c r="BW82" i="14"/>
  <c r="BS82" i="14"/>
  <c r="BO82" i="14"/>
  <c r="BJ82" i="14"/>
  <c r="BG82" i="14" s="1"/>
  <c r="BB82" i="14"/>
  <c r="BA82" i="14"/>
  <c r="AX82" i="14" s="1"/>
  <c r="AS82" i="14"/>
  <c r="AP82" i="14" s="1"/>
  <c r="AK82" i="14"/>
  <c r="AH82" i="14" s="1"/>
  <c r="AC82" i="14"/>
  <c r="AB82" i="14"/>
  <c r="Y82" i="14" s="1"/>
  <c r="U82" i="14"/>
  <c r="M82" i="14"/>
  <c r="BW81" i="14"/>
  <c r="BS81" i="14"/>
  <c r="BO81" i="14"/>
  <c r="BJ81" i="14"/>
  <c r="BG81" i="14" s="1"/>
  <c r="BB81" i="14"/>
  <c r="BA81" i="14"/>
  <c r="AX81" i="14" s="1"/>
  <c r="AS81" i="14"/>
  <c r="AP81" i="14" s="1"/>
  <c r="AK81" i="14"/>
  <c r="AH81" i="14" s="1"/>
  <c r="AC81" i="14"/>
  <c r="AB81" i="14"/>
  <c r="Y81" i="14" s="1"/>
  <c r="U81" i="14"/>
  <c r="M81" i="14"/>
  <c r="BW80" i="14"/>
  <c r="BS80" i="14"/>
  <c r="BO80" i="14"/>
  <c r="BJ80" i="14"/>
  <c r="BG80" i="14" s="1"/>
  <c r="BB80" i="14"/>
  <c r="BA80" i="14"/>
  <c r="AX80" i="14" s="1"/>
  <c r="AS80" i="14"/>
  <c r="AP80" i="14" s="1"/>
  <c r="AK80" i="14"/>
  <c r="AH80" i="14" s="1"/>
  <c r="AC80" i="14"/>
  <c r="AB80" i="14"/>
  <c r="Y80" i="14" s="1"/>
  <c r="U80" i="14"/>
  <c r="M80" i="14"/>
  <c r="BW79" i="14"/>
  <c r="BS79" i="14"/>
  <c r="BO79" i="14"/>
  <c r="BJ79" i="14"/>
  <c r="BG79" i="14" s="1"/>
  <c r="BB79" i="14"/>
  <c r="BA79" i="14"/>
  <c r="AX79" i="14" s="1"/>
  <c r="AS79" i="14"/>
  <c r="AP79" i="14" s="1"/>
  <c r="AK79" i="14"/>
  <c r="AH79" i="14" s="1"/>
  <c r="AC79" i="14"/>
  <c r="AB79" i="14"/>
  <c r="Y79" i="14" s="1"/>
  <c r="U79" i="14"/>
  <c r="M79" i="14"/>
  <c r="BW78" i="14"/>
  <c r="BS78" i="14"/>
  <c r="BO78" i="14"/>
  <c r="BJ78" i="14"/>
  <c r="BG78" i="14" s="1"/>
  <c r="BB78" i="14"/>
  <c r="BA78" i="14"/>
  <c r="AX78" i="14" s="1"/>
  <c r="AS78" i="14"/>
  <c r="AP78" i="14" s="1"/>
  <c r="AK78" i="14"/>
  <c r="AH78" i="14" s="1"/>
  <c r="AC78" i="14"/>
  <c r="AB78" i="14"/>
  <c r="Y78" i="14" s="1"/>
  <c r="U78" i="14"/>
  <c r="M78" i="14"/>
  <c r="BW77" i="14"/>
  <c r="BS77" i="14"/>
  <c r="BS76" i="14" s="1"/>
  <c r="BO77" i="14"/>
  <c r="BO76" i="14" s="1"/>
  <c r="BJ77" i="14"/>
  <c r="BB77" i="14"/>
  <c r="BA77" i="14"/>
  <c r="AX77" i="14" s="1"/>
  <c r="AS77" i="14"/>
  <c r="AP77" i="14" s="1"/>
  <c r="AK77" i="14"/>
  <c r="AH77" i="14" s="1"/>
  <c r="AC77" i="14"/>
  <c r="AB77" i="14"/>
  <c r="Y77" i="14" s="1"/>
  <c r="U77" i="14"/>
  <c r="M77" i="14"/>
  <c r="BF76" i="14"/>
  <c r="BE76" i="14"/>
  <c r="BD76" i="14"/>
  <c r="BC76" i="14"/>
  <c r="AZ76" i="14"/>
  <c r="AY76" i="14"/>
  <c r="AW76" i="14"/>
  <c r="AV76" i="14"/>
  <c r="AU76" i="14"/>
  <c r="AT76" i="14"/>
  <c r="AR76" i="14"/>
  <c r="AQ76" i="14"/>
  <c r="AO76" i="14"/>
  <c r="AN76" i="14"/>
  <c r="AM76" i="14"/>
  <c r="AL76" i="14"/>
  <c r="AJ76" i="14"/>
  <c r="AI76" i="14"/>
  <c r="AG76" i="14"/>
  <c r="AF76" i="14"/>
  <c r="AE76" i="14"/>
  <c r="AD76" i="14"/>
  <c r="AA76" i="14"/>
  <c r="Z76" i="14"/>
  <c r="X76" i="14"/>
  <c r="W76" i="14"/>
  <c r="V76" i="14"/>
  <c r="T76" i="14"/>
  <c r="S76" i="14"/>
  <c r="R76" i="14"/>
  <c r="Q76" i="14"/>
  <c r="P76" i="14"/>
  <c r="O76" i="14"/>
  <c r="N76" i="14"/>
  <c r="BB74" i="14"/>
  <c r="AS74" i="14"/>
  <c r="AK74" i="14"/>
  <c r="AC74" i="14"/>
  <c r="AB74" i="14"/>
  <c r="Y74" i="14" s="1"/>
  <c r="BB73" i="14"/>
  <c r="AS73" i="14"/>
  <c r="AK73" i="14"/>
  <c r="AC73" i="14"/>
  <c r="AB73" i="14"/>
  <c r="Y73" i="14" s="1"/>
  <c r="BZ72" i="14"/>
  <c r="BY72" i="14"/>
  <c r="BY51" i="14" s="1"/>
  <c r="BX72" i="14"/>
  <c r="BX51" i="14" s="1"/>
  <c r="BW72" i="14"/>
  <c r="BV72" i="14"/>
  <c r="BV51" i="14" s="1"/>
  <c r="BU72" i="14"/>
  <c r="BU51" i="14" s="1"/>
  <c r="BT72" i="14"/>
  <c r="BT51" i="14" s="1"/>
  <c r="BS72" i="14"/>
  <c r="BR72" i="14"/>
  <c r="BR51" i="14" s="1"/>
  <c r="BQ72" i="14"/>
  <c r="BQ51" i="14" s="1"/>
  <c r="BP72" i="14"/>
  <c r="BP51" i="14" s="1"/>
  <c r="BO72" i="14"/>
  <c r="BN72" i="14"/>
  <c r="BN51" i="14" s="1"/>
  <c r="BM72" i="14"/>
  <c r="BM51" i="14" s="1"/>
  <c r="BL72" i="14"/>
  <c r="BL51" i="14" s="1"/>
  <c r="BK72" i="14"/>
  <c r="BK51" i="14" s="1"/>
  <c r="BJ72" i="14"/>
  <c r="BI72" i="14"/>
  <c r="BI51" i="14" s="1"/>
  <c r="BH72" i="14"/>
  <c r="BH51" i="14" s="1"/>
  <c r="BG72" i="14"/>
  <c r="BF72" i="14"/>
  <c r="BE72" i="14"/>
  <c r="BD72" i="14"/>
  <c r="BC72" i="14"/>
  <c r="BA72" i="14"/>
  <c r="AZ72" i="14"/>
  <c r="AY72" i="14"/>
  <c r="AX72" i="14"/>
  <c r="AW72" i="14"/>
  <c r="AV72" i="14"/>
  <c r="AU72" i="14"/>
  <c r="AT72" i="14"/>
  <c r="AR72" i="14"/>
  <c r="AQ72" i="14"/>
  <c r="AP72" i="14"/>
  <c r="AO72" i="14"/>
  <c r="AN72" i="14"/>
  <c r="AM72" i="14"/>
  <c r="AL72" i="14"/>
  <c r="AJ72" i="14"/>
  <c r="AI72" i="14"/>
  <c r="AH72" i="14"/>
  <c r="AG72" i="14"/>
  <c r="AF72" i="14"/>
  <c r="AE72" i="14"/>
  <c r="AD72" i="14"/>
  <c r="AA72" i="14"/>
  <c r="Z72" i="14"/>
  <c r="X72" i="14"/>
  <c r="W72" i="14"/>
  <c r="V72" i="14"/>
  <c r="U72" i="14"/>
  <c r="T72" i="14"/>
  <c r="S72" i="14"/>
  <c r="R72" i="14"/>
  <c r="Q72" i="14"/>
  <c r="P72" i="14"/>
  <c r="O72" i="14"/>
  <c r="N72" i="14"/>
  <c r="M72" i="14"/>
  <c r="BS71" i="14"/>
  <c r="BO71" i="14"/>
  <c r="BJ71" i="14"/>
  <c r="BG71" i="14" s="1"/>
  <c r="BB71" i="14"/>
  <c r="BA71" i="14"/>
  <c r="AX71" i="14" s="1"/>
  <c r="AS71" i="14"/>
  <c r="AP71" i="14" s="1"/>
  <c r="AK71" i="14"/>
  <c r="AH71" i="14" s="1"/>
  <c r="AC71" i="14"/>
  <c r="AB71" i="14"/>
  <c r="Y71" i="14" s="1"/>
  <c r="U71" i="14"/>
  <c r="M71" i="14"/>
  <c r="BS70" i="14"/>
  <c r="BO70" i="14"/>
  <c r="BJ70" i="14"/>
  <c r="BG70" i="14" s="1"/>
  <c r="BB70" i="14"/>
  <c r="BA70" i="14"/>
  <c r="AX70" i="14" s="1"/>
  <c r="AS70" i="14"/>
  <c r="AP70" i="14" s="1"/>
  <c r="AK70" i="14"/>
  <c r="AH70" i="14" s="1"/>
  <c r="AC70" i="14"/>
  <c r="AB70" i="14"/>
  <c r="Y70" i="14" s="1"/>
  <c r="U70" i="14"/>
  <c r="M70" i="14"/>
  <c r="BS69" i="14"/>
  <c r="BO69" i="14"/>
  <c r="BJ69" i="14"/>
  <c r="BG69" i="14" s="1"/>
  <c r="BB69" i="14"/>
  <c r="BA69" i="14"/>
  <c r="AX69" i="14" s="1"/>
  <c r="AS69" i="14"/>
  <c r="AP69" i="14" s="1"/>
  <c r="AK69" i="14"/>
  <c r="AH69" i="14" s="1"/>
  <c r="AC69" i="14"/>
  <c r="AB69" i="14"/>
  <c r="Y69" i="14" s="1"/>
  <c r="U69" i="14"/>
  <c r="P69" i="14"/>
  <c r="M69" i="14" s="1"/>
  <c r="BS68" i="14"/>
  <c r="BO68" i="14"/>
  <c r="BJ68" i="14"/>
  <c r="BG68" i="14" s="1"/>
  <c r="BB68" i="14"/>
  <c r="BA68" i="14"/>
  <c r="AX68" i="14" s="1"/>
  <c r="AS68" i="14"/>
  <c r="AP68" i="14" s="1"/>
  <c r="AK68" i="14"/>
  <c r="AH68" i="14" s="1"/>
  <c r="AC68" i="14"/>
  <c r="AB68" i="14"/>
  <c r="Y68" i="14" s="1"/>
  <c r="U68" i="14"/>
  <c r="M68" i="14"/>
  <c r="BS67" i="14"/>
  <c r="BO67" i="14"/>
  <c r="BJ67" i="14"/>
  <c r="BG67" i="14" s="1"/>
  <c r="BB67" i="14"/>
  <c r="BA67" i="14"/>
  <c r="AX67" i="14" s="1"/>
  <c r="AV67" i="14"/>
  <c r="AS67" i="14" s="1"/>
  <c r="AP67" i="14" s="1"/>
  <c r="AN67" i="14"/>
  <c r="AK67" i="14" s="1"/>
  <c r="AH67" i="14" s="1"/>
  <c r="AC67" i="14"/>
  <c r="AB67" i="14"/>
  <c r="Y67" i="14" s="1"/>
  <c r="U67" i="14"/>
  <c r="M67" i="14"/>
  <c r="BS66" i="14"/>
  <c r="BO66" i="14"/>
  <c r="BJ66" i="14"/>
  <c r="BG66" i="14" s="1"/>
  <c r="BB66" i="14"/>
  <c r="BA66" i="14"/>
  <c r="AX66" i="14" s="1"/>
  <c r="AV66" i="14"/>
  <c r="AN66" i="14"/>
  <c r="AK66" i="14" s="1"/>
  <c r="AH66" i="14" s="1"/>
  <c r="AC66" i="14"/>
  <c r="AB66" i="14"/>
  <c r="Y66" i="14" s="1"/>
  <c r="U66" i="14"/>
  <c r="M66" i="14"/>
  <c r="BS65" i="14"/>
  <c r="BO65" i="14"/>
  <c r="BJ65" i="14"/>
  <c r="BG65" i="14" s="1"/>
  <c r="BB65" i="14"/>
  <c r="BA65" i="14"/>
  <c r="AX65" i="14" s="1"/>
  <c r="AT65" i="14"/>
  <c r="AS65" i="14" s="1"/>
  <c r="AP65" i="14" s="1"/>
  <c r="AK65" i="14"/>
  <c r="AH65" i="14" s="1"/>
  <c r="AC65" i="14"/>
  <c r="AB65" i="14"/>
  <c r="Y65" i="14" s="1"/>
  <c r="U65" i="14"/>
  <c r="M65" i="14"/>
  <c r="BZ64" i="14"/>
  <c r="BS64" i="14"/>
  <c r="BO64" i="14"/>
  <c r="BJ64" i="14"/>
  <c r="BG64" i="14" s="1"/>
  <c r="BB64" i="14"/>
  <c r="BA64" i="14"/>
  <c r="AX64" i="14" s="1"/>
  <c r="AS64" i="14"/>
  <c r="AP64" i="14" s="1"/>
  <c r="AK64" i="14"/>
  <c r="AH64" i="14" s="1"/>
  <c r="AC64" i="14"/>
  <c r="AB64" i="14"/>
  <c r="Y64" i="14" s="1"/>
  <c r="U64" i="14"/>
  <c r="M64" i="14"/>
  <c r="BS63" i="14"/>
  <c r="BO63" i="14"/>
  <c r="BJ63" i="14"/>
  <c r="BG63" i="14" s="1"/>
  <c r="BB63" i="14"/>
  <c r="BA63" i="14"/>
  <c r="AX63" i="14" s="1"/>
  <c r="AS63" i="14"/>
  <c r="AP63" i="14" s="1"/>
  <c r="AK63" i="14"/>
  <c r="AH63" i="14" s="1"/>
  <c r="AC63" i="14"/>
  <c r="AB63" i="14"/>
  <c r="Y63" i="14" s="1"/>
  <c r="U63" i="14"/>
  <c r="M63" i="14"/>
  <c r="BS62" i="14"/>
  <c r="BO62" i="14"/>
  <c r="BJ62" i="14"/>
  <c r="BG62" i="14" s="1"/>
  <c r="BB62" i="14"/>
  <c r="BA62" i="14"/>
  <c r="AX62" i="14" s="1"/>
  <c r="AC62" i="14"/>
  <c r="AB62" i="14"/>
  <c r="Y62" i="14" s="1"/>
  <c r="U62" i="14"/>
  <c r="M62" i="14"/>
  <c r="BS61" i="14"/>
  <c r="BO61" i="14"/>
  <c r="BJ61" i="14"/>
  <c r="BG61" i="14" s="1"/>
  <c r="BB61" i="14"/>
  <c r="BA61" i="14"/>
  <c r="AX61" i="14" s="1"/>
  <c r="AS61" i="14"/>
  <c r="AP61" i="14" s="1"/>
  <c r="AK61" i="14"/>
  <c r="AH61" i="14" s="1"/>
  <c r="AC61" i="14"/>
  <c r="AB61" i="14"/>
  <c r="Y61" i="14" s="1"/>
  <c r="U61" i="14"/>
  <c r="M61" i="14"/>
  <c r="BS60" i="14"/>
  <c r="BO60" i="14"/>
  <c r="BJ60" i="14"/>
  <c r="BG60" i="14" s="1"/>
  <c r="BB60" i="14"/>
  <c r="BA60" i="14"/>
  <c r="AX60" i="14" s="1"/>
  <c r="AV60" i="14"/>
  <c r="AT60" i="14"/>
  <c r="AN60" i="14"/>
  <c r="AL60" i="14"/>
  <c r="AL58" i="14" s="1"/>
  <c r="U60" i="14"/>
  <c r="M60" i="14"/>
  <c r="BS59" i="14"/>
  <c r="BO59" i="14"/>
  <c r="BJ59" i="14"/>
  <c r="BB59" i="14"/>
  <c r="BA59" i="14"/>
  <c r="AX59" i="14" s="1"/>
  <c r="AS59" i="14"/>
  <c r="AP59" i="14" s="1"/>
  <c r="AK59" i="14"/>
  <c r="AH59" i="14" s="1"/>
  <c r="AC59" i="14"/>
  <c r="AB59" i="14"/>
  <c r="Y59" i="14" s="1"/>
  <c r="U59" i="14"/>
  <c r="M59" i="14"/>
  <c r="BF58" i="14"/>
  <c r="BE58" i="14"/>
  <c r="BD58" i="14"/>
  <c r="BC58" i="14"/>
  <c r="AZ58" i="14"/>
  <c r="AY58" i="14"/>
  <c r="AW58" i="14"/>
  <c r="AU58" i="14"/>
  <c r="AR58" i="14"/>
  <c r="AQ58" i="14"/>
  <c r="AO58" i="14"/>
  <c r="AM58" i="14"/>
  <c r="AJ58" i="14"/>
  <c r="AI58" i="14"/>
  <c r="AG58" i="14"/>
  <c r="AF58" i="14"/>
  <c r="AE58" i="14"/>
  <c r="AA58" i="14"/>
  <c r="Z58" i="14"/>
  <c r="X58" i="14"/>
  <c r="W58" i="14"/>
  <c r="V58" i="14"/>
  <c r="T58" i="14"/>
  <c r="S58" i="14"/>
  <c r="R58" i="14"/>
  <c r="Q58" i="14"/>
  <c r="O58" i="14"/>
  <c r="N58" i="14"/>
  <c r="BW57" i="14"/>
  <c r="BS57" i="14"/>
  <c r="BO57" i="14"/>
  <c r="BJ57" i="14"/>
  <c r="BG57" i="14" s="1"/>
  <c r="BB57" i="14"/>
  <c r="BA57" i="14"/>
  <c r="AX57" i="14" s="1"/>
  <c r="AS57" i="14"/>
  <c r="AP57" i="14" s="1"/>
  <c r="AK57" i="14"/>
  <c r="AH57" i="14" s="1"/>
  <c r="AC57" i="14"/>
  <c r="AB57" i="14"/>
  <c r="Y57" i="14" s="1"/>
  <c r="U57" i="14"/>
  <c r="M57" i="14"/>
  <c r="BW56" i="14"/>
  <c r="BS56" i="14"/>
  <c r="BO56" i="14"/>
  <c r="BJ56" i="14"/>
  <c r="BG56" i="14" s="1"/>
  <c r="BB56" i="14"/>
  <c r="BA56" i="14"/>
  <c r="AX56" i="14" s="1"/>
  <c r="AV56" i="14"/>
  <c r="AS56" i="14" s="1"/>
  <c r="AP56" i="14" s="1"/>
  <c r="AN56" i="14"/>
  <c r="AK56" i="14" s="1"/>
  <c r="AC56" i="14"/>
  <c r="AB56" i="14"/>
  <c r="Y56" i="14" s="1"/>
  <c r="U56" i="14"/>
  <c r="M56" i="14"/>
  <c r="BW55" i="14"/>
  <c r="BS55" i="14"/>
  <c r="BO55" i="14"/>
  <c r="BJ55" i="14"/>
  <c r="BG55" i="14" s="1"/>
  <c r="BB55" i="14"/>
  <c r="BA55" i="14"/>
  <c r="AV55" i="14"/>
  <c r="AN55" i="14"/>
  <c r="AK55" i="14" s="1"/>
  <c r="AH55" i="14" s="1"/>
  <c r="AF55" i="14"/>
  <c r="AB55" i="14" s="1"/>
  <c r="AC55" i="14"/>
  <c r="U55" i="14"/>
  <c r="M55" i="14"/>
  <c r="BW54" i="14"/>
  <c r="BS54" i="14"/>
  <c r="BO54" i="14"/>
  <c r="BJ54" i="14"/>
  <c r="BG54" i="14" s="1"/>
  <c r="BB54" i="14"/>
  <c r="BA54" i="14"/>
  <c r="AX54" i="14" s="1"/>
  <c r="AS54" i="14"/>
  <c r="AP54" i="14" s="1"/>
  <c r="AK54" i="14"/>
  <c r="AH54" i="14" s="1"/>
  <c r="AC54" i="14"/>
  <c r="AB54" i="14"/>
  <c r="Y54" i="14" s="1"/>
  <c r="U54" i="14"/>
  <c r="M54" i="14"/>
  <c r="BW53" i="14"/>
  <c r="BS53" i="14"/>
  <c r="BO53" i="14"/>
  <c r="BJ53" i="14"/>
  <c r="BB53" i="14"/>
  <c r="BA53" i="14"/>
  <c r="AX53" i="14" s="1"/>
  <c r="AS53" i="14"/>
  <c r="AP53" i="14" s="1"/>
  <c r="AK53" i="14"/>
  <c r="AH53" i="14" s="1"/>
  <c r="AC53" i="14"/>
  <c r="AB53" i="14"/>
  <c r="Y53" i="14" s="1"/>
  <c r="U53" i="14"/>
  <c r="M53" i="14"/>
  <c r="BF52" i="14"/>
  <c r="BE52" i="14"/>
  <c r="BD52" i="14"/>
  <c r="BC52" i="14"/>
  <c r="AZ52" i="14"/>
  <c r="AY52" i="14"/>
  <c r="AW52" i="14"/>
  <c r="AU52" i="14"/>
  <c r="AT52" i="14"/>
  <c r="AR52" i="14"/>
  <c r="AQ52" i="14"/>
  <c r="AO52" i="14"/>
  <c r="AM52" i="14"/>
  <c r="AL52" i="14"/>
  <c r="AJ52" i="14"/>
  <c r="AI52" i="14"/>
  <c r="AG52" i="14"/>
  <c r="AE52" i="14"/>
  <c r="AD52" i="14"/>
  <c r="AA52" i="14"/>
  <c r="Z52" i="14"/>
  <c r="X52" i="14"/>
  <c r="W52" i="14"/>
  <c r="V52" i="14"/>
  <c r="T52" i="14"/>
  <c r="S52" i="14"/>
  <c r="R52" i="14"/>
  <c r="Q52" i="14"/>
  <c r="P52" i="14"/>
  <c r="O52" i="14"/>
  <c r="N52" i="14"/>
  <c r="BW50" i="14"/>
  <c r="BW35" i="14" s="1"/>
  <c r="BS50" i="14"/>
  <c r="BO50" i="14"/>
  <c r="BJ50" i="14"/>
  <c r="BG50" i="14" s="1"/>
  <c r="BB50" i="14"/>
  <c r="BA50" i="14"/>
  <c r="AX50" i="14" s="1"/>
  <c r="AS50" i="14"/>
  <c r="AP50" i="14" s="1"/>
  <c r="AK50" i="14"/>
  <c r="AH50" i="14" s="1"/>
  <c r="AC50" i="14"/>
  <c r="AB50" i="14"/>
  <c r="Y50" i="14" s="1"/>
  <c r="P50" i="14"/>
  <c r="P35" i="14" s="1"/>
  <c r="BS49" i="14"/>
  <c r="BO49" i="14"/>
  <c r="BJ49" i="14"/>
  <c r="BG49" i="14" s="1"/>
  <c r="BB49" i="14"/>
  <c r="BA49" i="14"/>
  <c r="AX49" i="14" s="1"/>
  <c r="AS49" i="14"/>
  <c r="AP49" i="14" s="1"/>
  <c r="AK49" i="14"/>
  <c r="AH49" i="14" s="1"/>
  <c r="AC49" i="14"/>
  <c r="AB49" i="14"/>
  <c r="Y49" i="14" s="1"/>
  <c r="U49" i="14"/>
  <c r="M49" i="14"/>
  <c r="BS48" i="14"/>
  <c r="BO48" i="14"/>
  <c r="BM48" i="14"/>
  <c r="BB48" i="14"/>
  <c r="BA48" i="14"/>
  <c r="AX48" i="14" s="1"/>
  <c r="AS48" i="14"/>
  <c r="AP48" i="14" s="1"/>
  <c r="AK48" i="14"/>
  <c r="AH48" i="14" s="1"/>
  <c r="AC48" i="14"/>
  <c r="AB48" i="14"/>
  <c r="Y48" i="14" s="1"/>
  <c r="U48" i="14"/>
  <c r="M48" i="14"/>
  <c r="BS47" i="14"/>
  <c r="BO47" i="14"/>
  <c r="BM47" i="14"/>
  <c r="BJ47" i="14" s="1"/>
  <c r="BG47" i="14" s="1"/>
  <c r="BE47" i="14"/>
  <c r="BA47" i="14" s="1"/>
  <c r="AX47" i="14" s="1"/>
  <c r="BB47" i="14"/>
  <c r="AS47" i="14"/>
  <c r="AP47" i="14" s="1"/>
  <c r="AK47" i="14"/>
  <c r="AH47" i="14" s="1"/>
  <c r="AC47" i="14"/>
  <c r="AB47" i="14"/>
  <c r="Y47" i="14" s="1"/>
  <c r="U47" i="14"/>
  <c r="M47" i="14"/>
  <c r="BS46" i="14"/>
  <c r="BO46" i="14"/>
  <c r="BJ46" i="14"/>
  <c r="BG46" i="14" s="1"/>
  <c r="BB46" i="14"/>
  <c r="BA46" i="14"/>
  <c r="AX46" i="14" s="1"/>
  <c r="AS46" i="14"/>
  <c r="AP46" i="14" s="1"/>
  <c r="AK46" i="14"/>
  <c r="AH46" i="14" s="1"/>
  <c r="AC46" i="14"/>
  <c r="AB46" i="14"/>
  <c r="Y46" i="14" s="1"/>
  <c r="U46" i="14"/>
  <c r="M46" i="14"/>
  <c r="BS45" i="14"/>
  <c r="BO45" i="14"/>
  <c r="BJ45" i="14"/>
  <c r="BG45" i="14" s="1"/>
  <c r="BB45" i="14"/>
  <c r="BA45" i="14"/>
  <c r="AX45" i="14" s="1"/>
  <c r="AS45" i="14"/>
  <c r="AP45" i="14" s="1"/>
  <c r="AK45" i="14"/>
  <c r="AH45" i="14" s="1"/>
  <c r="AC45" i="14"/>
  <c r="AB45" i="14"/>
  <c r="Y45" i="14" s="1"/>
  <c r="U45" i="14"/>
  <c r="M45" i="14"/>
  <c r="BS44" i="14"/>
  <c r="BO44" i="14"/>
  <c r="BJ44" i="14"/>
  <c r="BG44" i="14" s="1"/>
  <c r="BB44" i="14"/>
  <c r="BA44" i="14"/>
  <c r="AX44" i="14" s="1"/>
  <c r="AV44" i="14"/>
  <c r="AS44" i="14" s="1"/>
  <c r="AP44" i="14" s="1"/>
  <c r="AN44" i="14"/>
  <c r="AK44" i="14" s="1"/>
  <c r="AH44" i="14" s="1"/>
  <c r="AC44" i="14"/>
  <c r="AB44" i="14"/>
  <c r="Y44" i="14" s="1"/>
  <c r="U44" i="14"/>
  <c r="M44" i="14"/>
  <c r="BB43" i="14"/>
  <c r="AC43" i="14"/>
  <c r="AB43" i="14"/>
  <c r="BS42" i="14"/>
  <c r="BO42" i="14"/>
  <c r="BJ42" i="14"/>
  <c r="BG42" i="14" s="1"/>
  <c r="BB42" i="14"/>
  <c r="BA42" i="14"/>
  <c r="AX42" i="14" s="1"/>
  <c r="AS42" i="14"/>
  <c r="AP42" i="14" s="1"/>
  <c r="AK42" i="14"/>
  <c r="AH42" i="14" s="1"/>
  <c r="AC42" i="14"/>
  <c r="AB42" i="14"/>
  <c r="Y42" i="14" s="1"/>
  <c r="U42" i="14"/>
  <c r="M42" i="14"/>
  <c r="BS41" i="14"/>
  <c r="BO41" i="14"/>
  <c r="BJ41" i="14"/>
  <c r="BG41" i="14" s="1"/>
  <c r="BB41" i="14"/>
  <c r="BA41" i="14"/>
  <c r="AX41" i="14" s="1"/>
  <c r="AS41" i="14"/>
  <c r="AP41" i="14" s="1"/>
  <c r="AK41" i="14"/>
  <c r="AH41" i="14" s="1"/>
  <c r="AC41" i="14"/>
  <c r="AB41" i="14"/>
  <c r="Y41" i="14" s="1"/>
  <c r="U41" i="14"/>
  <c r="M41" i="14"/>
  <c r="BS40" i="14"/>
  <c r="BO40" i="14"/>
  <c r="BJ40" i="14"/>
  <c r="BG40" i="14" s="1"/>
  <c r="BB40" i="14"/>
  <c r="BA40" i="14"/>
  <c r="AX40" i="14" s="1"/>
  <c r="AS40" i="14"/>
  <c r="AP40" i="14" s="1"/>
  <c r="AK40" i="14"/>
  <c r="AH40" i="14" s="1"/>
  <c r="AB40" i="14"/>
  <c r="Y40" i="14" s="1"/>
  <c r="U40" i="14"/>
  <c r="M40" i="14"/>
  <c r="BS39" i="14"/>
  <c r="BO39" i="14"/>
  <c r="BJ39" i="14"/>
  <c r="BG39" i="14" s="1"/>
  <c r="BB39" i="14"/>
  <c r="BA39" i="14"/>
  <c r="AX39" i="14" s="1"/>
  <c r="AS39" i="14"/>
  <c r="AP39" i="14" s="1"/>
  <c r="AK39" i="14"/>
  <c r="AH39" i="14" s="1"/>
  <c r="AC39" i="14"/>
  <c r="AB39" i="14"/>
  <c r="Y39" i="14" s="1"/>
  <c r="U39" i="14"/>
  <c r="M39" i="14"/>
  <c r="BS38" i="14"/>
  <c r="BO38" i="14"/>
  <c r="BJ38" i="14"/>
  <c r="BB38" i="14"/>
  <c r="BA38" i="14"/>
  <c r="AX38" i="14" s="1"/>
  <c r="AS38" i="14"/>
  <c r="AP38" i="14" s="1"/>
  <c r="AK38" i="14"/>
  <c r="AH38" i="14" s="1"/>
  <c r="AC38" i="14"/>
  <c r="AB38" i="14"/>
  <c r="Y38" i="14" s="1"/>
  <c r="U38" i="14"/>
  <c r="M38" i="14"/>
  <c r="BS37" i="14"/>
  <c r="BO37" i="14"/>
  <c r="BJ37" i="14"/>
  <c r="BG37" i="14" s="1"/>
  <c r="BB37" i="14"/>
  <c r="BA37" i="14"/>
  <c r="AX37" i="14" s="1"/>
  <c r="AT37" i="14"/>
  <c r="AS37" i="14" s="1"/>
  <c r="AL37" i="14"/>
  <c r="AL35" i="14" s="1"/>
  <c r="AC37" i="14"/>
  <c r="AB37" i="14"/>
  <c r="U37" i="14"/>
  <c r="M37" i="14"/>
  <c r="BS36" i="14"/>
  <c r="BO36" i="14"/>
  <c r="BJ36" i="14"/>
  <c r="BG36" i="14" s="1"/>
  <c r="BB36" i="14"/>
  <c r="BA36" i="14"/>
  <c r="AX36" i="14" s="1"/>
  <c r="AS36" i="14"/>
  <c r="AP36" i="14" s="1"/>
  <c r="AK36" i="14"/>
  <c r="AH36" i="14" s="1"/>
  <c r="AC36" i="14"/>
  <c r="AB36" i="14"/>
  <c r="Y36" i="14" s="1"/>
  <c r="U36" i="14"/>
  <c r="M36" i="14"/>
  <c r="BZ35" i="14"/>
  <c r="BY35" i="14"/>
  <c r="BX35" i="14"/>
  <c r="BV35" i="14"/>
  <c r="BU35" i="14"/>
  <c r="BT35" i="14"/>
  <c r="BR35" i="14"/>
  <c r="BQ35" i="14"/>
  <c r="BP35" i="14"/>
  <c r="BN35" i="14"/>
  <c r="BL35" i="14"/>
  <c r="BK35" i="14"/>
  <c r="BI35" i="14"/>
  <c r="BH35" i="14"/>
  <c r="BF35" i="14"/>
  <c r="BD35" i="14"/>
  <c r="BC35" i="14"/>
  <c r="AZ35" i="14"/>
  <c r="AY35" i="14"/>
  <c r="AW35" i="14"/>
  <c r="AU35" i="14"/>
  <c r="AR35" i="14"/>
  <c r="AQ35" i="14"/>
  <c r="AO35" i="14"/>
  <c r="AM35" i="14"/>
  <c r="AJ35" i="14"/>
  <c r="AI35" i="14"/>
  <c r="AG35" i="14"/>
  <c r="AF35" i="14"/>
  <c r="AE35" i="14"/>
  <c r="AD35" i="14"/>
  <c r="AA35" i="14"/>
  <c r="Z35" i="14"/>
  <c r="X35" i="14"/>
  <c r="W35" i="14"/>
  <c r="V35" i="14"/>
  <c r="T35" i="14"/>
  <c r="S35" i="14"/>
  <c r="R35" i="14"/>
  <c r="Q35" i="14"/>
  <c r="O35" i="14"/>
  <c r="N35" i="14"/>
  <c r="BS34" i="14"/>
  <c r="BO34" i="14"/>
  <c r="BJ34" i="14"/>
  <c r="BG34" i="14" s="1"/>
  <c r="BB34" i="14"/>
  <c r="BA34" i="14"/>
  <c r="AX34" i="14" s="1"/>
  <c r="AV34" i="14"/>
  <c r="AS34" i="14" s="1"/>
  <c r="AP34" i="14" s="1"/>
  <c r="AN34" i="14"/>
  <c r="AC34" i="14"/>
  <c r="AB34" i="14"/>
  <c r="Y34" i="14" s="1"/>
  <c r="X34" i="14"/>
  <c r="U34" i="14" s="1"/>
  <c r="M34" i="14"/>
  <c r="BS33" i="14"/>
  <c r="BO33" i="14"/>
  <c r="BJ33" i="14"/>
  <c r="BB33" i="14"/>
  <c r="BA33" i="14"/>
  <c r="AV33" i="14"/>
  <c r="AS33" i="14" s="1"/>
  <c r="AN33" i="14"/>
  <c r="AK33" i="14" s="1"/>
  <c r="AH33" i="14" s="1"/>
  <c r="AF33" i="14"/>
  <c r="AF31" i="14" s="1"/>
  <c r="AC33" i="14"/>
  <c r="X33" i="14"/>
  <c r="U33" i="14" s="1"/>
  <c r="M33" i="14"/>
  <c r="BW32" i="14"/>
  <c r="BW31" i="14" s="1"/>
  <c r="BS32" i="14"/>
  <c r="BO32" i="14"/>
  <c r="BJ32" i="14"/>
  <c r="BG32" i="14" s="1"/>
  <c r="BB32" i="14"/>
  <c r="BA32" i="14"/>
  <c r="AX32" i="14" s="1"/>
  <c r="AS32" i="14"/>
  <c r="AP32" i="14" s="1"/>
  <c r="AK32" i="14"/>
  <c r="AD32" i="14"/>
  <c r="AB32" i="14" s="1"/>
  <c r="Y32" i="14" s="1"/>
  <c r="U32" i="14"/>
  <c r="M32" i="14"/>
  <c r="BZ31" i="14"/>
  <c r="BY31" i="14"/>
  <c r="BX31" i="14"/>
  <c r="BV31" i="14"/>
  <c r="BU31" i="14"/>
  <c r="BT31" i="14"/>
  <c r="BR31" i="14"/>
  <c r="BQ31" i="14"/>
  <c r="BP31" i="14"/>
  <c r="BN31" i="14"/>
  <c r="BM31" i="14"/>
  <c r="BL31" i="14"/>
  <c r="BK31" i="14"/>
  <c r="BI31" i="14"/>
  <c r="BH31" i="14"/>
  <c r="BF31" i="14"/>
  <c r="BE31" i="14"/>
  <c r="BD31" i="14"/>
  <c r="BC31" i="14"/>
  <c r="AZ31" i="14"/>
  <c r="AY31" i="14"/>
  <c r="AW31" i="14"/>
  <c r="AU31" i="14"/>
  <c r="AT31" i="14"/>
  <c r="AR31" i="14"/>
  <c r="AQ31" i="14"/>
  <c r="AO31" i="14"/>
  <c r="AM31" i="14"/>
  <c r="AL31" i="14"/>
  <c r="AJ31" i="14"/>
  <c r="AI31" i="14"/>
  <c r="AG31" i="14"/>
  <c r="AE31" i="14"/>
  <c r="AA31" i="14"/>
  <c r="Z31" i="14"/>
  <c r="W31" i="14"/>
  <c r="V31" i="14"/>
  <c r="T31" i="14"/>
  <c r="S31" i="14"/>
  <c r="R31" i="14"/>
  <c r="Q31" i="14"/>
  <c r="P31" i="14"/>
  <c r="O31" i="14"/>
  <c r="N31" i="14"/>
  <c r="BW30" i="14"/>
  <c r="BS30" i="14"/>
  <c r="BO30" i="14"/>
  <c r="BJ30" i="14"/>
  <c r="BG30" i="14" s="1"/>
  <c r="BB30" i="14"/>
  <c r="BA30" i="14"/>
  <c r="AX30" i="14" s="1"/>
  <c r="AS30" i="14"/>
  <c r="AP30" i="14" s="1"/>
  <c r="AK30" i="14"/>
  <c r="AH30" i="14" s="1"/>
  <c r="AC30" i="14"/>
  <c r="AB30" i="14"/>
  <c r="Y30" i="14" s="1"/>
  <c r="U30" i="14"/>
  <c r="M30" i="14"/>
  <c r="BW29" i="14"/>
  <c r="BS29" i="14"/>
  <c r="BO29" i="14"/>
  <c r="BJ29" i="14"/>
  <c r="BG29" i="14" s="1"/>
  <c r="BB29" i="14"/>
  <c r="BA29" i="14"/>
  <c r="AX29" i="14" s="1"/>
  <c r="AS29" i="14"/>
  <c r="AP29" i="14" s="1"/>
  <c r="AK29" i="14"/>
  <c r="AH29" i="14" s="1"/>
  <c r="AC29" i="14"/>
  <c r="AB29" i="14"/>
  <c r="Y29" i="14" s="1"/>
  <c r="U29" i="14"/>
  <c r="M29" i="14"/>
  <c r="BW28" i="14"/>
  <c r="BS28" i="14"/>
  <c r="BO28" i="14"/>
  <c r="BJ28" i="14"/>
  <c r="BG28" i="14" s="1"/>
  <c r="BB28" i="14"/>
  <c r="BA28" i="14"/>
  <c r="AX28" i="14" s="1"/>
  <c r="AS28" i="14"/>
  <c r="AP28" i="14" s="1"/>
  <c r="AK28" i="14"/>
  <c r="AH28" i="14" s="1"/>
  <c r="AC28" i="14"/>
  <c r="AB28" i="14"/>
  <c r="Y28" i="14" s="1"/>
  <c r="U28" i="14"/>
  <c r="M28" i="14"/>
  <c r="BW27" i="14"/>
  <c r="BS27" i="14"/>
  <c r="BO27" i="14"/>
  <c r="BJ27" i="14"/>
  <c r="BG27" i="14" s="1"/>
  <c r="BB27" i="14"/>
  <c r="BA27" i="14"/>
  <c r="AX27" i="14" s="1"/>
  <c r="AV27" i="14"/>
  <c r="AS27" i="14" s="1"/>
  <c r="AP27" i="14" s="1"/>
  <c r="AN27" i="14"/>
  <c r="AN19" i="14" s="1"/>
  <c r="AF27" i="14"/>
  <c r="AB27" i="14" s="1"/>
  <c r="Y27" i="14" s="1"/>
  <c r="AC27" i="14"/>
  <c r="U27" i="14"/>
  <c r="M27" i="14"/>
  <c r="BW26" i="14"/>
  <c r="BS26" i="14"/>
  <c r="BO26" i="14"/>
  <c r="BJ26" i="14"/>
  <c r="BG26" i="14" s="1"/>
  <c r="BB26" i="14"/>
  <c r="BA26" i="14"/>
  <c r="AX26" i="14" s="1"/>
  <c r="AS26" i="14"/>
  <c r="AP26" i="14" s="1"/>
  <c r="AK26" i="14"/>
  <c r="AH26" i="14" s="1"/>
  <c r="AC26" i="14"/>
  <c r="AB26" i="14"/>
  <c r="Y26" i="14" s="1"/>
  <c r="U26" i="14"/>
  <c r="M26" i="14"/>
  <c r="BW25" i="14"/>
  <c r="BS25" i="14"/>
  <c r="BO25" i="14"/>
  <c r="BJ25" i="14"/>
  <c r="BG25" i="14" s="1"/>
  <c r="BB25" i="14"/>
  <c r="BA25" i="14"/>
  <c r="AX25" i="14" s="1"/>
  <c r="AS25" i="14"/>
  <c r="AP25" i="14" s="1"/>
  <c r="AK25" i="14"/>
  <c r="AH25" i="14" s="1"/>
  <c r="AC25" i="14"/>
  <c r="AB25" i="14"/>
  <c r="Y25" i="14" s="1"/>
  <c r="U25" i="14"/>
  <c r="M25" i="14"/>
  <c r="BW24" i="14"/>
  <c r="BS24" i="14"/>
  <c r="BO24" i="14"/>
  <c r="BJ24" i="14"/>
  <c r="BG24" i="14" s="1"/>
  <c r="BB24" i="14"/>
  <c r="BA24" i="14"/>
  <c r="AX24" i="14" s="1"/>
  <c r="AS24" i="14"/>
  <c r="AP24" i="14" s="1"/>
  <c r="AK24" i="14"/>
  <c r="AH24" i="14" s="1"/>
  <c r="AC24" i="14"/>
  <c r="AB24" i="14"/>
  <c r="Y24" i="14" s="1"/>
  <c r="U24" i="14"/>
  <c r="M24" i="14"/>
  <c r="BW23" i="14"/>
  <c r="BS23" i="14"/>
  <c r="BO23" i="14"/>
  <c r="BJ23" i="14"/>
  <c r="BG23" i="14" s="1"/>
  <c r="BB23" i="14"/>
  <c r="BA23" i="14"/>
  <c r="AX23" i="14" s="1"/>
  <c r="AS23" i="14"/>
  <c r="AP23" i="14" s="1"/>
  <c r="AK23" i="14"/>
  <c r="AH23" i="14" s="1"/>
  <c r="AC23" i="14"/>
  <c r="AB23" i="14"/>
  <c r="Y23" i="14" s="1"/>
  <c r="U23" i="14"/>
  <c r="M23" i="14"/>
  <c r="BW22" i="14"/>
  <c r="BS22" i="14"/>
  <c r="BO22" i="14"/>
  <c r="BJ22" i="14"/>
  <c r="BG22" i="14" s="1"/>
  <c r="BB22" i="14"/>
  <c r="BA22" i="14"/>
  <c r="AX22" i="14" s="1"/>
  <c r="AS22" i="14"/>
  <c r="AP22" i="14" s="1"/>
  <c r="AK22" i="14"/>
  <c r="AH22" i="14" s="1"/>
  <c r="AF22" i="14"/>
  <c r="AF19" i="14" s="1"/>
  <c r="AC22" i="14"/>
  <c r="U22" i="14"/>
  <c r="M22" i="14"/>
  <c r="BW21" i="14"/>
  <c r="BS21" i="14"/>
  <c r="BO21" i="14"/>
  <c r="BJ21" i="14"/>
  <c r="BG21" i="14" s="1"/>
  <c r="BB21" i="14"/>
  <c r="BA21" i="14"/>
  <c r="AX21" i="14" s="1"/>
  <c r="AS21" i="14"/>
  <c r="AP21" i="14" s="1"/>
  <c r="AK21" i="14"/>
  <c r="AH21" i="14" s="1"/>
  <c r="AC21" i="14"/>
  <c r="AB21" i="14"/>
  <c r="Y21" i="14" s="1"/>
  <c r="U21" i="14"/>
  <c r="M21" i="14"/>
  <c r="BW20" i="14"/>
  <c r="BS20" i="14"/>
  <c r="BO20" i="14"/>
  <c r="BJ20" i="14"/>
  <c r="BB20" i="14"/>
  <c r="BA20" i="14"/>
  <c r="AX20" i="14" s="1"/>
  <c r="AS20" i="14"/>
  <c r="AP20" i="14" s="1"/>
  <c r="AK20" i="14"/>
  <c r="AH20" i="14" s="1"/>
  <c r="AC20" i="14"/>
  <c r="AB20" i="14"/>
  <c r="Y20" i="14" s="1"/>
  <c r="U20" i="14"/>
  <c r="M20" i="14"/>
  <c r="BZ19" i="14"/>
  <c r="BY19" i="14"/>
  <c r="BX19" i="14"/>
  <c r="BV19" i="14"/>
  <c r="BU19" i="14"/>
  <c r="BT19" i="14"/>
  <c r="BR19" i="14"/>
  <c r="BQ19" i="14"/>
  <c r="BP19" i="14"/>
  <c r="BN19" i="14"/>
  <c r="BM19" i="14"/>
  <c r="BL19" i="14"/>
  <c r="BK19" i="14"/>
  <c r="BI19" i="14"/>
  <c r="BH19" i="14"/>
  <c r="BF19" i="14"/>
  <c r="BE19" i="14"/>
  <c r="BD19" i="14"/>
  <c r="BC19" i="14"/>
  <c r="AZ19" i="14"/>
  <c r="AY19" i="14"/>
  <c r="AW19" i="14"/>
  <c r="AU19" i="14"/>
  <c r="AT19" i="14"/>
  <c r="AR19" i="14"/>
  <c r="AQ19" i="14"/>
  <c r="AO19" i="14"/>
  <c r="AM19" i="14"/>
  <c r="AL19" i="14"/>
  <c r="AJ19" i="14"/>
  <c r="AI19" i="14"/>
  <c r="AG19" i="14"/>
  <c r="AE19" i="14"/>
  <c r="AD19" i="14"/>
  <c r="AA19" i="14"/>
  <c r="Z19" i="14"/>
  <c r="X19" i="14"/>
  <c r="W19" i="14"/>
  <c r="V19" i="14"/>
  <c r="P19" i="14"/>
  <c r="O19" i="14"/>
  <c r="N19" i="14"/>
  <c r="BE16" i="14"/>
  <c r="BA16" i="14" s="1"/>
  <c r="BB16" i="14"/>
  <c r="AK16" i="14"/>
  <c r="AF16" i="14"/>
  <c r="AF14" i="14" s="1"/>
  <c r="AC16" i="14"/>
  <c r="BS15" i="14"/>
  <c r="BS14" i="14" s="1"/>
  <c r="BO15" i="14"/>
  <c r="BO14" i="14" s="1"/>
  <c r="BJ15" i="14"/>
  <c r="BB15" i="14"/>
  <c r="BA15" i="14"/>
  <c r="AX15" i="14" s="1"/>
  <c r="AX14" i="14" s="1"/>
  <c r="AS15" i="14"/>
  <c r="AP15" i="14" s="1"/>
  <c r="AP14" i="14" s="1"/>
  <c r="AK15" i="14"/>
  <c r="AH15" i="14" s="1"/>
  <c r="AH14" i="14" s="1"/>
  <c r="AC15" i="14"/>
  <c r="AB15" i="14"/>
  <c r="Y15" i="14" s="1"/>
  <c r="U15" i="14"/>
  <c r="U14" i="14" s="1"/>
  <c r="M15" i="14"/>
  <c r="M14" i="14" s="1"/>
  <c r="BF14" i="14"/>
  <c r="BD14" i="14"/>
  <c r="BC14" i="14"/>
  <c r="AZ14" i="14"/>
  <c r="AY14" i="14"/>
  <c r="AW14" i="14"/>
  <c r="AV14" i="14"/>
  <c r="AU14" i="14"/>
  <c r="AT14" i="14"/>
  <c r="AR14" i="14"/>
  <c r="AQ14" i="14"/>
  <c r="AO14" i="14"/>
  <c r="AN14" i="14"/>
  <c r="AM14" i="14"/>
  <c r="AL14" i="14"/>
  <c r="AJ14" i="14"/>
  <c r="AI14" i="14"/>
  <c r="AG14" i="14"/>
  <c r="AE14" i="14"/>
  <c r="AD14" i="14"/>
  <c r="AA14" i="14"/>
  <c r="Z14" i="14"/>
  <c r="X14" i="14"/>
  <c r="W14" i="14"/>
  <c r="V14" i="14"/>
  <c r="T14" i="14"/>
  <c r="T13" i="14" s="1"/>
  <c r="S14" i="14"/>
  <c r="S13" i="14" s="1"/>
  <c r="R14" i="14"/>
  <c r="R13" i="14" s="1"/>
  <c r="Q14" i="14"/>
  <c r="Q13" i="14" s="1"/>
  <c r="P14" i="14"/>
  <c r="O14" i="14"/>
  <c r="N14" i="14"/>
  <c r="AV35" i="14" l="1"/>
  <c r="BL18" i="14"/>
  <c r="BN18" i="14"/>
  <c r="BN17" i="14" s="1"/>
  <c r="BP18" i="14"/>
  <c r="BC100" i="14"/>
  <c r="BT18" i="14"/>
  <c r="BT17" i="14" s="1"/>
  <c r="BX18" i="14"/>
  <c r="BX17" i="14" s="1"/>
  <c r="BQ18" i="14"/>
  <c r="BQ17" i="14" s="1"/>
  <c r="BU18" i="14"/>
  <c r="BU17" i="14" s="1"/>
  <c r="BV18" i="14"/>
  <c r="BV17" i="14" s="1"/>
  <c r="BY18" i="14"/>
  <c r="BY17" i="14" s="1"/>
  <c r="AL84" i="14"/>
  <c r="AL75" i="14" s="1"/>
  <c r="AQ100" i="14"/>
  <c r="BH18" i="14"/>
  <c r="BH17" i="14" s="1"/>
  <c r="BO52" i="14"/>
  <c r="BW76" i="14"/>
  <c r="BW75" i="14" s="1"/>
  <c r="BD18" i="14"/>
  <c r="BS52" i="14"/>
  <c r="BW52" i="14"/>
  <c r="AC32" i="14"/>
  <c r="BW64" i="14"/>
  <c r="BW58" i="14" s="1"/>
  <c r="BZ58" i="14"/>
  <c r="BZ51" i="14" s="1"/>
  <c r="AD84" i="14"/>
  <c r="AC84" i="14" s="1"/>
  <c r="BP17" i="14"/>
  <c r="AN132" i="14"/>
  <c r="AC132" i="14"/>
  <c r="BR18" i="14"/>
  <c r="BR17" i="14" s="1"/>
  <c r="AU100" i="14"/>
  <c r="BL17" i="14"/>
  <c r="BI18" i="14"/>
  <c r="BI17" i="14" s="1"/>
  <c r="CA13" i="14"/>
  <c r="BK18" i="14"/>
  <c r="BK17" i="14" s="1"/>
  <c r="BZ18" i="14"/>
  <c r="BO84" i="14"/>
  <c r="BO75" i="14" s="1"/>
  <c r="R75" i="14"/>
  <c r="BS84" i="14"/>
  <c r="BS75" i="14" s="1"/>
  <c r="BO58" i="14"/>
  <c r="BG15" i="14"/>
  <c r="BG14" i="14" s="1"/>
  <c r="BJ14" i="14"/>
  <c r="BG77" i="14"/>
  <c r="BG76" i="14" s="1"/>
  <c r="BJ76" i="14"/>
  <c r="BG85" i="14"/>
  <c r="BG84" i="14" s="1"/>
  <c r="BJ84" i="14"/>
  <c r="BS58" i="14"/>
  <c r="BG53" i="14"/>
  <c r="BG52" i="14" s="1"/>
  <c r="BJ52" i="14"/>
  <c r="BJ58" i="14"/>
  <c r="AE51" i="14"/>
  <c r="BX100" i="14"/>
  <c r="BY100" i="14"/>
  <c r="AF84" i="14"/>
  <c r="AF75" i="14" s="1"/>
  <c r="BZ100" i="14"/>
  <c r="X75" i="14"/>
  <c r="O75" i="14"/>
  <c r="AQ51" i="14"/>
  <c r="S18" i="14"/>
  <c r="AG18" i="14"/>
  <c r="BQ100" i="14"/>
  <c r="BK100" i="14"/>
  <c r="BL100" i="14"/>
  <c r="AC149" i="14"/>
  <c r="AA75" i="14"/>
  <c r="AA51" i="14"/>
  <c r="BA31" i="14"/>
  <c r="AR100" i="14"/>
  <c r="Z100" i="14"/>
  <c r="AZ100" i="14"/>
  <c r="P18" i="14"/>
  <c r="AW75" i="14"/>
  <c r="BS35" i="14"/>
  <c r="AG100" i="14"/>
  <c r="Z51" i="14"/>
  <c r="BJ31" i="14"/>
  <c r="T18" i="14"/>
  <c r="Q51" i="14"/>
  <c r="BF51" i="14"/>
  <c r="AJ51" i="14"/>
  <c r="AY75" i="14"/>
  <c r="S75" i="14"/>
  <c r="AJ75" i="14"/>
  <c r="AE75" i="14"/>
  <c r="W75" i="14"/>
  <c r="AR18" i="14"/>
  <c r="BB52" i="14"/>
  <c r="BB84" i="14"/>
  <c r="BR101" i="14"/>
  <c r="AA18" i="14"/>
  <c r="BM35" i="14"/>
  <c r="BM18" i="14" s="1"/>
  <c r="BM17" i="14" s="1"/>
  <c r="Y72" i="14"/>
  <c r="BN100" i="14"/>
  <c r="AO51" i="14"/>
  <c r="AY100" i="14"/>
  <c r="BP100" i="14"/>
  <c r="AY18" i="14"/>
  <c r="W51" i="14"/>
  <c r="AK60" i="14"/>
  <c r="AH60" i="14" s="1"/>
  <c r="AH58" i="14" s="1"/>
  <c r="AK72" i="14"/>
  <c r="BB35" i="14"/>
  <c r="AR51" i="14"/>
  <c r="AQ75" i="14"/>
  <c r="BS100" i="14"/>
  <c r="BM132" i="14"/>
  <c r="BM100" i="14" s="1"/>
  <c r="BE35" i="14"/>
  <c r="BE18" i="14" s="1"/>
  <c r="M84" i="14"/>
  <c r="AL100" i="14"/>
  <c r="S51" i="14"/>
  <c r="N18" i="14"/>
  <c r="AL18" i="14"/>
  <c r="BB31" i="14"/>
  <c r="AN35" i="14"/>
  <c r="AW51" i="14"/>
  <c r="BC51" i="14"/>
  <c r="AM100" i="14"/>
  <c r="BR119" i="14"/>
  <c r="AY51" i="14"/>
  <c r="BD51" i="14"/>
  <c r="BH100" i="14"/>
  <c r="BW100" i="14"/>
  <c r="V18" i="14"/>
  <c r="AG75" i="14"/>
  <c r="AK85" i="14"/>
  <c r="AH85" i="14" s="1"/>
  <c r="AH84" i="14" s="1"/>
  <c r="BB149" i="14"/>
  <c r="AS14" i="14"/>
  <c r="AC19" i="14"/>
  <c r="BJ48" i="14"/>
  <c r="BG48" i="14" s="1"/>
  <c r="AI75" i="14"/>
  <c r="AA100" i="14"/>
  <c r="AU18" i="14"/>
  <c r="AT100" i="14"/>
  <c r="BE132" i="14"/>
  <c r="BE100" i="14" s="1"/>
  <c r="BE151" i="14" s="1"/>
  <c r="AB16" i="14"/>
  <c r="M31" i="14"/>
  <c r="AC35" i="14"/>
  <c r="U35" i="14"/>
  <c r="AD100" i="14"/>
  <c r="S119" i="14"/>
  <c r="AO100" i="14"/>
  <c r="AF101" i="14"/>
  <c r="AC14" i="14"/>
  <c r="Q18" i="14"/>
  <c r="BJ19" i="14"/>
  <c r="AG51" i="14"/>
  <c r="BA14" i="14"/>
  <c r="AQ18" i="14"/>
  <c r="BO19" i="14"/>
  <c r="AN31" i="14"/>
  <c r="AJ100" i="14"/>
  <c r="BB119" i="14"/>
  <c r="T51" i="14"/>
  <c r="AM75" i="14"/>
  <c r="AE100" i="14"/>
  <c r="Z18" i="14"/>
  <c r="AS72" i="14"/>
  <c r="AO75" i="14"/>
  <c r="Q75" i="14"/>
  <c r="BV100" i="14"/>
  <c r="AF132" i="14"/>
  <c r="AM18" i="14"/>
  <c r="BF18" i="14"/>
  <c r="X51" i="14"/>
  <c r="V51" i="14"/>
  <c r="AB35" i="14"/>
  <c r="BG101" i="14"/>
  <c r="AB52" i="14"/>
  <c r="Y55" i="14"/>
  <c r="Y52" i="14" s="1"/>
  <c r="AX35" i="14"/>
  <c r="AK52" i="14"/>
  <c r="AH56" i="14"/>
  <c r="AH52" i="14" s="1"/>
  <c r="AW18" i="14"/>
  <c r="BB14" i="14"/>
  <c r="AD31" i="14"/>
  <c r="AC31" i="14" s="1"/>
  <c r="W18" i="14"/>
  <c r="Y37" i="14"/>
  <c r="Y35" i="14" s="1"/>
  <c r="BG59" i="14"/>
  <c r="BG58" i="14" s="1"/>
  <c r="BO102" i="14"/>
  <c r="BO101" i="14" s="1"/>
  <c r="BU100" i="14"/>
  <c r="BR132" i="14"/>
  <c r="BE14" i="14"/>
  <c r="AK27" i="14"/>
  <c r="AH27" i="14" s="1"/>
  <c r="AH19" i="14" s="1"/>
  <c r="AO18" i="14"/>
  <c r="AB72" i="14"/>
  <c r="AZ75" i="14"/>
  <c r="U84" i="14"/>
  <c r="AC119" i="14"/>
  <c r="U31" i="14"/>
  <c r="O51" i="14"/>
  <c r="N51" i="14"/>
  <c r="AX58" i="14"/>
  <c r="AC72" i="14"/>
  <c r="BB72" i="14"/>
  <c r="BB76" i="14"/>
  <c r="BB98" i="14"/>
  <c r="AI100" i="14"/>
  <c r="AS119" i="14"/>
  <c r="BI100" i="14"/>
  <c r="AB132" i="14"/>
  <c r="Y76" i="14"/>
  <c r="AP19" i="14"/>
  <c r="AB22" i="14"/>
  <c r="Y22" i="14" s="1"/>
  <c r="Y19" i="14" s="1"/>
  <c r="BO31" i="14"/>
  <c r="AX33" i="14"/>
  <c r="AX31" i="14" s="1"/>
  <c r="AK37" i="14"/>
  <c r="AF52" i="14"/>
  <c r="AF51" i="14" s="1"/>
  <c r="M52" i="14"/>
  <c r="AH76" i="14"/>
  <c r="BD100" i="14"/>
  <c r="AB101" i="14"/>
  <c r="BA132" i="14"/>
  <c r="BG20" i="14"/>
  <c r="BG19" i="14" s="1"/>
  <c r="AK34" i="14"/>
  <c r="AH34" i="14" s="1"/>
  <c r="AT35" i="14"/>
  <c r="AT18" i="14" s="1"/>
  <c r="U52" i="14"/>
  <c r="BB58" i="14"/>
  <c r="BE51" i="14"/>
  <c r="BE75" i="14"/>
  <c r="AP76" i="14"/>
  <c r="BD75" i="14"/>
  <c r="AC98" i="14"/>
  <c r="BT100" i="14"/>
  <c r="AK101" i="14"/>
  <c r="BB132" i="14"/>
  <c r="AS132" i="14"/>
  <c r="AZ51" i="14"/>
  <c r="BF75" i="14"/>
  <c r="BF100" i="14"/>
  <c r="BJ119" i="14"/>
  <c r="AE18" i="14"/>
  <c r="M19" i="14"/>
  <c r="BA19" i="14"/>
  <c r="BG33" i="14"/>
  <c r="BG31" i="14" s="1"/>
  <c r="R18" i="14"/>
  <c r="AB60" i="14"/>
  <c r="AT58" i="14"/>
  <c r="AT51" i="14" s="1"/>
  <c r="AN84" i="14"/>
  <c r="AN75" i="14" s="1"/>
  <c r="AW100" i="14"/>
  <c r="AB119" i="14"/>
  <c r="AS76" i="14"/>
  <c r="AK119" i="14"/>
  <c r="BS19" i="14"/>
  <c r="M58" i="14"/>
  <c r="X31" i="14"/>
  <c r="X18" i="14" s="1"/>
  <c r="AL51" i="14"/>
  <c r="AN58" i="14"/>
  <c r="Z75" i="14"/>
  <c r="U19" i="14"/>
  <c r="U76" i="14"/>
  <c r="AK14" i="14"/>
  <c r="BS31" i="14"/>
  <c r="AI18" i="14"/>
  <c r="AZ18" i="14"/>
  <c r="M35" i="14"/>
  <c r="AM51" i="14"/>
  <c r="P75" i="14"/>
  <c r="AU75" i="14"/>
  <c r="M76" i="14"/>
  <c r="AR75" i="14"/>
  <c r="AV101" i="14"/>
  <c r="BG132" i="14"/>
  <c r="BO35" i="14"/>
  <c r="O18" i="14"/>
  <c r="BB19" i="14"/>
  <c r="BW19" i="14"/>
  <c r="BW18" i="14" s="1"/>
  <c r="AF18" i="14"/>
  <c r="AJ18" i="14"/>
  <c r="BG38" i="14"/>
  <c r="AS60" i="14"/>
  <c r="AP60" i="14" s="1"/>
  <c r="N75" i="14"/>
  <c r="AX84" i="14"/>
  <c r="V75" i="14"/>
  <c r="BO133" i="14"/>
  <c r="BO132" i="14" s="1"/>
  <c r="AX19" i="14"/>
  <c r="AP33" i="14"/>
  <c r="AP31" i="14" s="1"/>
  <c r="AS31" i="14"/>
  <c r="AS35" i="14"/>
  <c r="AP37" i="14"/>
  <c r="AP35" i="14" s="1"/>
  <c r="AS19" i="14"/>
  <c r="AB33" i="14"/>
  <c r="P58" i="14"/>
  <c r="P51" i="14" s="1"/>
  <c r="AD58" i="14"/>
  <c r="AC58" i="14" s="1"/>
  <c r="AS95" i="14"/>
  <c r="AP95" i="14" s="1"/>
  <c r="AV84" i="14"/>
  <c r="AV75" i="14" s="1"/>
  <c r="AX119" i="14"/>
  <c r="Y132" i="14"/>
  <c r="AV19" i="14"/>
  <c r="AK76" i="14"/>
  <c r="AB76" i="14"/>
  <c r="AC52" i="14"/>
  <c r="AS66" i="14"/>
  <c r="AP66" i="14" s="1"/>
  <c r="AV58" i="14"/>
  <c r="BA35" i="14"/>
  <c r="AS85" i="14"/>
  <c r="AT84" i="14"/>
  <c r="AT75" i="14" s="1"/>
  <c r="R51" i="14"/>
  <c r="AH101" i="14"/>
  <c r="AU51" i="14"/>
  <c r="BA84" i="14"/>
  <c r="AX132" i="14"/>
  <c r="BC18" i="14"/>
  <c r="AV31" i="14"/>
  <c r="AI51" i="14"/>
  <c r="U58" i="14"/>
  <c r="BA58" i="14"/>
  <c r="BC75" i="14"/>
  <c r="AX101" i="14"/>
  <c r="AH32" i="14"/>
  <c r="AC76" i="14"/>
  <c r="BA76" i="14"/>
  <c r="AH119" i="14"/>
  <c r="AS55" i="14"/>
  <c r="AP55" i="14" s="1"/>
  <c r="AP52" i="14" s="1"/>
  <c r="AV52" i="14"/>
  <c r="AX76" i="14"/>
  <c r="AP119" i="14"/>
  <c r="AX55" i="14"/>
  <c r="AX52" i="14" s="1"/>
  <c r="BA52" i="14"/>
  <c r="AN52" i="14"/>
  <c r="T75" i="14"/>
  <c r="Y101" i="14"/>
  <c r="AB85" i="14"/>
  <c r="BJ101" i="14"/>
  <c r="BA119" i="14"/>
  <c r="AV132" i="14"/>
  <c r="AN101" i="14"/>
  <c r="AP103" i="14"/>
  <c r="AK137" i="14"/>
  <c r="AH137" i="14" s="1"/>
  <c r="AH132" i="14" s="1"/>
  <c r="AB98" i="14"/>
  <c r="AC101" i="14"/>
  <c r="BA101" i="14"/>
  <c r="Y120" i="14"/>
  <c r="Y119" i="14" s="1"/>
  <c r="BO120" i="14"/>
  <c r="BO119" i="14" s="1"/>
  <c r="BJ132" i="14"/>
  <c r="BB101" i="14"/>
  <c r="AS107" i="14"/>
  <c r="AP107" i="14" s="1"/>
  <c r="AP134" i="14"/>
  <c r="AP132" i="14" s="1"/>
  <c r="BG122" i="14"/>
  <c r="BG119" i="14" s="1"/>
  <c r="BP13" i="14" l="1"/>
  <c r="AN100" i="14"/>
  <c r="BB100" i="14"/>
  <c r="AE17" i="14"/>
  <c r="BW51" i="14"/>
  <c r="AD75" i="14"/>
  <c r="BV13" i="14"/>
  <c r="BO51" i="14"/>
  <c r="BS51" i="14"/>
  <c r="BH13" i="14"/>
  <c r="BZ17" i="14"/>
  <c r="BZ13" i="14" s="1"/>
  <c r="BR100" i="14"/>
  <c r="BR13" i="14" s="1"/>
  <c r="BM13" i="14"/>
  <c r="M75" i="14"/>
  <c r="BQ13" i="14"/>
  <c r="BX13" i="14"/>
  <c r="BL13" i="14"/>
  <c r="BU13" i="14"/>
  <c r="BN13" i="14"/>
  <c r="BI13" i="14"/>
  <c r="BW17" i="14"/>
  <c r="BW13" i="14" s="1"/>
  <c r="BY13" i="14"/>
  <c r="BO18" i="14"/>
  <c r="BS18" i="14"/>
  <c r="BK13" i="14"/>
  <c r="BT13" i="14"/>
  <c r="AC100" i="14"/>
  <c r="BB51" i="14"/>
  <c r="BJ75" i="14"/>
  <c r="BG75" i="14"/>
  <c r="BJ51" i="14"/>
  <c r="BG51" i="14"/>
  <c r="AR17" i="14"/>
  <c r="AR13" i="14" s="1"/>
  <c r="AP58" i="14"/>
  <c r="AP51" i="14" s="1"/>
  <c r="U75" i="14"/>
  <c r="BD17" i="14"/>
  <c r="BD13" i="14" s="1"/>
  <c r="AG17" i="14"/>
  <c r="AG13" i="14" s="1"/>
  <c r="AK58" i="14"/>
  <c r="AK51" i="14" s="1"/>
  <c r="AJ17" i="14"/>
  <c r="AJ13" i="14" s="1"/>
  <c r="AN51" i="14"/>
  <c r="AA17" i="14"/>
  <c r="AA13" i="14" s="1"/>
  <c r="BG35" i="14"/>
  <c r="BG18" i="14" s="1"/>
  <c r="X17" i="14"/>
  <c r="X13" i="14" s="1"/>
  <c r="BG100" i="14"/>
  <c r="AX75" i="14"/>
  <c r="AP101" i="14"/>
  <c r="AP100" i="14" s="1"/>
  <c r="AV100" i="14"/>
  <c r="AE13" i="14"/>
  <c r="AI17" i="14"/>
  <c r="AI13" i="14" s="1"/>
  <c r="U18" i="14"/>
  <c r="AM17" i="14"/>
  <c r="AM13" i="14" s="1"/>
  <c r="AL17" i="14"/>
  <c r="AL13" i="14" s="1"/>
  <c r="AH75" i="14"/>
  <c r="AH31" i="14"/>
  <c r="N17" i="14"/>
  <c r="N13" i="14" s="1"/>
  <c r="AN18" i="14"/>
  <c r="AU17" i="14"/>
  <c r="AU13" i="14" s="1"/>
  <c r="AK31" i="14"/>
  <c r="AD18" i="14"/>
  <c r="AC18" i="14" s="1"/>
  <c r="AS58" i="14"/>
  <c r="AW17" i="14"/>
  <c r="AW13" i="14" s="1"/>
  <c r="AX51" i="14"/>
  <c r="AY17" i="14"/>
  <c r="AY13" i="14" s="1"/>
  <c r="BA75" i="14"/>
  <c r="AQ17" i="14"/>
  <c r="AQ13" i="14" s="1"/>
  <c r="AK84" i="14"/>
  <c r="AK75" i="14" s="1"/>
  <c r="W17" i="14"/>
  <c r="W13" i="14" s="1"/>
  <c r="AO17" i="14"/>
  <c r="AO13" i="14" s="1"/>
  <c r="BJ100" i="14"/>
  <c r="AK19" i="14"/>
  <c r="AV18" i="14"/>
  <c r="BE17" i="14"/>
  <c r="U51" i="14"/>
  <c r="BA51" i="14"/>
  <c r="AP18" i="14"/>
  <c r="BJ35" i="14"/>
  <c r="BJ18" i="14" s="1"/>
  <c r="AB14" i="14"/>
  <c r="Y16" i="14"/>
  <c r="Y14" i="14" s="1"/>
  <c r="M18" i="14"/>
  <c r="AT17" i="14"/>
  <c r="AT13" i="14" s="1"/>
  <c r="Z17" i="14"/>
  <c r="Z13" i="14" s="1"/>
  <c r="AB100" i="14"/>
  <c r="V17" i="14"/>
  <c r="V13" i="14" s="1"/>
  <c r="BF17" i="14"/>
  <c r="BF13" i="14" s="1"/>
  <c r="AF100" i="14"/>
  <c r="AF151" i="14" s="1"/>
  <c r="AB151" i="14" s="1"/>
  <c r="Y151" i="14" s="1"/>
  <c r="Y149" i="14" s="1"/>
  <c r="P17" i="14"/>
  <c r="P13" i="14" s="1"/>
  <c r="AB19" i="14"/>
  <c r="BO100" i="14"/>
  <c r="AX18" i="14"/>
  <c r="AB58" i="14"/>
  <c r="AB51" i="14" s="1"/>
  <c r="Y60" i="14"/>
  <c r="Y58" i="14" s="1"/>
  <c r="Y51" i="14" s="1"/>
  <c r="AC75" i="14"/>
  <c r="M51" i="14"/>
  <c r="AX100" i="14"/>
  <c r="AF17" i="14"/>
  <c r="AK35" i="14"/>
  <c r="AH37" i="14"/>
  <c r="AH35" i="14" s="1"/>
  <c r="BA18" i="14"/>
  <c r="O17" i="14"/>
  <c r="O13" i="14" s="1"/>
  <c r="AS52" i="14"/>
  <c r="AZ17" i="14"/>
  <c r="AZ13" i="14" s="1"/>
  <c r="BB75" i="14"/>
  <c r="Y85" i="14"/>
  <c r="Y84" i="14" s="1"/>
  <c r="Y75" i="14" s="1"/>
  <c r="AB84" i="14"/>
  <c r="AB75" i="14" s="1"/>
  <c r="Y100" i="14"/>
  <c r="BA100" i="14"/>
  <c r="AS101" i="14"/>
  <c r="AS100" i="14" s="1"/>
  <c r="AD51" i="14"/>
  <c r="AC51" i="14" s="1"/>
  <c r="BB18" i="14"/>
  <c r="BC17" i="14"/>
  <c r="BC13" i="14" s="1"/>
  <c r="AV51" i="14"/>
  <c r="AH100" i="14"/>
  <c r="AH51" i="14"/>
  <c r="BA151" i="14"/>
  <c r="BA149" i="14" s="1"/>
  <c r="BE149" i="14"/>
  <c r="AK132" i="14"/>
  <c r="AK100" i="14" s="1"/>
  <c r="AS84" i="14"/>
  <c r="AS75" i="14" s="1"/>
  <c r="AP85" i="14"/>
  <c r="AP84" i="14" s="1"/>
  <c r="AP75" i="14" s="1"/>
  <c r="Y33" i="14"/>
  <c r="Y31" i="14" s="1"/>
  <c r="Y18" i="14" s="1"/>
  <c r="AB31" i="14"/>
  <c r="AS18" i="14"/>
  <c r="BO17" i="14" l="1"/>
  <c r="BS17" i="14"/>
  <c r="BS13" i="14" s="1"/>
  <c r="BO13" i="14"/>
  <c r="BJ17" i="14"/>
  <c r="BJ13" i="14" s="1"/>
  <c r="BG17" i="14"/>
  <c r="BG13" i="14" s="1"/>
  <c r="AV17" i="14"/>
  <c r="AV13" i="14" s="1"/>
  <c r="AX17" i="14"/>
  <c r="AX13" i="14" s="1"/>
  <c r="AH18" i="14"/>
  <c r="AH17" i="14" s="1"/>
  <c r="AH13" i="14" s="1"/>
  <c r="BA17" i="14"/>
  <c r="BA13" i="14" s="1"/>
  <c r="AB18" i="14"/>
  <c r="AB17" i="14" s="1"/>
  <c r="U17" i="14"/>
  <c r="U13" i="14" s="1"/>
  <c r="AN17" i="14"/>
  <c r="AN13" i="14" s="1"/>
  <c r="BE13" i="14"/>
  <c r="AK18" i="14"/>
  <c r="AK17" i="14" s="1"/>
  <c r="AK13" i="14" s="1"/>
  <c r="M17" i="14"/>
  <c r="M13" i="14" s="1"/>
  <c r="AS51" i="14"/>
  <c r="AS17" i="14" s="1"/>
  <c r="AS13" i="14" s="1"/>
  <c r="AF149" i="14"/>
  <c r="AF13" i="14" s="1"/>
  <c r="AP17" i="14"/>
  <c r="AP13" i="14" s="1"/>
  <c r="AB149" i="14"/>
  <c r="Y17" i="14"/>
  <c r="Y13" i="14" s="1"/>
  <c r="BB17" i="14"/>
  <c r="BB13" i="14" s="1"/>
  <c r="AD17" i="14"/>
  <c r="AD13" i="14" s="1"/>
  <c r="AB13" i="14" l="1"/>
  <c r="AC17" i="14"/>
  <c r="AC13" i="14" s="1"/>
  <c r="AW81" i="13" l="1"/>
  <c r="AT81" i="13"/>
  <c r="AI81" i="13"/>
  <c r="AF81" i="13"/>
  <c r="AB81" i="13"/>
  <c r="Y81" i="13"/>
  <c r="AW80" i="13"/>
  <c r="AT80" i="13"/>
  <c r="AI80" i="13"/>
  <c r="AF80" i="13"/>
  <c r="AB80" i="13"/>
  <c r="Y80" i="13"/>
  <c r="AW79" i="13"/>
  <c r="AT79" i="13"/>
  <c r="AI79" i="13"/>
  <c r="AF79" i="13"/>
  <c r="AB79" i="13"/>
  <c r="Y79" i="13"/>
  <c r="BX78" i="13"/>
  <c r="BX77" i="13" s="1"/>
  <c r="BX74" i="13" s="1"/>
  <c r="BX73" i="13" s="1"/>
  <c r="BV78" i="13"/>
  <c r="BV77" i="13" s="1"/>
  <c r="BV74" i="13" s="1"/>
  <c r="BV73" i="13" s="1"/>
  <c r="BU78" i="13"/>
  <c r="BU77" i="13" s="1"/>
  <c r="BU74" i="13" s="1"/>
  <c r="BU73" i="13" s="1"/>
  <c r="BT78" i="13"/>
  <c r="BT77" i="13" s="1"/>
  <c r="BT74" i="13" s="1"/>
  <c r="BT73" i="13" s="1"/>
  <c r="BS78" i="13"/>
  <c r="BS77" i="13" s="1"/>
  <c r="BS74" i="13" s="1"/>
  <c r="BS73" i="13" s="1"/>
  <c r="BR78" i="13"/>
  <c r="BR77" i="13" s="1"/>
  <c r="BR74" i="13" s="1"/>
  <c r="BR73" i="13" s="1"/>
  <c r="BQ78" i="13"/>
  <c r="BQ77" i="13" s="1"/>
  <c r="BQ74" i="13" s="1"/>
  <c r="BQ73" i="13" s="1"/>
  <c r="BP78" i="13"/>
  <c r="BP77" i="13" s="1"/>
  <c r="BP74" i="13" s="1"/>
  <c r="BP73" i="13" s="1"/>
  <c r="BO78" i="13"/>
  <c r="BO77" i="13" s="1"/>
  <c r="BO74" i="13" s="1"/>
  <c r="BO73" i="13" s="1"/>
  <c r="BN78" i="13"/>
  <c r="BN77" i="13" s="1"/>
  <c r="BN74" i="13" s="1"/>
  <c r="BN73" i="13" s="1"/>
  <c r="BM78" i="13"/>
  <c r="BM77" i="13" s="1"/>
  <c r="BM74" i="13" s="1"/>
  <c r="BM73" i="13" s="1"/>
  <c r="BL78" i="13"/>
  <c r="BL77" i="13" s="1"/>
  <c r="BL74" i="13" s="1"/>
  <c r="BL73" i="13" s="1"/>
  <c r="BK78" i="13"/>
  <c r="BK77" i="13" s="1"/>
  <c r="BK74" i="13" s="1"/>
  <c r="BK73" i="13" s="1"/>
  <c r="BJ78" i="13"/>
  <c r="BJ77" i="13" s="1"/>
  <c r="BJ74" i="13" s="1"/>
  <c r="BJ73" i="13" s="1"/>
  <c r="BI78" i="13"/>
  <c r="BI77" i="13" s="1"/>
  <c r="BI74" i="13" s="1"/>
  <c r="BI73" i="13" s="1"/>
  <c r="BH78" i="13"/>
  <c r="BH77" i="13" s="1"/>
  <c r="BH74" i="13" s="1"/>
  <c r="BH73" i="13" s="1"/>
  <c r="BG78" i="13"/>
  <c r="BG77" i="13" s="1"/>
  <c r="BG74" i="13" s="1"/>
  <c r="BG73" i="13" s="1"/>
  <c r="BF78" i="13"/>
  <c r="BF77" i="13" s="1"/>
  <c r="BF74" i="13" s="1"/>
  <c r="BF73" i="13" s="1"/>
  <c r="BE78" i="13"/>
  <c r="BE77" i="13" s="1"/>
  <c r="BE74" i="13" s="1"/>
  <c r="BE73" i="13" s="1"/>
  <c r="BD78" i="13"/>
  <c r="BD77" i="13" s="1"/>
  <c r="BD74" i="13" s="1"/>
  <c r="BD73" i="13" s="1"/>
  <c r="BC78" i="13"/>
  <c r="BC77" i="13" s="1"/>
  <c r="BC74" i="13" s="1"/>
  <c r="BC73" i="13" s="1"/>
  <c r="BB78" i="13"/>
  <c r="BB77" i="13" s="1"/>
  <c r="BB74" i="13" s="1"/>
  <c r="BB73" i="13" s="1"/>
  <c r="BA78" i="13"/>
  <c r="BA77" i="13" s="1"/>
  <c r="BA74" i="13" s="1"/>
  <c r="BA73" i="13" s="1"/>
  <c r="AZ78" i="13"/>
  <c r="AZ77" i="13" s="1"/>
  <c r="AY78" i="13"/>
  <c r="AY77" i="13" s="1"/>
  <c r="AX78" i="13"/>
  <c r="AX77" i="13" s="1"/>
  <c r="AV78" i="13"/>
  <c r="AV77" i="13" s="1"/>
  <c r="AU78" i="13"/>
  <c r="AU77" i="13" s="1"/>
  <c r="AS78" i="13"/>
  <c r="AS77" i="13" s="1"/>
  <c r="AR78" i="13"/>
  <c r="AR77" i="13" s="1"/>
  <c r="AQ78" i="13"/>
  <c r="AQ77" i="13" s="1"/>
  <c r="AP78" i="13"/>
  <c r="AP77" i="13" s="1"/>
  <c r="AO78" i="13"/>
  <c r="AO77" i="13" s="1"/>
  <c r="AN78" i="13"/>
  <c r="AN77" i="13" s="1"/>
  <c r="AM78" i="13"/>
  <c r="AM77" i="13" s="1"/>
  <c r="AL78" i="13"/>
  <c r="AL77" i="13" s="1"/>
  <c r="AK78" i="13"/>
  <c r="AK77" i="13" s="1"/>
  <c r="AJ78" i="13"/>
  <c r="AJ77" i="13" s="1"/>
  <c r="AH78" i="13"/>
  <c r="AH77" i="13" s="1"/>
  <c r="AG78" i="13"/>
  <c r="AG77" i="13" s="1"/>
  <c r="AE78" i="13"/>
  <c r="AE77" i="13" s="1"/>
  <c r="AD78" i="13"/>
  <c r="AD77" i="13" s="1"/>
  <c r="AC78" i="13"/>
  <c r="AC77" i="13" s="1"/>
  <c r="AA78" i="13"/>
  <c r="AA77" i="13" s="1"/>
  <c r="Z78" i="13"/>
  <c r="Z77" i="13" s="1"/>
  <c r="X78" i="13"/>
  <c r="X77" i="13" s="1"/>
  <c r="W78" i="13"/>
  <c r="W77" i="13" s="1"/>
  <c r="V78" i="13"/>
  <c r="V77" i="13" s="1"/>
  <c r="U78" i="13"/>
  <c r="U77" i="13" s="1"/>
  <c r="T78" i="13"/>
  <c r="T77" i="13" s="1"/>
  <c r="S78" i="13"/>
  <c r="S77" i="13" s="1"/>
  <c r="R78" i="13"/>
  <c r="R77" i="13" s="1"/>
  <c r="Q78" i="13"/>
  <c r="Q77" i="13" s="1"/>
  <c r="P78" i="13"/>
  <c r="P77" i="13" s="1"/>
  <c r="O78" i="13"/>
  <c r="O77" i="13" s="1"/>
  <c r="N78" i="13"/>
  <c r="N77" i="13" s="1"/>
  <c r="M78" i="13"/>
  <c r="M77" i="13" s="1"/>
  <c r="AW76" i="13"/>
  <c r="AT76" i="13"/>
  <c r="AI76" i="13"/>
  <c r="AF76" i="13"/>
  <c r="AB76" i="13"/>
  <c r="Y76" i="13"/>
  <c r="AW75" i="13"/>
  <c r="AT75" i="13"/>
  <c r="AI75" i="13"/>
  <c r="AF75" i="13"/>
  <c r="AB75" i="13"/>
  <c r="Y75" i="13"/>
  <c r="AZ74" i="13"/>
  <c r="AZ73" i="13" s="1"/>
  <c r="AY74" i="13"/>
  <c r="AY73" i="13" s="1"/>
  <c r="AX74" i="13"/>
  <c r="AX73" i="13" s="1"/>
  <c r="AV74" i="13"/>
  <c r="AV73" i="13" s="1"/>
  <c r="AU74" i="13"/>
  <c r="AU73" i="13" s="1"/>
  <c r="AS74" i="13"/>
  <c r="AS73" i="13" s="1"/>
  <c r="AR74" i="13"/>
  <c r="AR73" i="13" s="1"/>
  <c r="AQ74" i="13"/>
  <c r="AQ73" i="13" s="1"/>
  <c r="AP74" i="13"/>
  <c r="AP73" i="13" s="1"/>
  <c r="AO74" i="13"/>
  <c r="AO73" i="13" s="1"/>
  <c r="AN74" i="13"/>
  <c r="AN73" i="13" s="1"/>
  <c r="AM74" i="13"/>
  <c r="AM73" i="13" s="1"/>
  <c r="AL74" i="13"/>
  <c r="AL73" i="13" s="1"/>
  <c r="AK74" i="13"/>
  <c r="AK73" i="13" s="1"/>
  <c r="AJ74" i="13"/>
  <c r="AJ73" i="13" s="1"/>
  <c r="AH74" i="13"/>
  <c r="AH73" i="13" s="1"/>
  <c r="AG74" i="13"/>
  <c r="AG73" i="13" s="1"/>
  <c r="AE74" i="13"/>
  <c r="AE73" i="13" s="1"/>
  <c r="AD74" i="13"/>
  <c r="AD73" i="13" s="1"/>
  <c r="AC74" i="13"/>
  <c r="AC73" i="13" s="1"/>
  <c r="AA74" i="13"/>
  <c r="AA73" i="13" s="1"/>
  <c r="Z74" i="13"/>
  <c r="Z73" i="13" s="1"/>
  <c r="X74" i="13"/>
  <c r="X73" i="13" s="1"/>
  <c r="W74" i="13"/>
  <c r="W73" i="13" s="1"/>
  <c r="V74" i="13"/>
  <c r="V73" i="13" s="1"/>
  <c r="U74" i="13"/>
  <c r="U73" i="13" s="1"/>
  <c r="T74" i="13"/>
  <c r="T73" i="13" s="1"/>
  <c r="S74" i="13"/>
  <c r="S73" i="13" s="1"/>
  <c r="R74" i="13"/>
  <c r="R73" i="13" s="1"/>
  <c r="Q74" i="13"/>
  <c r="Q73" i="13" s="1"/>
  <c r="P74" i="13"/>
  <c r="P73" i="13" s="1"/>
  <c r="O74" i="13"/>
  <c r="O73" i="13" s="1"/>
  <c r="N74" i="13"/>
  <c r="N73" i="13" s="1"/>
  <c r="M74" i="13"/>
  <c r="M73" i="13" s="1"/>
  <c r="AW72" i="13"/>
  <c r="AT72" i="13"/>
  <c r="AI72" i="13"/>
  <c r="AF72" i="13"/>
  <c r="AB72" i="13"/>
  <c r="Y72" i="13"/>
  <c r="AW71" i="13"/>
  <c r="AT71" i="13"/>
  <c r="AI71" i="13"/>
  <c r="AF71" i="13"/>
  <c r="AB71" i="13"/>
  <c r="Y71" i="13"/>
  <c r="AW70" i="13"/>
  <c r="AT70" i="13"/>
  <c r="AI70" i="13"/>
  <c r="AF70" i="13"/>
  <c r="AB70" i="13"/>
  <c r="Y70" i="13"/>
  <c r="AW69" i="13"/>
  <c r="AT69" i="13"/>
  <c r="AI69" i="13"/>
  <c r="AF69" i="13"/>
  <c r="AB69" i="13"/>
  <c r="Y69" i="13"/>
  <c r="AW68" i="13"/>
  <c r="AT68" i="13"/>
  <c r="AI68" i="13"/>
  <c r="AF68" i="13"/>
  <c r="AB68" i="13"/>
  <c r="Y68" i="13"/>
  <c r="AW67" i="13"/>
  <c r="AT67" i="13"/>
  <c r="AI67" i="13"/>
  <c r="AF67" i="13"/>
  <c r="AB67" i="13"/>
  <c r="Y67" i="13"/>
  <c r="AW66" i="13"/>
  <c r="AT66" i="13"/>
  <c r="AI66" i="13"/>
  <c r="AF66" i="13"/>
  <c r="AB66" i="13"/>
  <c r="Y66" i="13"/>
  <c r="AW65" i="13"/>
  <c r="AT65" i="13"/>
  <c r="AI65" i="13"/>
  <c r="AF65" i="13"/>
  <c r="AB65" i="13"/>
  <c r="Y65" i="13"/>
  <c r="BX64" i="13"/>
  <c r="BX63" i="13" s="1"/>
  <c r="BV64" i="13"/>
  <c r="BV63" i="13" s="1"/>
  <c r="BV17" i="13" s="1"/>
  <c r="BV14" i="13" s="1"/>
  <c r="BU64" i="13"/>
  <c r="BU63" i="13" s="1"/>
  <c r="BU17" i="13" s="1"/>
  <c r="BU14" i="13" s="1"/>
  <c r="BT64" i="13"/>
  <c r="BT63" i="13" s="1"/>
  <c r="BS64" i="13"/>
  <c r="BS63" i="13" s="1"/>
  <c r="BS17" i="13" s="1"/>
  <c r="BS14" i="13" s="1"/>
  <c r="BR64" i="13"/>
  <c r="BR63" i="13" s="1"/>
  <c r="BQ64" i="13"/>
  <c r="BQ63" i="13" s="1"/>
  <c r="BP64" i="13"/>
  <c r="BP63" i="13" s="1"/>
  <c r="BP17" i="13" s="1"/>
  <c r="BP14" i="13" s="1"/>
  <c r="BO64" i="13"/>
  <c r="BO63" i="13" s="1"/>
  <c r="BO17" i="13" s="1"/>
  <c r="BO14" i="13" s="1"/>
  <c r="BN64" i="13"/>
  <c r="BN63" i="13" s="1"/>
  <c r="BN17" i="13" s="1"/>
  <c r="BN14" i="13" s="1"/>
  <c r="BM64" i="13"/>
  <c r="BM63" i="13" s="1"/>
  <c r="BM17" i="13" s="1"/>
  <c r="BM14" i="13" s="1"/>
  <c r="BL64" i="13"/>
  <c r="BL63" i="13" s="1"/>
  <c r="BK64" i="13"/>
  <c r="BK63" i="13" s="1"/>
  <c r="BJ64" i="13"/>
  <c r="BJ63" i="13" s="1"/>
  <c r="BI64" i="13"/>
  <c r="BI63" i="13" s="1"/>
  <c r="BH64" i="13"/>
  <c r="BH63" i="13" s="1"/>
  <c r="BG64" i="13"/>
  <c r="BG63" i="13" s="1"/>
  <c r="BF64" i="13"/>
  <c r="BF63" i="13" s="1"/>
  <c r="BE64" i="13"/>
  <c r="BE63" i="13" s="1"/>
  <c r="BD64" i="13"/>
  <c r="BD63" i="13" s="1"/>
  <c r="BD17" i="13" s="1"/>
  <c r="BD14" i="13" s="1"/>
  <c r="BC64" i="13"/>
  <c r="BC63" i="13" s="1"/>
  <c r="BC17" i="13" s="1"/>
  <c r="BC14" i="13" s="1"/>
  <c r="BB64" i="13"/>
  <c r="BB63" i="13" s="1"/>
  <c r="BA64" i="13"/>
  <c r="BA63" i="13" s="1"/>
  <c r="BA17" i="13" s="1"/>
  <c r="BA14" i="13" s="1"/>
  <c r="AZ64" i="13"/>
  <c r="AZ63" i="13" s="1"/>
  <c r="AY64" i="13"/>
  <c r="AY63" i="13" s="1"/>
  <c r="AX64" i="13"/>
  <c r="AX63" i="13" s="1"/>
  <c r="AV64" i="13"/>
  <c r="AV63" i="13" s="1"/>
  <c r="AU64" i="13"/>
  <c r="AU63" i="13" s="1"/>
  <c r="AS64" i="13"/>
  <c r="AS63" i="13" s="1"/>
  <c r="AR64" i="13"/>
  <c r="AR63" i="13" s="1"/>
  <c r="AQ64" i="13"/>
  <c r="AQ63" i="13" s="1"/>
  <c r="AP64" i="13"/>
  <c r="AP63" i="13" s="1"/>
  <c r="AO64" i="13"/>
  <c r="AO63" i="13" s="1"/>
  <c r="AN64" i="13"/>
  <c r="AN63" i="13" s="1"/>
  <c r="AM64" i="13"/>
  <c r="AM63" i="13" s="1"/>
  <c r="AL64" i="13"/>
  <c r="AL63" i="13" s="1"/>
  <c r="AK64" i="13"/>
  <c r="AK63" i="13" s="1"/>
  <c r="AJ64" i="13"/>
  <c r="AJ63" i="13" s="1"/>
  <c r="AH64" i="13"/>
  <c r="AH63" i="13" s="1"/>
  <c r="AG64" i="13"/>
  <c r="AG63" i="13" s="1"/>
  <c r="AE64" i="13"/>
  <c r="AE63" i="13" s="1"/>
  <c r="AD64" i="13"/>
  <c r="AD63" i="13" s="1"/>
  <c r="AC64" i="13"/>
  <c r="AC63" i="13" s="1"/>
  <c r="AA64" i="13"/>
  <c r="AA63" i="13" s="1"/>
  <c r="Z64" i="13"/>
  <c r="Z63" i="13" s="1"/>
  <c r="X64" i="13"/>
  <c r="X63" i="13" s="1"/>
  <c r="W64" i="13"/>
  <c r="W63" i="13" s="1"/>
  <c r="V64" i="13"/>
  <c r="V63" i="13" s="1"/>
  <c r="U64" i="13"/>
  <c r="U63" i="13" s="1"/>
  <c r="T64" i="13"/>
  <c r="T63" i="13" s="1"/>
  <c r="S64" i="13"/>
  <c r="S63" i="13" s="1"/>
  <c r="R64" i="13"/>
  <c r="R63" i="13" s="1"/>
  <c r="Q64" i="13"/>
  <c r="Q63" i="13" s="1"/>
  <c r="P64" i="13"/>
  <c r="P63" i="13" s="1"/>
  <c r="O64" i="13"/>
  <c r="O63" i="13" s="1"/>
  <c r="N64" i="13"/>
  <c r="N63" i="13" s="1"/>
  <c r="M64" i="13"/>
  <c r="M63" i="13" s="1"/>
  <c r="AW62" i="13"/>
  <c r="AT62" i="13"/>
  <c r="AI62" i="13"/>
  <c r="AF62" i="13"/>
  <c r="AB62" i="13"/>
  <c r="Y62" i="13"/>
  <c r="AW61" i="13"/>
  <c r="AT61" i="13"/>
  <c r="AI61" i="13"/>
  <c r="AF61" i="13"/>
  <c r="AB61" i="13"/>
  <c r="Y61" i="13"/>
  <c r="AW60" i="13"/>
  <c r="AT60" i="13"/>
  <c r="AI60" i="13"/>
  <c r="AF60" i="13"/>
  <c r="AB60" i="13"/>
  <c r="Y60" i="13"/>
  <c r="AW59" i="13"/>
  <c r="AT59" i="13"/>
  <c r="AI59" i="13"/>
  <c r="AF59" i="13"/>
  <c r="AB59" i="13"/>
  <c r="Y59" i="13"/>
  <c r="AW58" i="13"/>
  <c r="AT58" i="13"/>
  <c r="AI58" i="13"/>
  <c r="AF58" i="13"/>
  <c r="AB58" i="13"/>
  <c r="Y58" i="13"/>
  <c r="AW57" i="13"/>
  <c r="AT57" i="13"/>
  <c r="AI57" i="13"/>
  <c r="AF57" i="13"/>
  <c r="AB57" i="13"/>
  <c r="Y57" i="13"/>
  <c r="AW56" i="13"/>
  <c r="AT56" i="13"/>
  <c r="AI56" i="13"/>
  <c r="AF56" i="13"/>
  <c r="AB56" i="13"/>
  <c r="Y56" i="13"/>
  <c r="AW55" i="13"/>
  <c r="AT55" i="13"/>
  <c r="AI55" i="13"/>
  <c r="AF55" i="13"/>
  <c r="AB55" i="13"/>
  <c r="Y55" i="13"/>
  <c r="AW54" i="13"/>
  <c r="AT54" i="13"/>
  <c r="AI54" i="13"/>
  <c r="AF54" i="13"/>
  <c r="AB54" i="13"/>
  <c r="Y54" i="13"/>
  <c r="AW53" i="13"/>
  <c r="AT53" i="13"/>
  <c r="AI53" i="13"/>
  <c r="AF53" i="13"/>
  <c r="AB53" i="13"/>
  <c r="Y53" i="13"/>
  <c r="AW52" i="13"/>
  <c r="AT52" i="13"/>
  <c r="AI52" i="13"/>
  <c r="AF52" i="13"/>
  <c r="AB52" i="13"/>
  <c r="Y52" i="13"/>
  <c r="AW51" i="13"/>
  <c r="AT51" i="13"/>
  <c r="AI51" i="13"/>
  <c r="AF51" i="13"/>
  <c r="AB51" i="13"/>
  <c r="Y51" i="13"/>
  <c r="AW50" i="13"/>
  <c r="AT50" i="13"/>
  <c r="AI50" i="13"/>
  <c r="AF50" i="13"/>
  <c r="AB50" i="13"/>
  <c r="Y50" i="13"/>
  <c r="AW49" i="13"/>
  <c r="AT49" i="13"/>
  <c r="AI49" i="13"/>
  <c r="AF49" i="13"/>
  <c r="AB49" i="13"/>
  <c r="Y49" i="13"/>
  <c r="AW48" i="13"/>
  <c r="AT48" i="13"/>
  <c r="AI48" i="13"/>
  <c r="AF48" i="13"/>
  <c r="AB48" i="13"/>
  <c r="Y48" i="13"/>
  <c r="AW47" i="13"/>
  <c r="AT47" i="13"/>
  <c r="AI47" i="13"/>
  <c r="AF47" i="13"/>
  <c r="AB47" i="13"/>
  <c r="Y47" i="13"/>
  <c r="BX46" i="13"/>
  <c r="BX45" i="13" s="1"/>
  <c r="AZ46" i="13"/>
  <c r="AZ45" i="13" s="1"/>
  <c r="AY46" i="13"/>
  <c r="AY45" i="13" s="1"/>
  <c r="AX46" i="13"/>
  <c r="AX45" i="13" s="1"/>
  <c r="AV46" i="13"/>
  <c r="AV45" i="13" s="1"/>
  <c r="AU46" i="13"/>
  <c r="AU45" i="13" s="1"/>
  <c r="AS46" i="13"/>
  <c r="AS45" i="13" s="1"/>
  <c r="AR46" i="13"/>
  <c r="AR45" i="13" s="1"/>
  <c r="AQ46" i="13"/>
  <c r="AQ45" i="13" s="1"/>
  <c r="AP46" i="13"/>
  <c r="AP45" i="13" s="1"/>
  <c r="AO46" i="13"/>
  <c r="AO45" i="13" s="1"/>
  <c r="AN46" i="13"/>
  <c r="AN45" i="13" s="1"/>
  <c r="AM46" i="13"/>
  <c r="AM45" i="13" s="1"/>
  <c r="AL46" i="13"/>
  <c r="AL45" i="13" s="1"/>
  <c r="AK46" i="13"/>
  <c r="AK45" i="13" s="1"/>
  <c r="AJ46" i="13"/>
  <c r="AJ45" i="13" s="1"/>
  <c r="AH46" i="13"/>
  <c r="AH45" i="13" s="1"/>
  <c r="AG46" i="13"/>
  <c r="AG45" i="13" s="1"/>
  <c r="AE46" i="13"/>
  <c r="AE45" i="13" s="1"/>
  <c r="AD46" i="13"/>
  <c r="AD45" i="13" s="1"/>
  <c r="AC46" i="13"/>
  <c r="AC45" i="13" s="1"/>
  <c r="AA46" i="13"/>
  <c r="AA45" i="13" s="1"/>
  <c r="Z46" i="13"/>
  <c r="Z45" i="13" s="1"/>
  <c r="X46" i="13"/>
  <c r="X45" i="13" s="1"/>
  <c r="W46" i="13"/>
  <c r="W45" i="13" s="1"/>
  <c r="V46" i="13"/>
  <c r="V45" i="13" s="1"/>
  <c r="U46" i="13"/>
  <c r="U45" i="13" s="1"/>
  <c r="T46" i="13"/>
  <c r="T45" i="13" s="1"/>
  <c r="S46" i="13"/>
  <c r="S45" i="13" s="1"/>
  <c r="R46" i="13"/>
  <c r="R45" i="13" s="1"/>
  <c r="Q46" i="13"/>
  <c r="Q45" i="13" s="1"/>
  <c r="P46" i="13"/>
  <c r="P45" i="13" s="1"/>
  <c r="O46" i="13"/>
  <c r="O45" i="13" s="1"/>
  <c r="N46" i="13"/>
  <c r="N45" i="13" s="1"/>
  <c r="M46" i="13"/>
  <c r="M45" i="13" s="1"/>
  <c r="AW44" i="13"/>
  <c r="AT44" i="13"/>
  <c r="AI44" i="13"/>
  <c r="AF44" i="13"/>
  <c r="AB44" i="13"/>
  <c r="Y44" i="13"/>
  <c r="AW43" i="13"/>
  <c r="AT43" i="13"/>
  <c r="AI43" i="13"/>
  <c r="AF43" i="13"/>
  <c r="AB43" i="13"/>
  <c r="Y43" i="13"/>
  <c r="AW42" i="13"/>
  <c r="AT42" i="13"/>
  <c r="AI42" i="13"/>
  <c r="AF42" i="13"/>
  <c r="AB42" i="13"/>
  <c r="Y42" i="13"/>
  <c r="AW41" i="13"/>
  <c r="AT41" i="13"/>
  <c r="AI41" i="13"/>
  <c r="AF41" i="13"/>
  <c r="AB41" i="13"/>
  <c r="Y41" i="13"/>
  <c r="AW40" i="13"/>
  <c r="AT40" i="13"/>
  <c r="AI40" i="13"/>
  <c r="AF40" i="13"/>
  <c r="AB40" i="13"/>
  <c r="Y40" i="13"/>
  <c r="AW39" i="13"/>
  <c r="AT39" i="13"/>
  <c r="AI39" i="13"/>
  <c r="AF39" i="13"/>
  <c r="AB39" i="13"/>
  <c r="Y39" i="13"/>
  <c r="AW38" i="13"/>
  <c r="AT38" i="13"/>
  <c r="AI38" i="13"/>
  <c r="AF38" i="13"/>
  <c r="AB38" i="13"/>
  <c r="Y38" i="13"/>
  <c r="AW37" i="13"/>
  <c r="AT37" i="13"/>
  <c r="AI37" i="13"/>
  <c r="AF37" i="13"/>
  <c r="AB37" i="13"/>
  <c r="Y37" i="13"/>
  <c r="AW36" i="13"/>
  <c r="AT36" i="13"/>
  <c r="AI36" i="13"/>
  <c r="AF36" i="13"/>
  <c r="AB36" i="13"/>
  <c r="Y36" i="13"/>
  <c r="AW35" i="13"/>
  <c r="AT35" i="13"/>
  <c r="AI35" i="13"/>
  <c r="AF35" i="13"/>
  <c r="AB35" i="13"/>
  <c r="Y35" i="13"/>
  <c r="AW34" i="13"/>
  <c r="AT34" i="13"/>
  <c r="AI34" i="13"/>
  <c r="AF34" i="13"/>
  <c r="AB34" i="13"/>
  <c r="Y34" i="13"/>
  <c r="AW33" i="13"/>
  <c r="AT33" i="13"/>
  <c r="AI33" i="13"/>
  <c r="AF33" i="13"/>
  <c r="AB33" i="13"/>
  <c r="Y33" i="13"/>
  <c r="AW32" i="13"/>
  <c r="AT32" i="13"/>
  <c r="AI32" i="13"/>
  <c r="AF32" i="13"/>
  <c r="AB32" i="13"/>
  <c r="Y32" i="13"/>
  <c r="AW31" i="13"/>
  <c r="AT31" i="13"/>
  <c r="AI31" i="13"/>
  <c r="AF31" i="13"/>
  <c r="AB31" i="13"/>
  <c r="Y31" i="13"/>
  <c r="AW30" i="13"/>
  <c r="AT30" i="13"/>
  <c r="AI30" i="13"/>
  <c r="AF30" i="13"/>
  <c r="AB30" i="13"/>
  <c r="Y30" i="13"/>
  <c r="AW29" i="13"/>
  <c r="AT29" i="13"/>
  <c r="AI29" i="13"/>
  <c r="AF29" i="13"/>
  <c r="AB29" i="13"/>
  <c r="Y29" i="13"/>
  <c r="AW28" i="13"/>
  <c r="AT28" i="13"/>
  <c r="AI28" i="13"/>
  <c r="AF28" i="13"/>
  <c r="AB28" i="13"/>
  <c r="Y28" i="13"/>
  <c r="AW27" i="13"/>
  <c r="AT27" i="13"/>
  <c r="AI27" i="13"/>
  <c r="AF27" i="13"/>
  <c r="AB27" i="13"/>
  <c r="Y27" i="13"/>
  <c r="AW26" i="13"/>
  <c r="AT26" i="13"/>
  <c r="AI26" i="13"/>
  <c r="AF26" i="13"/>
  <c r="AB26" i="13"/>
  <c r="Y26" i="13"/>
  <c r="BX25" i="13"/>
  <c r="AZ25" i="13"/>
  <c r="AY25" i="13"/>
  <c r="AX25" i="13"/>
  <c r="AV25" i="13"/>
  <c r="AU25" i="13"/>
  <c r="AS25" i="13"/>
  <c r="AR25" i="13"/>
  <c r="AQ25" i="13"/>
  <c r="AP25" i="13"/>
  <c r="AO25" i="13"/>
  <c r="AN25" i="13"/>
  <c r="AM25" i="13"/>
  <c r="AL25" i="13"/>
  <c r="AK25" i="13"/>
  <c r="AJ25" i="13"/>
  <c r="AH25" i="13"/>
  <c r="AG25" i="13"/>
  <c r="AE25" i="13"/>
  <c r="AD25" i="13"/>
  <c r="AC25" i="13"/>
  <c r="AA25" i="13"/>
  <c r="Z25" i="13"/>
  <c r="X25" i="13"/>
  <c r="W25" i="13"/>
  <c r="V25" i="13"/>
  <c r="U25" i="13"/>
  <c r="T25" i="13"/>
  <c r="S25" i="13"/>
  <c r="R25" i="13"/>
  <c r="Q25" i="13"/>
  <c r="P25" i="13"/>
  <c r="O25" i="13"/>
  <c r="N25" i="13"/>
  <c r="M25" i="13"/>
  <c r="AW24" i="13"/>
  <c r="AT24" i="13"/>
  <c r="AI24" i="13"/>
  <c r="AF24" i="13"/>
  <c r="AB24" i="13"/>
  <c r="Y24" i="13"/>
  <c r="AW23" i="13"/>
  <c r="AT23" i="13"/>
  <c r="AI23" i="13"/>
  <c r="AF23" i="13"/>
  <c r="AB23" i="13"/>
  <c r="Y23" i="13"/>
  <c r="AW22" i="13"/>
  <c r="AT22" i="13"/>
  <c r="AI22" i="13"/>
  <c r="AF22" i="13"/>
  <c r="AB22" i="13"/>
  <c r="Y22" i="13"/>
  <c r="AW21" i="13"/>
  <c r="AT21" i="13"/>
  <c r="AI21" i="13"/>
  <c r="AF21" i="13"/>
  <c r="AB21" i="13"/>
  <c r="Y21" i="13"/>
  <c r="AW20" i="13"/>
  <c r="AT20" i="13"/>
  <c r="AI20" i="13"/>
  <c r="AF20" i="13"/>
  <c r="AB20" i="13"/>
  <c r="Y20" i="13"/>
  <c r="BX19" i="13"/>
  <c r="AZ19" i="13"/>
  <c r="AY19" i="13"/>
  <c r="AX19" i="13"/>
  <c r="AV19" i="13"/>
  <c r="AU19" i="13"/>
  <c r="AS19" i="13"/>
  <c r="AR19" i="13"/>
  <c r="AQ19" i="13"/>
  <c r="AP19" i="13"/>
  <c r="AO19" i="13"/>
  <c r="AN19" i="13"/>
  <c r="AM19" i="13"/>
  <c r="AL19" i="13"/>
  <c r="AK19" i="13"/>
  <c r="AJ19" i="13"/>
  <c r="AH19" i="13"/>
  <c r="AG19" i="13"/>
  <c r="AE19" i="13"/>
  <c r="AD19" i="13"/>
  <c r="AC19" i="13"/>
  <c r="AA19" i="13"/>
  <c r="Z19" i="13"/>
  <c r="X19" i="13"/>
  <c r="W19" i="13"/>
  <c r="V19" i="13"/>
  <c r="U19" i="13"/>
  <c r="T19" i="13"/>
  <c r="S19" i="13"/>
  <c r="R19" i="13"/>
  <c r="Q19" i="13"/>
  <c r="P19" i="13"/>
  <c r="O19" i="13"/>
  <c r="N19" i="13"/>
  <c r="M19" i="13"/>
  <c r="BX15" i="13"/>
  <c r="AZ15" i="13"/>
  <c r="AY15" i="13"/>
  <c r="AX15" i="13"/>
  <c r="AW15" i="13"/>
  <c r="AV15" i="13"/>
  <c r="AU15" i="13"/>
  <c r="AT15" i="13"/>
  <c r="AS15" i="13"/>
  <c r="AR15" i="13"/>
  <c r="AQ15" i="13"/>
  <c r="AP15" i="13"/>
  <c r="AO15" i="13"/>
  <c r="AN15" i="13"/>
  <c r="AM15" i="13"/>
  <c r="AL15" i="13"/>
  <c r="AK15" i="13"/>
  <c r="AJ15" i="13"/>
  <c r="AI15" i="13"/>
  <c r="AH15" i="13"/>
  <c r="AG15" i="13"/>
  <c r="AF15" i="13"/>
  <c r="AE15" i="13"/>
  <c r="AD15" i="13"/>
  <c r="AC15" i="13"/>
  <c r="AB15" i="13"/>
  <c r="AA15" i="13"/>
  <c r="Z15" i="13"/>
  <c r="Y15" i="13"/>
  <c r="BB17" i="13" l="1"/>
  <c r="BB14" i="13" s="1"/>
  <c r="BI17" i="13"/>
  <c r="BI14" i="13" s="1"/>
  <c r="BG17" i="13"/>
  <c r="BG14" i="13" s="1"/>
  <c r="BE17" i="13"/>
  <c r="BE14" i="13" s="1"/>
  <c r="BQ17" i="13"/>
  <c r="BQ14" i="13" s="1"/>
  <c r="BR17" i="13"/>
  <c r="BR14" i="13" s="1"/>
  <c r="BF17" i="13"/>
  <c r="BF14" i="13" s="1"/>
  <c r="BH17" i="13"/>
  <c r="BH14" i="13" s="1"/>
  <c r="BT17" i="13"/>
  <c r="BT14" i="13" s="1"/>
  <c r="BJ17" i="13"/>
  <c r="BJ14" i="13" s="1"/>
  <c r="BK17" i="13"/>
  <c r="BK14" i="13" s="1"/>
  <c r="BL17" i="13"/>
  <c r="BL14" i="13" s="1"/>
  <c r="Q18" i="13"/>
  <c r="Q17" i="13" s="1"/>
  <c r="Q14" i="13" s="1"/>
  <c r="AK18" i="13"/>
  <c r="AK17" i="13" s="1"/>
  <c r="AK14" i="13" s="1"/>
  <c r="AY18" i="13"/>
  <c r="AY17" i="13" s="1"/>
  <c r="AY14" i="13" s="1"/>
  <c r="X18" i="13"/>
  <c r="X17" i="13" s="1"/>
  <c r="X14" i="13" s="1"/>
  <c r="AR18" i="13"/>
  <c r="AR17" i="13" s="1"/>
  <c r="AR14" i="13" s="1"/>
  <c r="AD18" i="13"/>
  <c r="AD17" i="13" s="1"/>
  <c r="AD14" i="13" s="1"/>
  <c r="O18" i="13"/>
  <c r="O17" i="13" s="1"/>
  <c r="O14" i="13" s="1"/>
  <c r="AT46" i="13"/>
  <c r="AT45" i="13" s="1"/>
  <c r="U18" i="13"/>
  <c r="U17" i="13" s="1"/>
  <c r="U14" i="13" s="1"/>
  <c r="BX18" i="13"/>
  <c r="AB64" i="13"/>
  <c r="AB63" i="13" s="1"/>
  <c r="AB19" i="13"/>
  <c r="AO18" i="13"/>
  <c r="AO17" i="13" s="1"/>
  <c r="AO14" i="13" s="1"/>
  <c r="Y25" i="13"/>
  <c r="AA18" i="13"/>
  <c r="AA17" i="13" s="1"/>
  <c r="AA14" i="13" s="1"/>
  <c r="AP18" i="13"/>
  <c r="AP17" i="13" s="1"/>
  <c r="AP14" i="13" s="1"/>
  <c r="Y78" i="13"/>
  <c r="Y77" i="13" s="1"/>
  <c r="AB78" i="13"/>
  <c r="AB77" i="13" s="1"/>
  <c r="AW74" i="13"/>
  <c r="AW73" i="13" s="1"/>
  <c r="W18" i="13"/>
  <c r="W17" i="13" s="1"/>
  <c r="W14" i="13" s="1"/>
  <c r="AM18" i="13"/>
  <c r="AM17" i="13" s="1"/>
  <c r="AM14" i="13" s="1"/>
  <c r="AF78" i="13"/>
  <c r="AF77" i="13" s="1"/>
  <c r="Y74" i="13"/>
  <c r="Y73" i="13" s="1"/>
  <c r="Y64" i="13"/>
  <c r="Y63" i="13" s="1"/>
  <c r="AT64" i="13"/>
  <c r="AT63" i="13" s="1"/>
  <c r="AB25" i="13"/>
  <c r="M18" i="13"/>
  <c r="M17" i="13" s="1"/>
  <c r="M14" i="13" s="1"/>
  <c r="AN18" i="13"/>
  <c r="AN17" i="13" s="1"/>
  <c r="AN14" i="13" s="1"/>
  <c r="AS18" i="13"/>
  <c r="AS17" i="13" s="1"/>
  <c r="AS14" i="13" s="1"/>
  <c r="R18" i="13"/>
  <c r="R17" i="13" s="1"/>
  <c r="R14" i="13" s="1"/>
  <c r="AH18" i="13"/>
  <c r="AV18" i="13"/>
  <c r="P18" i="13"/>
  <c r="AI25" i="13"/>
  <c r="T18" i="13"/>
  <c r="T17" i="13" s="1"/>
  <c r="T14" i="13" s="1"/>
  <c r="AJ18" i="13"/>
  <c r="AJ17" i="13" s="1"/>
  <c r="AJ14" i="13" s="1"/>
  <c r="AX18" i="13"/>
  <c r="AX17" i="13" s="1"/>
  <c r="AX14" i="13" s="1"/>
  <c r="AL18" i="13"/>
  <c r="AZ18" i="13"/>
  <c r="AG18" i="13"/>
  <c r="AG17" i="13" s="1"/>
  <c r="AG14" i="13" s="1"/>
  <c r="AU18" i="13"/>
  <c r="S18" i="13"/>
  <c r="S17" i="13" s="1"/>
  <c r="S14" i="13" s="1"/>
  <c r="AW19" i="13"/>
  <c r="AI74" i="13"/>
  <c r="AI73" i="13" s="1"/>
  <c r="AT74" i="13"/>
  <c r="AT73" i="13" s="1"/>
  <c r="Z18" i="13"/>
  <c r="N18" i="13"/>
  <c r="AW25" i="13"/>
  <c r="AF64" i="13"/>
  <c r="AF63" i="13" s="1"/>
  <c r="AW46" i="13"/>
  <c r="AW45" i="13" s="1"/>
  <c r="AI64" i="13"/>
  <c r="AI63" i="13" s="1"/>
  <c r="AF46" i="13"/>
  <c r="AF45" i="13" s="1"/>
  <c r="AC18" i="13"/>
  <c r="AC17" i="13" s="1"/>
  <c r="AC14" i="13" s="1"/>
  <c r="AW64" i="13"/>
  <c r="AW63" i="13" s="1"/>
  <c r="AT19" i="13"/>
  <c r="AF25" i="13"/>
  <c r="AT25" i="13"/>
  <c r="AB74" i="13"/>
  <c r="AB73" i="13" s="1"/>
  <c r="AT78" i="13"/>
  <c r="AT77" i="13" s="1"/>
  <c r="AF74" i="13"/>
  <c r="AF73" i="13" s="1"/>
  <c r="Y19" i="13"/>
  <c r="Y46" i="13"/>
  <c r="Y45" i="13" s="1"/>
  <c r="AB46" i="13"/>
  <c r="AB45" i="13" s="1"/>
  <c r="AQ18" i="13"/>
  <c r="AI78" i="13"/>
  <c r="AI77" i="13" s="1"/>
  <c r="V18" i="13"/>
  <c r="AW78" i="13"/>
  <c r="AW77" i="13" s="1"/>
  <c r="AF19" i="13"/>
  <c r="AI19" i="13"/>
  <c r="AI46" i="13"/>
  <c r="AI45" i="13" s="1"/>
  <c r="AE18" i="13"/>
  <c r="AB18" i="13" l="1"/>
  <c r="AB17" i="13" s="1"/>
  <c r="AB14" i="13" s="1"/>
  <c r="AI18" i="13"/>
  <c r="AI17" i="13" s="1"/>
  <c r="AI14" i="13" s="1"/>
  <c r="AW18" i="13"/>
  <c r="AW17" i="13" s="1"/>
  <c r="AW14" i="13" s="1"/>
  <c r="Y18" i="13"/>
  <c r="Y17" i="13" s="1"/>
  <c r="Y14" i="13" s="1"/>
  <c r="N17" i="13"/>
  <c r="N14" i="13" s="1"/>
  <c r="P17" i="13"/>
  <c r="P14" i="13" s="1"/>
  <c r="AL17" i="13"/>
  <c r="AL14" i="13" s="1"/>
  <c r="AV17" i="13"/>
  <c r="AV14" i="13" s="1"/>
  <c r="AH17" i="13"/>
  <c r="AH14" i="13" s="1"/>
  <c r="AT18" i="13"/>
  <c r="AT17" i="13" s="1"/>
  <c r="AT14" i="13" s="1"/>
  <c r="Z17" i="13"/>
  <c r="Z14" i="13" s="1"/>
  <c r="V17" i="13"/>
  <c r="V14" i="13" s="1"/>
  <c r="AZ17" i="13"/>
  <c r="AZ14" i="13" s="1"/>
  <c r="AE17" i="13"/>
  <c r="AE14" i="13" s="1"/>
  <c r="AQ17" i="13"/>
  <c r="AQ14" i="13" s="1"/>
  <c r="AU17" i="13"/>
  <c r="AU14" i="13" s="1"/>
  <c r="AF18" i="13"/>
  <c r="AF17" i="13" s="1"/>
  <c r="AF14" i="13" s="1"/>
  <c r="AX242" i="12"/>
  <c r="AU242" i="12" s="1"/>
  <c r="AU241" i="12" s="1"/>
  <c r="AI242" i="12"/>
  <c r="AF242" i="12" s="1"/>
  <c r="AF241" i="12" s="1"/>
  <c r="AB242" i="12"/>
  <c r="AB241" i="12" s="1"/>
  <c r="BR241" i="12"/>
  <c r="BQ241" i="12"/>
  <c r="BP241" i="12"/>
  <c r="BO241" i="12"/>
  <c r="BN241" i="12"/>
  <c r="BM241" i="12"/>
  <c r="BL241" i="12"/>
  <c r="BK241" i="12"/>
  <c r="BJ241" i="12"/>
  <c r="BI241" i="12"/>
  <c r="BH241" i="12"/>
  <c r="BG241" i="12"/>
  <c r="BF241" i="12"/>
  <c r="BE241" i="12"/>
  <c r="BD241" i="12"/>
  <c r="BC241" i="12"/>
  <c r="BB241" i="12"/>
  <c r="BA241" i="12"/>
  <c r="AZ241" i="12"/>
  <c r="AY241" i="12"/>
  <c r="AW241" i="12"/>
  <c r="AV241" i="12"/>
  <c r="AT241" i="12"/>
  <c r="AS241" i="12"/>
  <c r="AR241" i="12"/>
  <c r="AQ241" i="12"/>
  <c r="AP241" i="12"/>
  <c r="AO241" i="12"/>
  <c r="AN241" i="12"/>
  <c r="AM241" i="12"/>
  <c r="AL241" i="12"/>
  <c r="AK241" i="12"/>
  <c r="AJ241" i="12"/>
  <c r="AH241" i="12"/>
  <c r="AG241" i="12"/>
  <c r="AE241" i="12"/>
  <c r="AD241" i="12"/>
  <c r="AC241" i="12"/>
  <c r="AA241" i="12"/>
  <c r="Z241" i="12"/>
  <c r="X241" i="12"/>
  <c r="W241" i="12"/>
  <c r="V241" i="12"/>
  <c r="Q241" i="12"/>
  <c r="P241" i="12"/>
  <c r="O241" i="12"/>
  <c r="N241" i="12"/>
  <c r="M241" i="12"/>
  <c r="AX240" i="12"/>
  <c r="AU240" i="12" s="1"/>
  <c r="AI240" i="12"/>
  <c r="AF240" i="12" s="1"/>
  <c r="AB240" i="12"/>
  <c r="Y240" i="12" s="1"/>
  <c r="AX239" i="12"/>
  <c r="AU239" i="12" s="1"/>
  <c r="AI239" i="12"/>
  <c r="AF239" i="12" s="1"/>
  <c r="AB239" i="12"/>
  <c r="Y239" i="12" s="1"/>
  <c r="AX238" i="12"/>
  <c r="AU238" i="12" s="1"/>
  <c r="AI238" i="12"/>
  <c r="AF238" i="12" s="1"/>
  <c r="AB238" i="12"/>
  <c r="Y238" i="12" s="1"/>
  <c r="AX237" i="12"/>
  <c r="AU237" i="12" s="1"/>
  <c r="AI237" i="12"/>
  <c r="AF237" i="12" s="1"/>
  <c r="AB237" i="12"/>
  <c r="Y237" i="12" s="1"/>
  <c r="AX236" i="12"/>
  <c r="AU236" i="12" s="1"/>
  <c r="AI236" i="12"/>
  <c r="AF236" i="12" s="1"/>
  <c r="AB236" i="12"/>
  <c r="Y236" i="12" s="1"/>
  <c r="AX235" i="12"/>
  <c r="AU235" i="12" s="1"/>
  <c r="AI235" i="12"/>
  <c r="AF235" i="12" s="1"/>
  <c r="AB235" i="12"/>
  <c r="Y235" i="12" s="1"/>
  <c r="AX234" i="12"/>
  <c r="AU234" i="12" s="1"/>
  <c r="AI234" i="12"/>
  <c r="AF234" i="12" s="1"/>
  <c r="AB234" i="12"/>
  <c r="Y234" i="12" s="1"/>
  <c r="AX233" i="12"/>
  <c r="AU233" i="12" s="1"/>
  <c r="AI233" i="12"/>
  <c r="AF233" i="12" s="1"/>
  <c r="AB233" i="12"/>
  <c r="Y233" i="12" s="1"/>
  <c r="AX232" i="12"/>
  <c r="AU232" i="12" s="1"/>
  <c r="AI232" i="12"/>
  <c r="AF232" i="12" s="1"/>
  <c r="AB232" i="12"/>
  <c r="Y232" i="12" s="1"/>
  <c r="AX231" i="12"/>
  <c r="AU231" i="12" s="1"/>
  <c r="AI231" i="12"/>
  <c r="AF231" i="12" s="1"/>
  <c r="AB231" i="12"/>
  <c r="Y231" i="12" s="1"/>
  <c r="AX230" i="12"/>
  <c r="AU230" i="12" s="1"/>
  <c r="AI230" i="12"/>
  <c r="AF230" i="12" s="1"/>
  <c r="AB230" i="12"/>
  <c r="Y230" i="12" s="1"/>
  <c r="AX229" i="12"/>
  <c r="AU229" i="12" s="1"/>
  <c r="AI229" i="12"/>
  <c r="AF229" i="12" s="1"/>
  <c r="AB229" i="12"/>
  <c r="Y229" i="12" s="1"/>
  <c r="AX228" i="12"/>
  <c r="AU228" i="12" s="1"/>
  <c r="AI228" i="12"/>
  <c r="AF228" i="12" s="1"/>
  <c r="AB228" i="12"/>
  <c r="Y228" i="12" s="1"/>
  <c r="AX227" i="12"/>
  <c r="AU227" i="12" s="1"/>
  <c r="AI227" i="12"/>
  <c r="AF227" i="12" s="1"/>
  <c r="AB227" i="12"/>
  <c r="Y227" i="12" s="1"/>
  <c r="AX226" i="12"/>
  <c r="AU226" i="12" s="1"/>
  <c r="AI226" i="12"/>
  <c r="AF226" i="12" s="1"/>
  <c r="AB226" i="12"/>
  <c r="Y226" i="12" s="1"/>
  <c r="AX225" i="12"/>
  <c r="AU225" i="12" s="1"/>
  <c r="AI225" i="12"/>
  <c r="AF225" i="12" s="1"/>
  <c r="AB225" i="12"/>
  <c r="Y225" i="12" s="1"/>
  <c r="AX224" i="12"/>
  <c r="AU224" i="12" s="1"/>
  <c r="AI224" i="12"/>
  <c r="AF224" i="12" s="1"/>
  <c r="AB224" i="12"/>
  <c r="Y224" i="12" s="1"/>
  <c r="AX223" i="12"/>
  <c r="AU223" i="12" s="1"/>
  <c r="AI223" i="12"/>
  <c r="AF223" i="12" s="1"/>
  <c r="AB223" i="12"/>
  <c r="Y223" i="12" s="1"/>
  <c r="AX222" i="12"/>
  <c r="AU222" i="12" s="1"/>
  <c r="AI222" i="12"/>
  <c r="AF222" i="12" s="1"/>
  <c r="AB222" i="12"/>
  <c r="Y222" i="12" s="1"/>
  <c r="AX221" i="12"/>
  <c r="AU221" i="12" s="1"/>
  <c r="AI221" i="12"/>
  <c r="AF221" i="12" s="1"/>
  <c r="AB221" i="12"/>
  <c r="Y221" i="12" s="1"/>
  <c r="AX220" i="12"/>
  <c r="AU220" i="12" s="1"/>
  <c r="AI220" i="12"/>
  <c r="AF220" i="12" s="1"/>
  <c r="AB220" i="12"/>
  <c r="Y220" i="12" s="1"/>
  <c r="AX219" i="12"/>
  <c r="AU219" i="12" s="1"/>
  <c r="AI219" i="12"/>
  <c r="AF219" i="12" s="1"/>
  <c r="AB219" i="12"/>
  <c r="Y219" i="12" s="1"/>
  <c r="AX218" i="12"/>
  <c r="AU218" i="12" s="1"/>
  <c r="AI218" i="12"/>
  <c r="AF218" i="12" s="1"/>
  <c r="AB218" i="12"/>
  <c r="Y218" i="12" s="1"/>
  <c r="AX217" i="12"/>
  <c r="AU217" i="12" s="1"/>
  <c r="AI217" i="12"/>
  <c r="AF217" i="12" s="1"/>
  <c r="AB217" i="12"/>
  <c r="Y217" i="12" s="1"/>
  <c r="AX216" i="12"/>
  <c r="AU216" i="12" s="1"/>
  <c r="AI216" i="12"/>
  <c r="AF216" i="12" s="1"/>
  <c r="AB216" i="12"/>
  <c r="Y216" i="12" s="1"/>
  <c r="AX215" i="12"/>
  <c r="AU215" i="12" s="1"/>
  <c r="AI215" i="12"/>
  <c r="AB215" i="12"/>
  <c r="Y215" i="12" s="1"/>
  <c r="AX214" i="12"/>
  <c r="AU214" i="12" s="1"/>
  <c r="AI214" i="12"/>
  <c r="AF214" i="12" s="1"/>
  <c r="AB214" i="12"/>
  <c r="Y214" i="12" s="1"/>
  <c r="AX213" i="12"/>
  <c r="AU213" i="12" s="1"/>
  <c r="AI213" i="12"/>
  <c r="AF213" i="12" s="1"/>
  <c r="AB213" i="12"/>
  <c r="Y213" i="12" s="1"/>
  <c r="AX212" i="12"/>
  <c r="AU212" i="12" s="1"/>
  <c r="AI212" i="12"/>
  <c r="AF212" i="12" s="1"/>
  <c r="AB212" i="12"/>
  <c r="Y212" i="12" s="1"/>
  <c r="BR211" i="12"/>
  <c r="BQ211" i="12"/>
  <c r="BP211" i="12"/>
  <c r="BO211" i="12"/>
  <c r="BN211" i="12"/>
  <c r="BM211" i="12"/>
  <c r="BL211" i="12"/>
  <c r="BK211" i="12"/>
  <c r="BJ211" i="12"/>
  <c r="BI211" i="12"/>
  <c r="BH211" i="12"/>
  <c r="BG211" i="12"/>
  <c r="BF211" i="12"/>
  <c r="BE211" i="12"/>
  <c r="BD211" i="12"/>
  <c r="BC211" i="12"/>
  <c r="BB211" i="12"/>
  <c r="BA211" i="12"/>
  <c r="AZ211" i="12"/>
  <c r="AY211" i="12"/>
  <c r="AW211" i="12"/>
  <c r="AV211" i="12"/>
  <c r="AT211" i="12"/>
  <c r="AS211" i="12"/>
  <c r="AR211" i="12"/>
  <c r="AQ211" i="12"/>
  <c r="AP211" i="12"/>
  <c r="AO211" i="12"/>
  <c r="AN211" i="12"/>
  <c r="AM211" i="12"/>
  <c r="AL211" i="12"/>
  <c r="AK211" i="12"/>
  <c r="AJ211" i="12"/>
  <c r="AH211" i="12"/>
  <c r="AG211" i="12"/>
  <c r="AE211" i="12"/>
  <c r="AD211" i="12"/>
  <c r="AC211" i="12"/>
  <c r="AA211" i="12"/>
  <c r="Z211" i="12"/>
  <c r="X211" i="12"/>
  <c r="W211" i="12"/>
  <c r="V211" i="12"/>
  <c r="U211" i="12"/>
  <c r="T211" i="12"/>
  <c r="S211" i="12"/>
  <c r="R211" i="12"/>
  <c r="Q211" i="12"/>
  <c r="P211" i="12"/>
  <c r="O211" i="12"/>
  <c r="N211" i="12"/>
  <c r="M211" i="12"/>
  <c r="AX210" i="12"/>
  <c r="AU210" i="12" s="1"/>
  <c r="AI210" i="12"/>
  <c r="AF210" i="12" s="1"/>
  <c r="AB210" i="12"/>
  <c r="Y210" i="12" s="1"/>
  <c r="AX209" i="12"/>
  <c r="AU209" i="12" s="1"/>
  <c r="AI209" i="12"/>
  <c r="AF209" i="12" s="1"/>
  <c r="AB209" i="12"/>
  <c r="Y209" i="12" s="1"/>
  <c r="AX208" i="12"/>
  <c r="AU208" i="12" s="1"/>
  <c r="AI208" i="12"/>
  <c r="AF208" i="12" s="1"/>
  <c r="AB208" i="12"/>
  <c r="Y208" i="12" s="1"/>
  <c r="AX207" i="12"/>
  <c r="AU207" i="12" s="1"/>
  <c r="AI207" i="12"/>
  <c r="AF207" i="12" s="1"/>
  <c r="AB207" i="12"/>
  <c r="Y207" i="12" s="1"/>
  <c r="BR206" i="12"/>
  <c r="BQ206" i="12"/>
  <c r="BP206" i="12"/>
  <c r="BO206" i="12"/>
  <c r="BN206" i="12"/>
  <c r="BM206" i="12"/>
  <c r="BL206" i="12"/>
  <c r="BK206" i="12"/>
  <c r="BJ206" i="12"/>
  <c r="BI206" i="12"/>
  <c r="BH206" i="12"/>
  <c r="BG206" i="12"/>
  <c r="BF206" i="12"/>
  <c r="BE206" i="12"/>
  <c r="BD206" i="12"/>
  <c r="BC206" i="12"/>
  <c r="BB206" i="12"/>
  <c r="BA206" i="12"/>
  <c r="AZ206" i="12"/>
  <c r="AW206" i="12"/>
  <c r="AV206" i="12"/>
  <c r="AT206" i="12"/>
  <c r="AS206" i="12"/>
  <c r="AR206" i="12"/>
  <c r="AQ206" i="12"/>
  <c r="AP206" i="12"/>
  <c r="AO206" i="12"/>
  <c r="AN206" i="12"/>
  <c r="AM206" i="12"/>
  <c r="AL206" i="12"/>
  <c r="AK206" i="12"/>
  <c r="AH206" i="12"/>
  <c r="AG206" i="12"/>
  <c r="AE206" i="12"/>
  <c r="AD206" i="12"/>
  <c r="AA206" i="12"/>
  <c r="Z206" i="12"/>
  <c r="X206" i="12"/>
  <c r="W206" i="12"/>
  <c r="V206" i="12"/>
  <c r="U206" i="12"/>
  <c r="T206" i="12"/>
  <c r="S206" i="12"/>
  <c r="R206" i="12"/>
  <c r="Q206" i="12"/>
  <c r="P206" i="12"/>
  <c r="O206" i="12"/>
  <c r="N206" i="12"/>
  <c r="M206" i="12"/>
  <c r="AX205" i="12"/>
  <c r="AU205" i="12" s="1"/>
  <c r="AI205" i="12"/>
  <c r="AF205" i="12" s="1"/>
  <c r="AB205" i="12"/>
  <c r="Y205" i="12" s="1"/>
  <c r="AX204" i="12"/>
  <c r="AU204" i="12" s="1"/>
  <c r="AI204" i="12"/>
  <c r="AF204" i="12" s="1"/>
  <c r="AB204" i="12"/>
  <c r="Y204" i="12" s="1"/>
  <c r="AX203" i="12"/>
  <c r="AU203" i="12" s="1"/>
  <c r="AI203" i="12"/>
  <c r="AF203" i="12" s="1"/>
  <c r="AB203" i="12"/>
  <c r="Y203" i="12" s="1"/>
  <c r="AX202" i="12"/>
  <c r="AU202" i="12" s="1"/>
  <c r="AI202" i="12"/>
  <c r="AF202" i="12" s="1"/>
  <c r="AB202" i="12"/>
  <c r="Y202" i="12" s="1"/>
  <c r="AX201" i="12"/>
  <c r="AU201" i="12" s="1"/>
  <c r="AI201" i="12"/>
  <c r="AF201" i="12" s="1"/>
  <c r="AB201" i="12"/>
  <c r="Y201" i="12" s="1"/>
  <c r="AX200" i="12"/>
  <c r="AU200" i="12" s="1"/>
  <c r="AI200" i="12"/>
  <c r="AF200" i="12" s="1"/>
  <c r="AB200" i="12"/>
  <c r="Y200" i="12" s="1"/>
  <c r="AX199" i="12"/>
  <c r="AU199" i="12" s="1"/>
  <c r="AI199" i="12"/>
  <c r="AF199" i="12" s="1"/>
  <c r="AB199" i="12"/>
  <c r="Y199" i="12" s="1"/>
  <c r="AX198" i="12"/>
  <c r="AU198" i="12" s="1"/>
  <c r="AI198" i="12"/>
  <c r="AF198" i="12" s="1"/>
  <c r="AB198" i="12"/>
  <c r="Y198" i="12" s="1"/>
  <c r="AX197" i="12"/>
  <c r="AU197" i="12" s="1"/>
  <c r="AI197" i="12"/>
  <c r="AF197" i="12" s="1"/>
  <c r="AB197" i="12"/>
  <c r="Y197" i="12" s="1"/>
  <c r="AX196" i="12"/>
  <c r="AU196" i="12" s="1"/>
  <c r="AI196" i="12"/>
  <c r="AF196" i="12" s="1"/>
  <c r="AB196" i="12"/>
  <c r="Y196" i="12" s="1"/>
  <c r="AX195" i="12"/>
  <c r="AU195" i="12" s="1"/>
  <c r="AI195" i="12"/>
  <c r="AF195" i="12" s="1"/>
  <c r="AB195" i="12"/>
  <c r="Y195" i="12" s="1"/>
  <c r="AX194" i="12"/>
  <c r="AU194" i="12" s="1"/>
  <c r="AI194" i="12"/>
  <c r="AF194" i="12" s="1"/>
  <c r="AB194" i="12"/>
  <c r="Y194" i="12" s="1"/>
  <c r="AX193" i="12"/>
  <c r="AU193" i="12" s="1"/>
  <c r="AI193" i="12"/>
  <c r="AF193" i="12" s="1"/>
  <c r="AB193" i="12"/>
  <c r="Y193" i="12" s="1"/>
  <c r="AX192" i="12"/>
  <c r="AU192" i="12" s="1"/>
  <c r="AI192" i="12"/>
  <c r="AF192" i="12" s="1"/>
  <c r="AB192" i="12"/>
  <c r="Y192" i="12" s="1"/>
  <c r="AX191" i="12"/>
  <c r="AU191" i="12" s="1"/>
  <c r="AI191" i="12"/>
  <c r="AF191" i="12" s="1"/>
  <c r="AB191" i="12"/>
  <c r="Y191" i="12" s="1"/>
  <c r="AX190" i="12"/>
  <c r="AU190" i="12" s="1"/>
  <c r="AI190" i="12"/>
  <c r="AF190" i="12" s="1"/>
  <c r="AB190" i="12"/>
  <c r="Y190" i="12" s="1"/>
  <c r="AX189" i="12"/>
  <c r="AU189" i="12" s="1"/>
  <c r="AI189" i="12"/>
  <c r="AF189" i="12" s="1"/>
  <c r="AB189" i="12"/>
  <c r="Y189" i="12" s="1"/>
  <c r="AX188" i="12"/>
  <c r="AU188" i="12" s="1"/>
  <c r="AI188" i="12"/>
  <c r="AF188" i="12" s="1"/>
  <c r="AB188" i="12"/>
  <c r="Y188" i="12" s="1"/>
  <c r="AX187" i="12"/>
  <c r="AU187" i="12" s="1"/>
  <c r="AI187" i="12"/>
  <c r="AF187" i="12" s="1"/>
  <c r="AB187" i="12"/>
  <c r="Y187" i="12" s="1"/>
  <c r="AX186" i="12"/>
  <c r="AU186" i="12" s="1"/>
  <c r="AI186" i="12"/>
  <c r="AF186" i="12" s="1"/>
  <c r="AB186" i="12"/>
  <c r="Y186" i="12" s="1"/>
  <c r="AX185" i="12"/>
  <c r="AU185" i="12" s="1"/>
  <c r="AI185" i="12"/>
  <c r="AF185" i="12" s="1"/>
  <c r="AB185" i="12"/>
  <c r="Y185" i="12" s="1"/>
  <c r="AX184" i="12"/>
  <c r="AI184" i="12"/>
  <c r="AF184" i="12" s="1"/>
  <c r="AB184" i="12"/>
  <c r="Y184" i="12" s="1"/>
  <c r="BR183" i="12"/>
  <c r="BQ183" i="12"/>
  <c r="BP183" i="12"/>
  <c r="BO183" i="12"/>
  <c r="BN183" i="12"/>
  <c r="BM183" i="12"/>
  <c r="BL183" i="12"/>
  <c r="BK183" i="12"/>
  <c r="BJ183" i="12"/>
  <c r="BI183" i="12"/>
  <c r="BH183" i="12"/>
  <c r="BG183" i="12"/>
  <c r="BF183" i="12"/>
  <c r="BE183" i="12"/>
  <c r="BD183" i="12"/>
  <c r="BC183" i="12"/>
  <c r="BB183" i="12"/>
  <c r="BA183" i="12"/>
  <c r="AZ183" i="12"/>
  <c r="AY183" i="12"/>
  <c r="AW183" i="12"/>
  <c r="AV183" i="12"/>
  <c r="AT183" i="12"/>
  <c r="AS183" i="12"/>
  <c r="AR183" i="12"/>
  <c r="AQ183" i="12"/>
  <c r="AP183" i="12"/>
  <c r="AO183" i="12"/>
  <c r="AN183" i="12"/>
  <c r="AM183" i="12"/>
  <c r="AL183" i="12"/>
  <c r="AK183" i="12"/>
  <c r="AJ183" i="12"/>
  <c r="AH183" i="12"/>
  <c r="AG183" i="12"/>
  <c r="AE183" i="12"/>
  <c r="AD183" i="12"/>
  <c r="AC183" i="12"/>
  <c r="AA183" i="12"/>
  <c r="Z183" i="12"/>
  <c r="X183" i="12"/>
  <c r="W183" i="12"/>
  <c r="V183" i="12"/>
  <c r="U183" i="12"/>
  <c r="T183" i="12"/>
  <c r="S183" i="12"/>
  <c r="R183" i="12"/>
  <c r="Q183" i="12"/>
  <c r="P183" i="12"/>
  <c r="O183" i="12"/>
  <c r="N183" i="12"/>
  <c r="M183" i="12"/>
  <c r="AX181" i="12"/>
  <c r="AU181" i="12" s="1"/>
  <c r="AI181" i="12"/>
  <c r="AF181" i="12" s="1"/>
  <c r="AB181" i="12"/>
  <c r="Y181" i="12" s="1"/>
  <c r="AX180" i="12"/>
  <c r="AU180" i="12" s="1"/>
  <c r="AI180" i="12"/>
  <c r="AF180" i="12" s="1"/>
  <c r="AB180" i="12"/>
  <c r="Y180" i="12" s="1"/>
  <c r="AX179" i="12"/>
  <c r="AU179" i="12" s="1"/>
  <c r="AI179" i="12"/>
  <c r="AF179" i="12" s="1"/>
  <c r="AB179" i="12"/>
  <c r="Y179" i="12" s="1"/>
  <c r="AX178" i="12"/>
  <c r="AU178" i="12" s="1"/>
  <c r="AI178" i="12"/>
  <c r="AF178" i="12" s="1"/>
  <c r="AB178" i="12"/>
  <c r="Y178" i="12" s="1"/>
  <c r="AX177" i="12"/>
  <c r="AU177" i="12" s="1"/>
  <c r="AI177" i="12"/>
  <c r="AF177" i="12" s="1"/>
  <c r="AB177" i="12"/>
  <c r="Y177" i="12" s="1"/>
  <c r="AX176" i="12"/>
  <c r="AU176" i="12" s="1"/>
  <c r="AI176" i="12"/>
  <c r="AF176" i="12" s="1"/>
  <c r="AB176" i="12"/>
  <c r="Y176" i="12" s="1"/>
  <c r="AX175" i="12"/>
  <c r="AU175" i="12" s="1"/>
  <c r="AI175" i="12"/>
  <c r="AF175" i="12" s="1"/>
  <c r="AB175" i="12"/>
  <c r="Y175" i="12" s="1"/>
  <c r="AX174" i="12"/>
  <c r="AU174" i="12" s="1"/>
  <c r="AI174" i="12"/>
  <c r="AF174" i="12" s="1"/>
  <c r="AB174" i="12"/>
  <c r="Y174" i="12" s="1"/>
  <c r="AX173" i="12"/>
  <c r="AU173" i="12" s="1"/>
  <c r="AI173" i="12"/>
  <c r="AF173" i="12" s="1"/>
  <c r="AB173" i="12"/>
  <c r="Y173" i="12" s="1"/>
  <c r="AX172" i="12"/>
  <c r="AU172" i="12" s="1"/>
  <c r="AI172" i="12"/>
  <c r="AF172" i="12" s="1"/>
  <c r="AB172" i="12"/>
  <c r="Y172" i="12" s="1"/>
  <c r="AX171" i="12"/>
  <c r="AU171" i="12" s="1"/>
  <c r="AI171" i="12"/>
  <c r="AF171" i="12" s="1"/>
  <c r="AB171" i="12"/>
  <c r="Y171" i="12" s="1"/>
  <c r="AX170" i="12"/>
  <c r="AU170" i="12" s="1"/>
  <c r="AI170" i="12"/>
  <c r="AF170" i="12" s="1"/>
  <c r="AB170" i="12"/>
  <c r="Y170" i="12" s="1"/>
  <c r="AX169" i="12"/>
  <c r="AU169" i="12" s="1"/>
  <c r="AI169" i="12"/>
  <c r="AF169" i="12" s="1"/>
  <c r="AB169" i="12"/>
  <c r="Y169" i="12" s="1"/>
  <c r="AX168" i="12"/>
  <c r="AU168" i="12" s="1"/>
  <c r="AI168" i="12"/>
  <c r="AF168" i="12" s="1"/>
  <c r="AB168" i="12"/>
  <c r="Y168" i="12" s="1"/>
  <c r="AX167" i="12"/>
  <c r="AU167" i="12" s="1"/>
  <c r="AI167" i="12"/>
  <c r="AF167" i="12" s="1"/>
  <c r="AB167" i="12"/>
  <c r="Y167" i="12" s="1"/>
  <c r="AX166" i="12"/>
  <c r="AU166" i="12" s="1"/>
  <c r="AI166" i="12"/>
  <c r="AF166" i="12" s="1"/>
  <c r="AB166" i="12"/>
  <c r="Y166" i="12" s="1"/>
  <c r="AX165" i="12"/>
  <c r="AU165" i="12" s="1"/>
  <c r="AI165" i="12"/>
  <c r="AF165" i="12" s="1"/>
  <c r="AB165" i="12"/>
  <c r="Y165" i="12" s="1"/>
  <c r="AX164" i="12"/>
  <c r="AU164" i="12" s="1"/>
  <c r="AI164" i="12"/>
  <c r="AF164" i="12" s="1"/>
  <c r="AB164" i="12"/>
  <c r="Y164" i="12" s="1"/>
  <c r="AX163" i="12"/>
  <c r="AU163" i="12" s="1"/>
  <c r="AI163" i="12"/>
  <c r="AF163" i="12" s="1"/>
  <c r="AB163" i="12"/>
  <c r="Y163" i="12" s="1"/>
  <c r="AX162" i="12"/>
  <c r="AU162" i="12" s="1"/>
  <c r="AI162" i="12"/>
  <c r="AF162" i="12" s="1"/>
  <c r="AB162" i="12"/>
  <c r="Y162" i="12" s="1"/>
  <c r="AX161" i="12"/>
  <c r="AU161" i="12" s="1"/>
  <c r="AI161" i="12"/>
  <c r="AF161" i="12" s="1"/>
  <c r="AB161" i="12"/>
  <c r="Y161" i="12" s="1"/>
  <c r="AX160" i="12"/>
  <c r="AU160" i="12" s="1"/>
  <c r="AI160" i="12"/>
  <c r="AF160" i="12" s="1"/>
  <c r="AB160" i="12"/>
  <c r="Y160" i="12" s="1"/>
  <c r="AX159" i="12"/>
  <c r="AU159" i="12" s="1"/>
  <c r="AI159" i="12"/>
  <c r="AF159" i="12" s="1"/>
  <c r="AB159" i="12"/>
  <c r="Y159" i="12" s="1"/>
  <c r="AX158" i="12"/>
  <c r="AU158" i="12" s="1"/>
  <c r="AI158" i="12"/>
  <c r="AF158" i="12" s="1"/>
  <c r="AB158" i="12"/>
  <c r="Y158" i="12" s="1"/>
  <c r="AX157" i="12"/>
  <c r="AU157" i="12" s="1"/>
  <c r="AI157" i="12"/>
  <c r="AF157" i="12" s="1"/>
  <c r="AB157" i="12"/>
  <c r="Y157" i="12" s="1"/>
  <c r="AX156" i="12"/>
  <c r="AU156" i="12" s="1"/>
  <c r="AI156" i="12"/>
  <c r="AF156" i="12" s="1"/>
  <c r="AB156" i="12"/>
  <c r="Y156" i="12" s="1"/>
  <c r="BR155" i="12"/>
  <c r="BQ155" i="12"/>
  <c r="BP155" i="12"/>
  <c r="BO155" i="12"/>
  <c r="BN155" i="12"/>
  <c r="BM155" i="12"/>
  <c r="BL155" i="12"/>
  <c r="BK155" i="12"/>
  <c r="BJ155" i="12"/>
  <c r="BI155" i="12"/>
  <c r="BH155" i="12"/>
  <c r="BG155" i="12"/>
  <c r="BF155" i="12"/>
  <c r="BE155" i="12"/>
  <c r="BD155" i="12"/>
  <c r="BC155" i="12"/>
  <c r="BB155" i="12"/>
  <c r="BA155" i="12"/>
  <c r="AZ155" i="12"/>
  <c r="AY155" i="12"/>
  <c r="AW155" i="12"/>
  <c r="AV155" i="12"/>
  <c r="AT155" i="12"/>
  <c r="AS155" i="12"/>
  <c r="AR155" i="12"/>
  <c r="AQ155" i="12"/>
  <c r="AP155" i="12"/>
  <c r="AO155" i="12"/>
  <c r="AN155" i="12"/>
  <c r="AM155" i="12"/>
  <c r="AL155" i="12"/>
  <c r="AK155" i="12"/>
  <c r="AJ155" i="12"/>
  <c r="AH155" i="12"/>
  <c r="AG155" i="12"/>
  <c r="AE155" i="12"/>
  <c r="AD155" i="12"/>
  <c r="AC155" i="12"/>
  <c r="AA155" i="12"/>
  <c r="Z155" i="12"/>
  <c r="X155" i="12"/>
  <c r="W155" i="12"/>
  <c r="V155" i="12"/>
  <c r="U155" i="12"/>
  <c r="T155" i="12"/>
  <c r="S155" i="12"/>
  <c r="R155" i="12"/>
  <c r="Q155" i="12"/>
  <c r="P155" i="12"/>
  <c r="O155" i="12"/>
  <c r="N155" i="12"/>
  <c r="M155" i="12"/>
  <c r="AX154" i="12"/>
  <c r="AI154" i="12"/>
  <c r="AB154" i="12"/>
  <c r="Y154" i="12" s="1"/>
  <c r="AX153" i="12"/>
  <c r="AU153" i="12" s="1"/>
  <c r="AI153" i="12"/>
  <c r="AF153" i="12" s="1"/>
  <c r="AB153" i="12"/>
  <c r="Y153" i="12" s="1"/>
  <c r="BR152" i="12"/>
  <c r="BQ152" i="12"/>
  <c r="BP152" i="12"/>
  <c r="BO152" i="12"/>
  <c r="BN152" i="12"/>
  <c r="BM152" i="12"/>
  <c r="BL152" i="12"/>
  <c r="BK152" i="12"/>
  <c r="BJ152" i="12"/>
  <c r="BI152" i="12"/>
  <c r="BH152" i="12"/>
  <c r="BG152" i="12"/>
  <c r="BF152" i="12"/>
  <c r="BE152" i="12"/>
  <c r="BD152" i="12"/>
  <c r="BC152" i="12"/>
  <c r="BB152" i="12"/>
  <c r="BA152" i="12"/>
  <c r="AZ152" i="12"/>
  <c r="AY152" i="12"/>
  <c r="AW152" i="12"/>
  <c r="AV152" i="12"/>
  <c r="AT152" i="12"/>
  <c r="AS152" i="12"/>
  <c r="AR152" i="12"/>
  <c r="AQ152" i="12"/>
  <c r="AP152" i="12"/>
  <c r="AO152" i="12"/>
  <c r="AN152" i="12"/>
  <c r="AM152" i="12"/>
  <c r="AL152" i="12"/>
  <c r="AK152" i="12"/>
  <c r="AJ152" i="12"/>
  <c r="AH152" i="12"/>
  <c r="AG152" i="12"/>
  <c r="AE152" i="12"/>
  <c r="AD152" i="12"/>
  <c r="AC152" i="12"/>
  <c r="AA152" i="12"/>
  <c r="Z152" i="12"/>
  <c r="X152" i="12"/>
  <c r="W152" i="12"/>
  <c r="V152" i="12"/>
  <c r="U152" i="12"/>
  <c r="T152" i="12"/>
  <c r="S152" i="12"/>
  <c r="R152" i="12"/>
  <c r="Q152" i="12"/>
  <c r="P152" i="12"/>
  <c r="O152" i="12"/>
  <c r="N152" i="12"/>
  <c r="M152" i="12"/>
  <c r="AX151" i="12"/>
  <c r="AU151" i="12" s="1"/>
  <c r="AI151" i="12"/>
  <c r="AF151" i="12" s="1"/>
  <c r="AB151" i="12"/>
  <c r="Y151" i="12" s="1"/>
  <c r="AX150" i="12"/>
  <c r="AU150" i="12" s="1"/>
  <c r="AI150" i="12"/>
  <c r="AF150" i="12" s="1"/>
  <c r="AB150" i="12"/>
  <c r="Y150" i="12" s="1"/>
  <c r="AX149" i="12"/>
  <c r="AU149" i="12" s="1"/>
  <c r="AI149" i="12"/>
  <c r="AF149" i="12" s="1"/>
  <c r="AB149" i="12"/>
  <c r="Y149" i="12" s="1"/>
  <c r="AX148" i="12"/>
  <c r="AU148" i="12" s="1"/>
  <c r="AI148" i="12"/>
  <c r="AF148" i="12" s="1"/>
  <c r="AB148" i="12"/>
  <c r="Y148" i="12" s="1"/>
  <c r="AX147" i="12"/>
  <c r="AU147" i="12" s="1"/>
  <c r="AI147" i="12"/>
  <c r="AF147" i="12" s="1"/>
  <c r="AB147" i="12"/>
  <c r="Y147" i="12" s="1"/>
  <c r="AX146" i="12"/>
  <c r="AU146" i="12" s="1"/>
  <c r="AI146" i="12"/>
  <c r="AF146" i="12" s="1"/>
  <c r="AB146" i="12"/>
  <c r="Y146" i="12" s="1"/>
  <c r="AX145" i="12"/>
  <c r="AU145" i="12" s="1"/>
  <c r="AI145" i="12"/>
  <c r="AF145" i="12" s="1"/>
  <c r="AB145" i="12"/>
  <c r="Y145" i="12" s="1"/>
  <c r="AX144" i="12"/>
  <c r="AU144" i="12" s="1"/>
  <c r="AI144" i="12"/>
  <c r="AF144" i="12" s="1"/>
  <c r="AB144" i="12"/>
  <c r="Y144" i="12" s="1"/>
  <c r="AX143" i="12"/>
  <c r="AU143" i="12" s="1"/>
  <c r="AI143" i="12"/>
  <c r="AF143" i="12" s="1"/>
  <c r="AB143" i="12"/>
  <c r="Y143" i="12" s="1"/>
  <c r="AX142" i="12"/>
  <c r="AU142" i="12" s="1"/>
  <c r="AI142" i="12"/>
  <c r="AF142" i="12" s="1"/>
  <c r="AB142" i="12"/>
  <c r="Y142" i="12" s="1"/>
  <c r="AX141" i="12"/>
  <c r="AU141" i="12" s="1"/>
  <c r="AI141" i="12"/>
  <c r="AF141" i="12" s="1"/>
  <c r="AB141" i="12"/>
  <c r="Y141" i="12" s="1"/>
  <c r="AX140" i="12"/>
  <c r="AU140" i="12" s="1"/>
  <c r="AI140" i="12"/>
  <c r="AF140" i="12" s="1"/>
  <c r="AB140" i="12"/>
  <c r="Y140" i="12" s="1"/>
  <c r="AX139" i="12"/>
  <c r="AU139" i="12" s="1"/>
  <c r="AI139" i="12"/>
  <c r="AF139" i="12" s="1"/>
  <c r="AB139" i="12"/>
  <c r="Y139" i="12" s="1"/>
  <c r="AX138" i="12"/>
  <c r="AU138" i="12" s="1"/>
  <c r="AI138" i="12"/>
  <c r="AF138" i="12" s="1"/>
  <c r="AB138" i="12"/>
  <c r="Y138" i="12" s="1"/>
  <c r="AX137" i="12"/>
  <c r="AU137" i="12" s="1"/>
  <c r="AI137" i="12"/>
  <c r="AF137" i="12" s="1"/>
  <c r="AB137" i="12"/>
  <c r="Y137" i="12" s="1"/>
  <c r="AX136" i="12"/>
  <c r="AI136" i="12"/>
  <c r="AF136" i="12" s="1"/>
  <c r="AB136" i="12"/>
  <c r="Y136" i="12" s="1"/>
  <c r="AX135" i="12"/>
  <c r="AU135" i="12" s="1"/>
  <c r="AI135" i="12"/>
  <c r="AB135" i="12"/>
  <c r="BR134" i="12"/>
  <c r="BQ134" i="12"/>
  <c r="BP134" i="12"/>
  <c r="BO134" i="12"/>
  <c r="BN134" i="12"/>
  <c r="BM134" i="12"/>
  <c r="BL134" i="12"/>
  <c r="BK134" i="12"/>
  <c r="BJ134" i="12"/>
  <c r="BI134" i="12"/>
  <c r="BH134" i="12"/>
  <c r="BG134" i="12"/>
  <c r="BF134" i="12"/>
  <c r="BE134" i="12"/>
  <c r="BD134" i="12"/>
  <c r="BC134" i="12"/>
  <c r="BB134" i="12"/>
  <c r="BA134" i="12"/>
  <c r="AZ134" i="12"/>
  <c r="AY134" i="12"/>
  <c r="AW134" i="12"/>
  <c r="AV134" i="12"/>
  <c r="AT134" i="12"/>
  <c r="AS134" i="12"/>
  <c r="AR134" i="12"/>
  <c r="AQ134" i="12"/>
  <c r="AP134" i="12"/>
  <c r="AO134" i="12"/>
  <c r="AN134" i="12"/>
  <c r="AM134" i="12"/>
  <c r="AL134" i="12"/>
  <c r="AK134" i="12"/>
  <c r="AJ134" i="12"/>
  <c r="AH134" i="12"/>
  <c r="AG134" i="12"/>
  <c r="AE134" i="12"/>
  <c r="AD134" i="12"/>
  <c r="AC134" i="12"/>
  <c r="AA134" i="12"/>
  <c r="Z134" i="12"/>
  <c r="X134" i="12"/>
  <c r="W134" i="12"/>
  <c r="V134" i="12"/>
  <c r="U134" i="12"/>
  <c r="Q134" i="12"/>
  <c r="P134" i="12"/>
  <c r="O134" i="12"/>
  <c r="N134" i="12"/>
  <c r="M134" i="12"/>
  <c r="AX132" i="12"/>
  <c r="AU132" i="12" s="1"/>
  <c r="AU131" i="12" s="1"/>
  <c r="AI132" i="12"/>
  <c r="AF132" i="12" s="1"/>
  <c r="AF131" i="12" s="1"/>
  <c r="AB132" i="12"/>
  <c r="AB131" i="12" s="1"/>
  <c r="BR131" i="12"/>
  <c r="BR15" i="12" s="1"/>
  <c r="BQ131" i="12"/>
  <c r="BQ15" i="12" s="1"/>
  <c r="BP131" i="12"/>
  <c r="BP15" i="12" s="1"/>
  <c r="BO131" i="12"/>
  <c r="BO15" i="12" s="1"/>
  <c r="BN131" i="12"/>
  <c r="BN15" i="12" s="1"/>
  <c r="BM131" i="12"/>
  <c r="BM15" i="12" s="1"/>
  <c r="BL131" i="12"/>
  <c r="BL15" i="12" s="1"/>
  <c r="BK131" i="12"/>
  <c r="BK15" i="12" s="1"/>
  <c r="BJ131" i="12"/>
  <c r="BJ15" i="12" s="1"/>
  <c r="BI131" i="12"/>
  <c r="BI15" i="12" s="1"/>
  <c r="BH131" i="12"/>
  <c r="BH15" i="12" s="1"/>
  <c r="BG131" i="12"/>
  <c r="BG15" i="12" s="1"/>
  <c r="BF131" i="12"/>
  <c r="BF15" i="12" s="1"/>
  <c r="BE131" i="12"/>
  <c r="BE15" i="12" s="1"/>
  <c r="BD131" i="12"/>
  <c r="BD15" i="12" s="1"/>
  <c r="BC131" i="12"/>
  <c r="BC15" i="12" s="1"/>
  <c r="BB131" i="12"/>
  <c r="BB15" i="12" s="1"/>
  <c r="BA131" i="12"/>
  <c r="AZ131" i="12"/>
  <c r="AY131" i="12"/>
  <c r="AW131" i="12"/>
  <c r="AV131" i="12"/>
  <c r="AT131" i="12"/>
  <c r="AS131" i="12"/>
  <c r="AR131" i="12"/>
  <c r="AQ131" i="12"/>
  <c r="AP131" i="12"/>
  <c r="AO131" i="12"/>
  <c r="AN131" i="12"/>
  <c r="AM131" i="12"/>
  <c r="AL131" i="12"/>
  <c r="AK131" i="12"/>
  <c r="AJ131" i="12"/>
  <c r="AH131" i="12"/>
  <c r="AG131" i="12"/>
  <c r="AE131" i="12"/>
  <c r="AD131" i="12"/>
  <c r="AC131" i="12"/>
  <c r="AA131" i="12"/>
  <c r="Z131" i="12"/>
  <c r="X131" i="12"/>
  <c r="W131" i="12"/>
  <c r="V131" i="12"/>
  <c r="U131" i="12"/>
  <c r="T131" i="12"/>
  <c r="S131" i="12"/>
  <c r="R131" i="12"/>
  <c r="Q131" i="12"/>
  <c r="P131" i="12"/>
  <c r="O131" i="12"/>
  <c r="N131" i="12"/>
  <c r="M131" i="12"/>
  <c r="H131" i="12"/>
  <c r="AX130" i="12"/>
  <c r="AU130" i="12" s="1"/>
  <c r="AI130" i="12"/>
  <c r="AF130" i="12" s="1"/>
  <c r="AB130" i="12"/>
  <c r="Y130" i="12" s="1"/>
  <c r="AX129" i="12"/>
  <c r="AU129" i="12" s="1"/>
  <c r="AI129" i="12"/>
  <c r="AF129" i="12" s="1"/>
  <c r="AB129" i="12"/>
  <c r="Y129" i="12" s="1"/>
  <c r="AX128" i="12"/>
  <c r="AU128" i="12" s="1"/>
  <c r="AI128" i="12"/>
  <c r="AF128" i="12" s="1"/>
  <c r="AB128" i="12"/>
  <c r="Y128" i="12" s="1"/>
  <c r="AX127" i="12"/>
  <c r="AU127" i="12" s="1"/>
  <c r="AI127" i="12"/>
  <c r="AF127" i="12" s="1"/>
  <c r="AB127" i="12"/>
  <c r="Y127" i="12" s="1"/>
  <c r="AX126" i="12"/>
  <c r="AU126" i="12" s="1"/>
  <c r="AI126" i="12"/>
  <c r="AF126" i="12" s="1"/>
  <c r="AB126" i="12"/>
  <c r="Y126" i="12" s="1"/>
  <c r="AX125" i="12"/>
  <c r="AU125" i="12" s="1"/>
  <c r="AI125" i="12"/>
  <c r="AF125" i="12" s="1"/>
  <c r="AB125" i="12"/>
  <c r="Y125" i="12" s="1"/>
  <c r="AX124" i="12"/>
  <c r="AU124" i="12" s="1"/>
  <c r="AI124" i="12"/>
  <c r="AF124" i="12" s="1"/>
  <c r="AB124" i="12"/>
  <c r="Y124" i="12" s="1"/>
  <c r="AX123" i="12"/>
  <c r="AU123" i="12" s="1"/>
  <c r="AI123" i="12"/>
  <c r="AF123" i="12" s="1"/>
  <c r="AB123" i="12"/>
  <c r="Y123" i="12" s="1"/>
  <c r="AX122" i="12"/>
  <c r="AU122" i="12" s="1"/>
  <c r="AI122" i="12"/>
  <c r="AF122" i="12" s="1"/>
  <c r="AB122" i="12"/>
  <c r="Y122" i="12" s="1"/>
  <c r="AX121" i="12"/>
  <c r="AU121" i="12" s="1"/>
  <c r="AI121" i="12"/>
  <c r="AF121" i="12" s="1"/>
  <c r="AB121" i="12"/>
  <c r="Y121" i="12" s="1"/>
  <c r="AX120" i="12"/>
  <c r="AU120" i="12" s="1"/>
  <c r="AI120" i="12"/>
  <c r="AF120" i="12" s="1"/>
  <c r="AB120" i="12"/>
  <c r="Y120" i="12" s="1"/>
  <c r="AX119" i="12"/>
  <c r="AU119" i="12" s="1"/>
  <c r="AI119" i="12"/>
  <c r="AF119" i="12" s="1"/>
  <c r="AB119" i="12"/>
  <c r="Y119" i="12" s="1"/>
  <c r="AX118" i="12"/>
  <c r="AU118" i="12" s="1"/>
  <c r="AI118" i="12"/>
  <c r="AF118" i="12" s="1"/>
  <c r="AB118" i="12"/>
  <c r="Y118" i="12" s="1"/>
  <c r="AX117" i="12"/>
  <c r="AU117" i="12" s="1"/>
  <c r="AI117" i="12"/>
  <c r="AF117" i="12" s="1"/>
  <c r="AB117" i="12"/>
  <c r="Y117" i="12" s="1"/>
  <c r="AX116" i="12"/>
  <c r="AU116" i="12" s="1"/>
  <c r="AI116" i="12"/>
  <c r="AF116" i="12" s="1"/>
  <c r="AB116" i="12"/>
  <c r="Y116" i="12" s="1"/>
  <c r="AX115" i="12"/>
  <c r="AU115" i="12" s="1"/>
  <c r="AI115" i="12"/>
  <c r="AF115" i="12" s="1"/>
  <c r="AB115" i="12"/>
  <c r="Y115" i="12" s="1"/>
  <c r="AX114" i="12"/>
  <c r="AU114" i="12" s="1"/>
  <c r="AI114" i="12"/>
  <c r="AF114" i="12" s="1"/>
  <c r="AB114" i="12"/>
  <c r="Y114" i="12" s="1"/>
  <c r="AX113" i="12"/>
  <c r="AU113" i="12" s="1"/>
  <c r="AI113" i="12"/>
  <c r="AF113" i="12" s="1"/>
  <c r="AB113" i="12"/>
  <c r="Y113" i="12" s="1"/>
  <c r="AX112" i="12"/>
  <c r="AU112" i="12" s="1"/>
  <c r="AI112" i="12"/>
  <c r="AF112" i="12" s="1"/>
  <c r="AB112" i="12"/>
  <c r="Y112" i="12" s="1"/>
  <c r="AX111" i="12"/>
  <c r="AU111" i="12" s="1"/>
  <c r="AI111" i="12"/>
  <c r="AF111" i="12" s="1"/>
  <c r="AB111" i="12"/>
  <c r="Y111" i="12" s="1"/>
  <c r="AX110" i="12"/>
  <c r="AU110" i="12" s="1"/>
  <c r="AI110" i="12"/>
  <c r="AF110" i="12" s="1"/>
  <c r="AB110" i="12"/>
  <c r="Y110" i="12" s="1"/>
  <c r="AX109" i="12"/>
  <c r="AU109" i="12" s="1"/>
  <c r="AI109" i="12"/>
  <c r="AF109" i="12" s="1"/>
  <c r="AB109" i="12"/>
  <c r="Y109" i="12" s="1"/>
  <c r="AX108" i="12"/>
  <c r="AU108" i="12" s="1"/>
  <c r="AI108" i="12"/>
  <c r="AF108" i="12" s="1"/>
  <c r="AB108" i="12"/>
  <c r="Y108" i="12" s="1"/>
  <c r="AX107" i="12"/>
  <c r="AU107" i="12" s="1"/>
  <c r="AI107" i="12"/>
  <c r="AF107" i="12" s="1"/>
  <c r="AB107" i="12"/>
  <c r="Y107" i="12" s="1"/>
  <c r="AX106" i="12"/>
  <c r="AU106" i="12" s="1"/>
  <c r="AI106" i="12"/>
  <c r="AF106" i="12" s="1"/>
  <c r="AB106" i="12"/>
  <c r="Y106" i="12" s="1"/>
  <c r="AX105" i="12"/>
  <c r="AU105" i="12" s="1"/>
  <c r="AI105" i="12"/>
  <c r="AF105" i="12" s="1"/>
  <c r="AB105" i="12"/>
  <c r="Y105" i="12" s="1"/>
  <c r="AX104" i="12"/>
  <c r="AU104" i="12" s="1"/>
  <c r="AI104" i="12"/>
  <c r="AF104" i="12" s="1"/>
  <c r="AB104" i="12"/>
  <c r="Y104" i="12" s="1"/>
  <c r="AX103" i="12"/>
  <c r="AU103" i="12" s="1"/>
  <c r="AI103" i="12"/>
  <c r="AF103" i="12" s="1"/>
  <c r="AB103" i="12"/>
  <c r="Y103" i="12" s="1"/>
  <c r="AX102" i="12"/>
  <c r="AU102" i="12" s="1"/>
  <c r="AI102" i="12"/>
  <c r="AF102" i="12" s="1"/>
  <c r="AB102" i="12"/>
  <c r="Y102" i="12" s="1"/>
  <c r="AX101" i="12"/>
  <c r="AU101" i="12" s="1"/>
  <c r="AI101" i="12"/>
  <c r="AF101" i="12" s="1"/>
  <c r="AB101" i="12"/>
  <c r="Y101" i="12" s="1"/>
  <c r="AX100" i="12"/>
  <c r="AU100" i="12" s="1"/>
  <c r="AI100" i="12"/>
  <c r="AF100" i="12" s="1"/>
  <c r="AB100" i="12"/>
  <c r="Y100" i="12" s="1"/>
  <c r="AX99" i="12"/>
  <c r="AU99" i="12" s="1"/>
  <c r="AI99" i="12"/>
  <c r="AF99" i="12" s="1"/>
  <c r="AB99" i="12"/>
  <c r="Y99" i="12" s="1"/>
  <c r="AX98" i="12"/>
  <c r="AU98" i="12" s="1"/>
  <c r="AI98" i="12"/>
  <c r="AF98" i="12" s="1"/>
  <c r="AB98" i="12"/>
  <c r="Y98" i="12" s="1"/>
  <c r="AX97" i="12"/>
  <c r="AU97" i="12" s="1"/>
  <c r="AI97" i="12"/>
  <c r="AF97" i="12" s="1"/>
  <c r="AB97" i="12"/>
  <c r="Y97" i="12" s="1"/>
  <c r="AX96" i="12"/>
  <c r="AU96" i="12" s="1"/>
  <c r="AI96" i="12"/>
  <c r="AF96" i="12" s="1"/>
  <c r="AB96" i="12"/>
  <c r="Y96" i="12" s="1"/>
  <c r="AX95" i="12"/>
  <c r="AU95" i="12" s="1"/>
  <c r="AI95" i="12"/>
  <c r="AF95" i="12" s="1"/>
  <c r="AB95" i="12"/>
  <c r="Y95" i="12" s="1"/>
  <c r="AX94" i="12"/>
  <c r="AU94" i="12" s="1"/>
  <c r="AI94" i="12"/>
  <c r="AF94" i="12" s="1"/>
  <c r="AB94" i="12"/>
  <c r="Y94" i="12" s="1"/>
  <c r="AX93" i="12"/>
  <c r="AU93" i="12" s="1"/>
  <c r="AI93" i="12"/>
  <c r="AF93" i="12" s="1"/>
  <c r="AB93" i="12"/>
  <c r="Y93" i="12" s="1"/>
  <c r="AX92" i="12"/>
  <c r="AU92" i="12" s="1"/>
  <c r="AI92" i="12"/>
  <c r="AF92" i="12" s="1"/>
  <c r="AB92" i="12"/>
  <c r="Y92" i="12" s="1"/>
  <c r="AX91" i="12"/>
  <c r="AU91" i="12" s="1"/>
  <c r="AI91" i="12"/>
  <c r="AF91" i="12" s="1"/>
  <c r="AB91" i="12"/>
  <c r="Y91" i="12" s="1"/>
  <c r="AX90" i="12"/>
  <c r="AU90" i="12" s="1"/>
  <c r="AI90" i="12"/>
  <c r="AF90" i="12" s="1"/>
  <c r="AB90" i="12"/>
  <c r="Y90" i="12" s="1"/>
  <c r="AX89" i="12"/>
  <c r="AU89" i="12" s="1"/>
  <c r="AI89" i="12"/>
  <c r="AF89" i="12" s="1"/>
  <c r="AB89" i="12"/>
  <c r="Y89" i="12" s="1"/>
  <c r="AX88" i="12"/>
  <c r="AU88" i="12" s="1"/>
  <c r="AI88" i="12"/>
  <c r="AF88" i="12" s="1"/>
  <c r="AB88" i="12"/>
  <c r="Y88" i="12" s="1"/>
  <c r="AX87" i="12"/>
  <c r="AU87" i="12" s="1"/>
  <c r="AI87" i="12"/>
  <c r="AF87" i="12" s="1"/>
  <c r="AB87" i="12"/>
  <c r="Y87" i="12" s="1"/>
  <c r="AX86" i="12"/>
  <c r="AU86" i="12" s="1"/>
  <c r="AI86" i="12"/>
  <c r="AF86" i="12" s="1"/>
  <c r="AB86" i="12"/>
  <c r="Y86" i="12" s="1"/>
  <c r="AX85" i="12"/>
  <c r="AU85" i="12" s="1"/>
  <c r="AI85" i="12"/>
  <c r="AF85" i="12" s="1"/>
  <c r="AB85" i="12"/>
  <c r="Y85" i="12" s="1"/>
  <c r="AX84" i="12"/>
  <c r="AU84" i="12" s="1"/>
  <c r="AI84" i="12"/>
  <c r="AF84" i="12" s="1"/>
  <c r="AB84" i="12"/>
  <c r="Y84" i="12" s="1"/>
  <c r="AX83" i="12"/>
  <c r="AU83" i="12" s="1"/>
  <c r="AI83" i="12"/>
  <c r="AF83" i="12" s="1"/>
  <c r="AB83" i="12"/>
  <c r="Y83" i="12" s="1"/>
  <c r="AX82" i="12"/>
  <c r="AU82" i="12" s="1"/>
  <c r="AI82" i="12"/>
  <c r="AF82" i="12" s="1"/>
  <c r="AB82" i="12"/>
  <c r="Y82" i="12" s="1"/>
  <c r="AX81" i="12"/>
  <c r="AU81" i="12" s="1"/>
  <c r="AI81" i="12"/>
  <c r="AF81" i="12" s="1"/>
  <c r="AB81" i="12"/>
  <c r="Y81" i="12" s="1"/>
  <c r="AX80" i="12"/>
  <c r="AU80" i="12" s="1"/>
  <c r="AI80" i="12"/>
  <c r="AF80" i="12" s="1"/>
  <c r="AB80" i="12"/>
  <c r="Y80" i="12" s="1"/>
  <c r="AX79" i="12"/>
  <c r="AU79" i="12" s="1"/>
  <c r="AI79" i="12"/>
  <c r="AF79" i="12" s="1"/>
  <c r="AB79" i="12"/>
  <c r="Y79" i="12" s="1"/>
  <c r="AX78" i="12"/>
  <c r="AU78" i="12" s="1"/>
  <c r="AI78" i="12"/>
  <c r="AF78" i="12" s="1"/>
  <c r="AB78" i="12"/>
  <c r="Y78" i="12" s="1"/>
  <c r="AX77" i="12"/>
  <c r="AU77" i="12" s="1"/>
  <c r="AI77" i="12"/>
  <c r="AF77" i="12" s="1"/>
  <c r="AB77" i="12"/>
  <c r="Y77" i="12" s="1"/>
  <c r="AX76" i="12"/>
  <c r="AU76" i="12" s="1"/>
  <c r="AI76" i="12"/>
  <c r="AF76" i="12" s="1"/>
  <c r="AB76" i="12"/>
  <c r="Y76" i="12" s="1"/>
  <c r="AX75" i="12"/>
  <c r="AU75" i="12" s="1"/>
  <c r="AI75" i="12"/>
  <c r="AF75" i="12" s="1"/>
  <c r="AB75" i="12"/>
  <c r="Y75" i="12" s="1"/>
  <c r="AX74" i="12"/>
  <c r="AU74" i="12" s="1"/>
  <c r="AI74" i="12"/>
  <c r="AF74" i="12" s="1"/>
  <c r="AB74" i="12"/>
  <c r="Y74" i="12" s="1"/>
  <c r="AX73" i="12"/>
  <c r="AU73" i="12" s="1"/>
  <c r="AI73" i="12"/>
  <c r="AF73" i="12" s="1"/>
  <c r="AB73" i="12"/>
  <c r="Y73" i="12" s="1"/>
  <c r="AX72" i="12"/>
  <c r="AU72" i="12" s="1"/>
  <c r="AI72" i="12"/>
  <c r="AF72" i="12" s="1"/>
  <c r="AB72" i="12"/>
  <c r="Y72" i="12" s="1"/>
  <c r="AX71" i="12"/>
  <c r="AU71" i="12" s="1"/>
  <c r="AI71" i="12"/>
  <c r="AF71" i="12" s="1"/>
  <c r="AB71" i="12"/>
  <c r="Y71" i="12" s="1"/>
  <c r="AX70" i="12"/>
  <c r="AU70" i="12" s="1"/>
  <c r="AI70" i="12"/>
  <c r="AF70" i="12" s="1"/>
  <c r="AB70" i="12"/>
  <c r="Y70" i="12" s="1"/>
  <c r="AX69" i="12"/>
  <c r="AU69" i="12" s="1"/>
  <c r="AI69" i="12"/>
  <c r="AF69" i="12" s="1"/>
  <c r="AB69" i="12"/>
  <c r="Y69" i="12" s="1"/>
  <c r="AX68" i="12"/>
  <c r="AU68" i="12" s="1"/>
  <c r="AI68" i="12"/>
  <c r="AF68" i="12" s="1"/>
  <c r="AB68" i="12"/>
  <c r="Y68" i="12" s="1"/>
  <c r="AX67" i="12"/>
  <c r="AU67" i="12" s="1"/>
  <c r="AI67" i="12"/>
  <c r="AF67" i="12" s="1"/>
  <c r="AB67" i="12"/>
  <c r="Y67" i="12" s="1"/>
  <c r="AX66" i="12"/>
  <c r="AU66" i="12" s="1"/>
  <c r="AI66" i="12"/>
  <c r="AF66" i="12" s="1"/>
  <c r="AB66" i="12"/>
  <c r="Y66" i="12" s="1"/>
  <c r="AX65" i="12"/>
  <c r="AU65" i="12" s="1"/>
  <c r="AI65" i="12"/>
  <c r="AF65" i="12" s="1"/>
  <c r="AB65" i="12"/>
  <c r="Y65" i="12" s="1"/>
  <c r="AX64" i="12"/>
  <c r="AU64" i="12" s="1"/>
  <c r="AI64" i="12"/>
  <c r="AF64" i="12" s="1"/>
  <c r="AB64" i="12"/>
  <c r="Y64" i="12" s="1"/>
  <c r="AX63" i="12"/>
  <c r="AU63" i="12" s="1"/>
  <c r="AI63" i="12"/>
  <c r="AF63" i="12" s="1"/>
  <c r="AB63" i="12"/>
  <c r="Y63" i="12" s="1"/>
  <c r="AX62" i="12"/>
  <c r="AU62" i="12" s="1"/>
  <c r="AI62" i="12"/>
  <c r="AF62" i="12" s="1"/>
  <c r="AB62" i="12"/>
  <c r="Y62" i="12" s="1"/>
  <c r="AX61" i="12"/>
  <c r="AU61" i="12" s="1"/>
  <c r="AI61" i="12"/>
  <c r="AF61" i="12" s="1"/>
  <c r="AB61" i="12"/>
  <c r="Y61" i="12" s="1"/>
  <c r="AX60" i="12"/>
  <c r="AU60" i="12" s="1"/>
  <c r="AI60" i="12"/>
  <c r="AF60" i="12" s="1"/>
  <c r="AB60" i="12"/>
  <c r="Y60" i="12" s="1"/>
  <c r="AX59" i="12"/>
  <c r="AU59" i="12" s="1"/>
  <c r="AI59" i="12"/>
  <c r="AF59" i="12" s="1"/>
  <c r="AB59" i="12"/>
  <c r="Y59" i="12" s="1"/>
  <c r="AX58" i="12"/>
  <c r="AU58" i="12" s="1"/>
  <c r="AI58" i="12"/>
  <c r="AF58" i="12" s="1"/>
  <c r="AB58" i="12"/>
  <c r="Y58" i="12" s="1"/>
  <c r="AX57" i="12"/>
  <c r="AU57" i="12" s="1"/>
  <c r="AI57" i="12"/>
  <c r="AF57" i="12" s="1"/>
  <c r="AB57" i="12"/>
  <c r="Y57" i="12" s="1"/>
  <c r="AX56" i="12"/>
  <c r="AU56" i="12" s="1"/>
  <c r="AI56" i="12"/>
  <c r="AF56" i="12" s="1"/>
  <c r="AB56" i="12"/>
  <c r="Y56" i="12" s="1"/>
  <c r="AX55" i="12"/>
  <c r="AU55" i="12" s="1"/>
  <c r="AI55" i="12"/>
  <c r="AF55" i="12" s="1"/>
  <c r="AB55" i="12"/>
  <c r="AX54" i="12"/>
  <c r="AU54" i="12" s="1"/>
  <c r="AI54" i="12"/>
  <c r="AF54" i="12" s="1"/>
  <c r="AB54" i="12"/>
  <c r="Y54" i="12" s="1"/>
  <c r="AX53" i="12"/>
  <c r="AI53" i="12"/>
  <c r="AB53" i="12"/>
  <c r="Y53" i="12" s="1"/>
  <c r="BA52" i="12"/>
  <c r="AZ52" i="12"/>
  <c r="AY52" i="12"/>
  <c r="AW52" i="12"/>
  <c r="AV52" i="12"/>
  <c r="AT52" i="12"/>
  <c r="AS52" i="12"/>
  <c r="AR52" i="12"/>
  <c r="AQ52" i="12"/>
  <c r="AP52" i="12"/>
  <c r="AO52" i="12"/>
  <c r="AN52" i="12"/>
  <c r="AM52" i="12"/>
  <c r="AL52" i="12"/>
  <c r="AK52" i="12"/>
  <c r="AJ52" i="12"/>
  <c r="AH52" i="12"/>
  <c r="AG52" i="12"/>
  <c r="AE52" i="12"/>
  <c r="AD52" i="12"/>
  <c r="AC52" i="12"/>
  <c r="AA52" i="12"/>
  <c r="Z52" i="12"/>
  <c r="X52" i="12"/>
  <c r="W52" i="12"/>
  <c r="V52" i="12"/>
  <c r="U52" i="12"/>
  <c r="T52" i="12"/>
  <c r="S52" i="12"/>
  <c r="R52" i="12"/>
  <c r="Q52" i="12"/>
  <c r="P52" i="12"/>
  <c r="O52" i="12"/>
  <c r="N52" i="12"/>
  <c r="M52" i="12"/>
  <c r="AX51" i="12"/>
  <c r="AU51" i="12" s="1"/>
  <c r="AI51" i="12"/>
  <c r="AF51" i="12" s="1"/>
  <c r="AB51" i="12"/>
  <c r="Y51" i="12" s="1"/>
  <c r="AX50" i="12"/>
  <c r="AU50" i="12" s="1"/>
  <c r="AI50" i="12"/>
  <c r="AF50" i="12" s="1"/>
  <c r="AB50" i="12"/>
  <c r="Y50" i="12" s="1"/>
  <c r="AX49" i="12"/>
  <c r="AU49" i="12" s="1"/>
  <c r="AI49" i="12"/>
  <c r="AF49" i="12" s="1"/>
  <c r="AB49" i="12"/>
  <c r="Y49" i="12" s="1"/>
  <c r="AX48" i="12"/>
  <c r="AU48" i="12" s="1"/>
  <c r="AI48" i="12"/>
  <c r="AF48" i="12" s="1"/>
  <c r="AB48" i="12"/>
  <c r="Y48" i="12" s="1"/>
  <c r="AX47" i="12"/>
  <c r="AU47" i="12" s="1"/>
  <c r="AI47" i="12"/>
  <c r="AF47" i="12" s="1"/>
  <c r="AD47" i="12"/>
  <c r="AB47" i="12" s="1"/>
  <c r="Y47" i="12" s="1"/>
  <c r="AX46" i="12"/>
  <c r="AU46" i="12" s="1"/>
  <c r="AI46" i="12"/>
  <c r="AF46" i="12" s="1"/>
  <c r="AB46" i="12"/>
  <c r="Y46" i="12" s="1"/>
  <c r="AX45" i="12"/>
  <c r="AU45" i="12" s="1"/>
  <c r="AI45" i="12"/>
  <c r="AB45" i="12"/>
  <c r="Y45" i="12" s="1"/>
  <c r="AX44" i="12"/>
  <c r="AU44" i="12" s="1"/>
  <c r="AI44" i="12"/>
  <c r="AF44" i="12" s="1"/>
  <c r="AB44" i="12"/>
  <c r="Y44" i="12" s="1"/>
  <c r="AX43" i="12"/>
  <c r="AI43" i="12"/>
  <c r="AF43" i="12" s="1"/>
  <c r="AB43" i="12"/>
  <c r="Y43" i="12" s="1"/>
  <c r="AX42" i="12"/>
  <c r="AU42" i="12" s="1"/>
  <c r="AI42" i="12"/>
  <c r="AF42" i="12" s="1"/>
  <c r="AB42" i="12"/>
  <c r="Y42" i="12" s="1"/>
  <c r="AX41" i="12"/>
  <c r="AU41" i="12" s="1"/>
  <c r="AK41" i="12"/>
  <c r="AI41" i="12" s="1"/>
  <c r="AF41" i="12" s="1"/>
  <c r="AD41" i="12"/>
  <c r="AB41" i="12" s="1"/>
  <c r="Y41" i="12" s="1"/>
  <c r="AX40" i="12"/>
  <c r="AU40" i="12" s="1"/>
  <c r="AI40" i="12"/>
  <c r="AF40" i="12" s="1"/>
  <c r="AB40" i="12"/>
  <c r="Y40" i="12" s="1"/>
  <c r="BA39" i="12"/>
  <c r="AZ39" i="12"/>
  <c r="AY39" i="12"/>
  <c r="AW39" i="12"/>
  <c r="AV39" i="12"/>
  <c r="AT39" i="12"/>
  <c r="AS39" i="12"/>
  <c r="AR39" i="12"/>
  <c r="AQ39" i="12"/>
  <c r="AP39" i="12"/>
  <c r="AO39" i="12"/>
  <c r="AN39" i="12"/>
  <c r="AM39" i="12"/>
  <c r="AL39" i="12"/>
  <c r="AJ39" i="12"/>
  <c r="AH39" i="12"/>
  <c r="AG39" i="12"/>
  <c r="AE39" i="12"/>
  <c r="AC39" i="12"/>
  <c r="AA39" i="12"/>
  <c r="Z39" i="12"/>
  <c r="X39" i="12"/>
  <c r="W39" i="12"/>
  <c r="V39" i="12"/>
  <c r="U39" i="12"/>
  <c r="T39" i="12"/>
  <c r="S39" i="12"/>
  <c r="R39" i="12"/>
  <c r="Q39" i="12"/>
  <c r="P39" i="12"/>
  <c r="O39" i="12"/>
  <c r="N39" i="12"/>
  <c r="M39" i="12"/>
  <c r="AX38" i="12"/>
  <c r="AU38" i="12" s="1"/>
  <c r="AI38" i="12"/>
  <c r="AF38" i="12" s="1"/>
  <c r="AB38" i="12"/>
  <c r="Y38" i="12" s="1"/>
  <c r="AX37" i="12"/>
  <c r="AU37" i="12" s="1"/>
  <c r="AI37" i="12"/>
  <c r="AF37" i="12" s="1"/>
  <c r="AB37" i="12"/>
  <c r="Y37" i="12" s="1"/>
  <c r="AX36" i="12"/>
  <c r="AU36" i="12" s="1"/>
  <c r="AI36" i="12"/>
  <c r="AF36" i="12" s="1"/>
  <c r="AB36" i="12"/>
  <c r="Y36" i="12" s="1"/>
  <c r="AX35" i="12"/>
  <c r="AU35" i="12" s="1"/>
  <c r="AI35" i="12"/>
  <c r="AF35" i="12" s="1"/>
  <c r="AB35" i="12"/>
  <c r="Y35" i="12" s="1"/>
  <c r="AX34" i="12"/>
  <c r="AU34" i="12" s="1"/>
  <c r="AI34" i="12"/>
  <c r="AF34" i="12" s="1"/>
  <c r="AB34" i="12"/>
  <c r="Y34" i="12" s="1"/>
  <c r="AX33" i="12"/>
  <c r="AU33" i="12" s="1"/>
  <c r="AI33" i="12"/>
  <c r="AF33" i="12" s="1"/>
  <c r="AB33" i="12"/>
  <c r="Y33" i="12" s="1"/>
  <c r="AX32" i="12"/>
  <c r="AU32" i="12" s="1"/>
  <c r="AI32" i="12"/>
  <c r="AF32" i="12" s="1"/>
  <c r="AB32" i="12"/>
  <c r="Y32" i="12" s="1"/>
  <c r="AX31" i="12"/>
  <c r="AU31" i="12" s="1"/>
  <c r="AI31" i="12"/>
  <c r="AF31" i="12" s="1"/>
  <c r="AB31" i="12"/>
  <c r="Y31" i="12" s="1"/>
  <c r="AX30" i="12"/>
  <c r="AU30" i="12" s="1"/>
  <c r="AI30" i="12"/>
  <c r="AF30" i="12" s="1"/>
  <c r="AB30" i="12"/>
  <c r="Y30" i="12" s="1"/>
  <c r="AX29" i="12"/>
  <c r="AU29" i="12" s="1"/>
  <c r="AI29" i="12"/>
  <c r="AF29" i="12" s="1"/>
  <c r="AB29" i="12"/>
  <c r="Y29" i="12" s="1"/>
  <c r="AX28" i="12"/>
  <c r="AU28" i="12" s="1"/>
  <c r="AI28" i="12"/>
  <c r="AF28" i="12" s="1"/>
  <c r="AB28" i="12"/>
  <c r="Y28" i="12" s="1"/>
  <c r="AX27" i="12"/>
  <c r="AU27" i="12" s="1"/>
  <c r="AI27" i="12"/>
  <c r="AF27" i="12" s="1"/>
  <c r="AB27" i="12"/>
  <c r="Y27" i="12" s="1"/>
  <c r="AX26" i="12"/>
  <c r="AU26" i="12" s="1"/>
  <c r="AI26" i="12"/>
  <c r="AF26" i="12" s="1"/>
  <c r="AB26" i="12"/>
  <c r="Y26" i="12" s="1"/>
  <c r="AX25" i="12"/>
  <c r="AU25" i="12" s="1"/>
  <c r="AI25" i="12"/>
  <c r="AF25" i="12" s="1"/>
  <c r="AB25" i="12"/>
  <c r="Y25" i="12" s="1"/>
  <c r="AX24" i="12"/>
  <c r="AU24" i="12" s="1"/>
  <c r="AI24" i="12"/>
  <c r="AF24" i="12" s="1"/>
  <c r="AB24" i="12"/>
  <c r="Y24" i="12" s="1"/>
  <c r="AX23" i="12"/>
  <c r="AU23" i="12" s="1"/>
  <c r="AI23" i="12"/>
  <c r="AF23" i="12" s="1"/>
  <c r="AB23" i="12"/>
  <c r="Y23" i="12" s="1"/>
  <c r="AX22" i="12"/>
  <c r="AU22" i="12" s="1"/>
  <c r="AI22" i="12"/>
  <c r="AF22" i="12" s="1"/>
  <c r="AB22" i="12"/>
  <c r="Y22" i="12" s="1"/>
  <c r="AX21" i="12"/>
  <c r="AU21" i="12" s="1"/>
  <c r="AI21" i="12"/>
  <c r="AF21" i="12" s="1"/>
  <c r="AB21" i="12"/>
  <c r="Y21" i="12" s="1"/>
  <c r="AX20" i="12"/>
  <c r="AU20" i="12" s="1"/>
  <c r="AI20" i="12"/>
  <c r="AF20" i="12" s="1"/>
  <c r="AB20" i="12"/>
  <c r="Y20" i="12" s="1"/>
  <c r="AX19" i="12"/>
  <c r="AU19" i="12" s="1"/>
  <c r="AI19" i="12"/>
  <c r="AF19" i="12" s="1"/>
  <c r="AB19" i="12"/>
  <c r="Y19" i="12" s="1"/>
  <c r="AX18" i="12"/>
  <c r="AU18" i="12" s="1"/>
  <c r="AI18" i="12"/>
  <c r="AF18" i="12" s="1"/>
  <c r="AB18" i="12"/>
  <c r="Y18" i="12" s="1"/>
  <c r="AX17" i="12"/>
  <c r="AU17" i="12" s="1"/>
  <c r="AI17" i="12"/>
  <c r="AB17" i="12"/>
  <c r="Y17" i="12" s="1"/>
  <c r="BA16" i="12"/>
  <c r="AZ16" i="12"/>
  <c r="AY16" i="12"/>
  <c r="AW16" i="12"/>
  <c r="AV16" i="12"/>
  <c r="AT16" i="12"/>
  <c r="AS16" i="12"/>
  <c r="AR16" i="12"/>
  <c r="AQ16" i="12"/>
  <c r="AP16" i="12"/>
  <c r="AO16" i="12"/>
  <c r="AN16" i="12"/>
  <c r="AM16" i="12"/>
  <c r="AL16" i="12"/>
  <c r="AK16" i="12"/>
  <c r="AJ16" i="12"/>
  <c r="AH16" i="12"/>
  <c r="AG16" i="12"/>
  <c r="AE16" i="12"/>
  <c r="AD16" i="12"/>
  <c r="AC16" i="12"/>
  <c r="AA16" i="12"/>
  <c r="Z16" i="12"/>
  <c r="X16" i="12"/>
  <c r="W16" i="12"/>
  <c r="V16" i="12"/>
  <c r="U16" i="12"/>
  <c r="T16" i="12"/>
  <c r="S16" i="12"/>
  <c r="R16" i="12"/>
  <c r="Q16" i="12"/>
  <c r="P16" i="12"/>
  <c r="O16" i="12"/>
  <c r="N16" i="12"/>
  <c r="M16" i="12"/>
  <c r="U133" i="12" l="1"/>
  <c r="AO133" i="12"/>
  <c r="AK133" i="12"/>
  <c r="BF133" i="12"/>
  <c r="V133" i="12"/>
  <c r="BA15" i="12"/>
  <c r="P133" i="12"/>
  <c r="BL133" i="12"/>
  <c r="AC133" i="12"/>
  <c r="AA133" i="12"/>
  <c r="AH133" i="12"/>
  <c r="AV133" i="12"/>
  <c r="AH15" i="12"/>
  <c r="AI131" i="12"/>
  <c r="P15" i="12"/>
  <c r="BJ133" i="12"/>
  <c r="AK39" i="12"/>
  <c r="AK15" i="12" s="1"/>
  <c r="BA133" i="12"/>
  <c r="V15" i="12"/>
  <c r="AY15" i="12"/>
  <c r="AC15" i="12"/>
  <c r="BA182" i="12"/>
  <c r="BH182" i="12"/>
  <c r="AI206" i="12"/>
  <c r="AF206" i="12" s="1"/>
  <c r="BN182" i="12"/>
  <c r="BI182" i="12"/>
  <c r="Z133" i="12"/>
  <c r="BK133" i="12"/>
  <c r="BR133" i="12"/>
  <c r="AQ133" i="12"/>
  <c r="BI133" i="12"/>
  <c r="O15" i="12"/>
  <c r="Z15" i="12"/>
  <c r="AM15" i="12"/>
  <c r="AN15" i="12"/>
  <c r="U15" i="12"/>
  <c r="AZ133" i="12"/>
  <c r="AQ15" i="12"/>
  <c r="BB182" i="12"/>
  <c r="BM182" i="12"/>
  <c r="BO133" i="12"/>
  <c r="AT15" i="12"/>
  <c r="M133" i="12"/>
  <c r="BC133" i="12"/>
  <c r="AL133" i="12"/>
  <c r="AY133" i="12"/>
  <c r="M15" i="12"/>
  <c r="AX16" i="12"/>
  <c r="AY182" i="12"/>
  <c r="AK182" i="12"/>
  <c r="BK182" i="12"/>
  <c r="AO182" i="12"/>
  <c r="AC182" i="12"/>
  <c r="M182" i="12"/>
  <c r="AE182" i="12"/>
  <c r="W15" i="12"/>
  <c r="AX131" i="12"/>
  <c r="Q133" i="12"/>
  <c r="AA15" i="12"/>
  <c r="BM133" i="12"/>
  <c r="AW15" i="12"/>
  <c r="AZ15" i="12"/>
  <c r="AA182" i="12"/>
  <c r="AI39" i="12"/>
  <c r="W133" i="12"/>
  <c r="AM133" i="12"/>
  <c r="AN133" i="12"/>
  <c r="AD182" i="12"/>
  <c r="AR182" i="12"/>
  <c r="BF182" i="12"/>
  <c r="BR182" i="12"/>
  <c r="AI211" i="12"/>
  <c r="Y242" i="12"/>
  <c r="Y241" i="12" s="1"/>
  <c r="AD39" i="12"/>
  <c r="AD15" i="12" s="1"/>
  <c r="AO15" i="12"/>
  <c r="AB52" i="12"/>
  <c r="N133" i="12"/>
  <c r="AT182" i="12"/>
  <c r="AM182" i="12"/>
  <c r="O133" i="12"/>
  <c r="O182" i="12"/>
  <c r="AB206" i="12"/>
  <c r="Y206" i="12" s="1"/>
  <c r="X182" i="12"/>
  <c r="AJ15" i="12"/>
  <c r="AJ182" i="12"/>
  <c r="AW182" i="12"/>
  <c r="AS182" i="12"/>
  <c r="AE15" i="12"/>
  <c r="AE133" i="12"/>
  <c r="AS133" i="12"/>
  <c r="V182" i="12"/>
  <c r="AL182" i="12"/>
  <c r="AV182" i="12"/>
  <c r="AI52" i="12"/>
  <c r="AW133" i="12"/>
  <c r="BC182" i="12"/>
  <c r="BO182" i="12"/>
  <c r="N15" i="12"/>
  <c r="AP182" i="12"/>
  <c r="BJ182" i="12"/>
  <c r="W182" i="12"/>
  <c r="AU211" i="12"/>
  <c r="AF215" i="12"/>
  <c r="AF211" i="12" s="1"/>
  <c r="AI241" i="12"/>
  <c r="AX206" i="12"/>
  <c r="AU206" i="12" s="1"/>
  <c r="BL182" i="12"/>
  <c r="Z182" i="12"/>
  <c r="AN182" i="12"/>
  <c r="N182" i="12"/>
  <c r="AZ182" i="12"/>
  <c r="AB183" i="12"/>
  <c r="BD182" i="12"/>
  <c r="BP182" i="12"/>
  <c r="BE182" i="12"/>
  <c r="BQ182" i="12"/>
  <c r="P182" i="12"/>
  <c r="AQ182" i="12"/>
  <c r="BG182" i="12"/>
  <c r="AB211" i="12"/>
  <c r="U182" i="12"/>
  <c r="AH182" i="12"/>
  <c r="AG182" i="12"/>
  <c r="AX211" i="12"/>
  <c r="X133" i="12"/>
  <c r="AI155" i="12"/>
  <c r="AB155" i="12"/>
  <c r="BE133" i="12"/>
  <c r="BQ133" i="12"/>
  <c r="AX155" i="12"/>
  <c r="BB133" i="12"/>
  <c r="BN133" i="12"/>
  <c r="AX152" i="12"/>
  <c r="BG133" i="12"/>
  <c r="AG133" i="12"/>
  <c r="AT133" i="12"/>
  <c r="BH133" i="12"/>
  <c r="AI134" i="12"/>
  <c r="AP133" i="12"/>
  <c r="BD133" i="12"/>
  <c r="BP133" i="12"/>
  <c r="AJ133" i="12"/>
  <c r="AD133" i="12"/>
  <c r="AR133" i="12"/>
  <c r="AB152" i="12"/>
  <c r="AF45" i="12"/>
  <c r="AF39" i="12" s="1"/>
  <c r="Y55" i="12"/>
  <c r="Y52" i="12" s="1"/>
  <c r="AV15" i="12"/>
  <c r="AI16" i="12"/>
  <c r="AG15" i="12"/>
  <c r="AS15" i="12"/>
  <c r="AP15" i="12"/>
  <c r="AF53" i="12"/>
  <c r="AF52" i="12" s="1"/>
  <c r="AL15" i="12"/>
  <c r="AX39" i="12"/>
  <c r="Y132" i="12"/>
  <c r="Y131" i="12" s="1"/>
  <c r="X15" i="12"/>
  <c r="Y16" i="12"/>
  <c r="AR15" i="12"/>
  <c r="AU16" i="12"/>
  <c r="AF17" i="12"/>
  <c r="AF16" i="12" s="1"/>
  <c r="AU43" i="12"/>
  <c r="AU39" i="12" s="1"/>
  <c r="Y155" i="12"/>
  <c r="AF155" i="12"/>
  <c r="AB16" i="12"/>
  <c r="AF154" i="12"/>
  <c r="AF152" i="12" s="1"/>
  <c r="AI152" i="12"/>
  <c r="Y39" i="12"/>
  <c r="AU53" i="12"/>
  <c r="AU52" i="12" s="1"/>
  <c r="AX52" i="12"/>
  <c r="Y135" i="12"/>
  <c r="Y134" i="12" s="1"/>
  <c r="AB134" i="12"/>
  <c r="AU155" i="12"/>
  <c r="Y211" i="12"/>
  <c r="AB39" i="12"/>
  <c r="Y152" i="12"/>
  <c r="Y183" i="12"/>
  <c r="AU136" i="12"/>
  <c r="AU134" i="12" s="1"/>
  <c r="AX134" i="12"/>
  <c r="AF183" i="12"/>
  <c r="AU184" i="12"/>
  <c r="AU183" i="12" s="1"/>
  <c r="AX183" i="12"/>
  <c r="AF135" i="12"/>
  <c r="AF134" i="12" s="1"/>
  <c r="AU154" i="12"/>
  <c r="AU152" i="12" s="1"/>
  <c r="AX241" i="12"/>
  <c r="AI183" i="12"/>
  <c r="BM14" i="12" l="1"/>
  <c r="BM13" i="12" s="1"/>
  <c r="BB14" i="12"/>
  <c r="BB13" i="12" s="1"/>
  <c r="BK14" i="12"/>
  <c r="BK13" i="12" s="1"/>
  <c r="AH14" i="12"/>
  <c r="AH13" i="12" s="1"/>
  <c r="BQ14" i="12"/>
  <c r="BQ13" i="12" s="1"/>
  <c r="BJ14" i="12"/>
  <c r="BJ13" i="12" s="1"/>
  <c r="BH14" i="12"/>
  <c r="BH13" i="12" s="1"/>
  <c r="BP14" i="12"/>
  <c r="BP13" i="12" s="1"/>
  <c r="BN14" i="12"/>
  <c r="BN13" i="12" s="1"/>
  <c r="BG14" i="12"/>
  <c r="BG13" i="12" s="1"/>
  <c r="BC14" i="12"/>
  <c r="BC13" i="12" s="1"/>
  <c r="BL14" i="12"/>
  <c r="BL13" i="12" s="1"/>
  <c r="BD14" i="12"/>
  <c r="BD13" i="12" s="1"/>
  <c r="BE14" i="12"/>
  <c r="BE13" i="12" s="1"/>
  <c r="BI14" i="12"/>
  <c r="BI13" i="12" s="1"/>
  <c r="BO14" i="12"/>
  <c r="BO13" i="12" s="1"/>
  <c r="BR14" i="12"/>
  <c r="BR13" i="12" s="1"/>
  <c r="BF14" i="12"/>
  <c r="BF13" i="12" s="1"/>
  <c r="P14" i="12"/>
  <c r="P13" i="12" s="1"/>
  <c r="BA14" i="12"/>
  <c r="BA13" i="12" s="1"/>
  <c r="AC14" i="12"/>
  <c r="AC13" i="12" s="1"/>
  <c r="V14" i="12"/>
  <c r="V13" i="12" s="1"/>
  <c r="AM14" i="12"/>
  <c r="AM13" i="12" s="1"/>
  <c r="AN14" i="12"/>
  <c r="AN13" i="12" s="1"/>
  <c r="AY14" i="12"/>
  <c r="AY13" i="12" s="1"/>
  <c r="U14" i="12"/>
  <c r="U13" i="12" s="1"/>
  <c r="AK14" i="12"/>
  <c r="AK13" i="12" s="1"/>
  <c r="AQ14" i="12"/>
  <c r="AQ13" i="12" s="1"/>
  <c r="Z14" i="12"/>
  <c r="Z13" i="12" s="1"/>
  <c r="AT14" i="12"/>
  <c r="AT13" i="12" s="1"/>
  <c r="M14" i="12"/>
  <c r="M13" i="12" s="1"/>
  <c r="AV14" i="12"/>
  <c r="AV13" i="12" s="1"/>
  <c r="AJ14" i="12"/>
  <c r="AJ13" i="12" s="1"/>
  <c r="AW14" i="12"/>
  <c r="AW13" i="12" s="1"/>
  <c r="AL14" i="12"/>
  <c r="AL13" i="12" s="1"/>
  <c r="AA14" i="12"/>
  <c r="AA13" i="12" s="1"/>
  <c r="W14" i="12"/>
  <c r="W13" i="12" s="1"/>
  <c r="AZ14" i="12"/>
  <c r="AZ13" i="12" s="1"/>
  <c r="N14" i="12"/>
  <c r="N13" i="12" s="1"/>
  <c r="AI15" i="12"/>
  <c r="AO14" i="12"/>
  <c r="AO13" i="12" s="1"/>
  <c r="AD14" i="12"/>
  <c r="AD13" i="12" s="1"/>
  <c r="AU182" i="12"/>
  <c r="O14" i="12"/>
  <c r="O13" i="12" s="1"/>
  <c r="AE14" i="12"/>
  <c r="AE13" i="12" s="1"/>
  <c r="AF182" i="12"/>
  <c r="AI182" i="12"/>
  <c r="AR14" i="12"/>
  <c r="AR13" i="12" s="1"/>
  <c r="AX15" i="12"/>
  <c r="AS14" i="12"/>
  <c r="AS13" i="12" s="1"/>
  <c r="AB182" i="12"/>
  <c r="AP14" i="12"/>
  <c r="AP13" i="12" s="1"/>
  <c r="AB133" i="12"/>
  <c r="AX133" i="12"/>
  <c r="AI133" i="12"/>
  <c r="X14" i="12"/>
  <c r="X13" i="12" s="1"/>
  <c r="AG14" i="12"/>
  <c r="AG13" i="12" s="1"/>
  <c r="Y15" i="12"/>
  <c r="AB15" i="12"/>
  <c r="AF133" i="12"/>
  <c r="AU133" i="12"/>
  <c r="AX182" i="12"/>
  <c r="AF15" i="12"/>
  <c r="Y133" i="12"/>
  <c r="AU15" i="12"/>
  <c r="Y182" i="12"/>
  <c r="AI14" i="12" l="1"/>
  <c r="AI13" i="12" s="1"/>
  <c r="AB14" i="12"/>
  <c r="AB13" i="12" s="1"/>
  <c r="AF14" i="12"/>
  <c r="AF13" i="12" s="1"/>
  <c r="AU14" i="12"/>
  <c r="AU13" i="12" s="1"/>
  <c r="Y14" i="12"/>
  <c r="Y13" i="12" s="1"/>
  <c r="AX14" i="12"/>
  <c r="AX13" i="12" s="1"/>
  <c r="N103" i="9"/>
  <c r="O103" i="9"/>
  <c r="P103" i="9"/>
  <c r="Q103" i="9"/>
  <c r="R103" i="9"/>
  <c r="T103" i="9"/>
  <c r="U103" i="9"/>
  <c r="V103" i="9"/>
  <c r="X103" i="9"/>
  <c r="Y103" i="9"/>
  <c r="AA103" i="9"/>
  <c r="AB103" i="9"/>
  <c r="AC103" i="9"/>
  <c r="AE103" i="9"/>
  <c r="AF103" i="9"/>
  <c r="AH103" i="9"/>
  <c r="AI103" i="9"/>
  <c r="AJ103" i="9"/>
  <c r="AK103" i="9"/>
  <c r="AM103" i="9"/>
  <c r="AN103" i="9"/>
  <c r="AP103" i="9"/>
  <c r="AQ103" i="9"/>
  <c r="AR103" i="9"/>
  <c r="AS103" i="9"/>
  <c r="AU103" i="9"/>
  <c r="AV103" i="9"/>
  <c r="AX103" i="9"/>
  <c r="AY103" i="9"/>
  <c r="AZ103" i="9"/>
  <c r="BB103" i="9"/>
  <c r="BC103" i="9"/>
  <c r="BE103" i="9"/>
  <c r="BF103" i="9"/>
  <c r="BG103" i="9"/>
  <c r="BH103" i="9"/>
  <c r="BJ103" i="9"/>
  <c r="BK103" i="9"/>
  <c r="BL103" i="9"/>
  <c r="BN103" i="9"/>
  <c r="BO103" i="9"/>
  <c r="BP103" i="9"/>
  <c r="BR103" i="9"/>
  <c r="BS103" i="9"/>
  <c r="BT103" i="9"/>
  <c r="BU103" i="9"/>
  <c r="M103" i="9"/>
  <c r="BD115" i="11" l="1"/>
  <c r="AU115" i="11"/>
  <c r="AL115" i="11"/>
  <c r="AC115" i="11"/>
  <c r="AC114" i="11" s="1"/>
  <c r="AB115" i="11"/>
  <c r="AA114" i="11"/>
  <c r="Z114" i="11"/>
  <c r="BU113" i="11"/>
  <c r="BQ113" i="11"/>
  <c r="BL113" i="11"/>
  <c r="BI113" i="11" s="1"/>
  <c r="BD113" i="11"/>
  <c r="BC113" i="11" s="1"/>
  <c r="AZ113" i="11" s="1"/>
  <c r="AU113" i="11"/>
  <c r="AT113" i="11" s="1"/>
  <c r="AL113" i="11"/>
  <c r="AK113" i="11" s="1"/>
  <c r="AH113" i="11" s="1"/>
  <c r="AC113" i="11"/>
  <c r="AB113" i="11"/>
  <c r="Y113" i="11" s="1"/>
  <c r="BD111" i="11"/>
  <c r="BC111" i="11" s="1"/>
  <c r="AU111" i="11"/>
  <c r="AT111" i="11" s="1"/>
  <c r="AL111" i="11"/>
  <c r="AK111" i="11" s="1"/>
  <c r="AC111" i="11"/>
  <c r="AB111" i="11"/>
  <c r="Y111" i="11" s="1"/>
  <c r="BD110" i="11"/>
  <c r="AU110" i="11"/>
  <c r="AT110" i="11" s="1"/>
  <c r="AL110" i="11"/>
  <c r="AK110" i="11" s="1"/>
  <c r="AC110" i="11"/>
  <c r="AB110" i="11"/>
  <c r="Y110" i="11" s="1"/>
  <c r="BD109" i="11"/>
  <c r="BC109" i="11" s="1"/>
  <c r="AU109" i="11"/>
  <c r="AT109" i="11" s="1"/>
  <c r="AL109" i="11"/>
  <c r="AK109" i="11" s="1"/>
  <c r="AC109" i="11"/>
  <c r="AB109" i="11"/>
  <c r="Y109" i="11" s="1"/>
  <c r="BD108" i="11"/>
  <c r="BC108" i="11" s="1"/>
  <c r="AU108" i="11"/>
  <c r="AT108" i="11" s="1"/>
  <c r="AL108" i="11"/>
  <c r="AK108" i="11" s="1"/>
  <c r="AC108" i="11"/>
  <c r="AB108" i="11"/>
  <c r="Y108" i="11" s="1"/>
  <c r="BD107" i="11"/>
  <c r="BC107" i="11" s="1"/>
  <c r="AU107" i="11"/>
  <c r="AT107" i="11" s="1"/>
  <c r="AL107" i="11"/>
  <c r="AK107" i="11" s="1"/>
  <c r="AC107" i="11"/>
  <c r="AB107" i="11"/>
  <c r="Y107" i="11" s="1"/>
  <c r="BM106" i="11"/>
  <c r="BM90" i="11" s="1"/>
  <c r="BM17" i="11" s="1"/>
  <c r="BM13" i="11" s="1"/>
  <c r="BL106" i="11"/>
  <c r="BK106" i="11"/>
  <c r="BK90" i="11" s="1"/>
  <c r="BK17" i="11" s="1"/>
  <c r="BK13" i="11" s="1"/>
  <c r="BJ106" i="11"/>
  <c r="BJ90" i="11" s="1"/>
  <c r="BJ17" i="11" s="1"/>
  <c r="BJ13" i="11" s="1"/>
  <c r="BI106" i="11"/>
  <c r="BH106" i="11"/>
  <c r="BG106" i="11"/>
  <c r="BF106" i="11"/>
  <c r="BE106" i="11"/>
  <c r="BB106" i="11"/>
  <c r="BA106" i="11"/>
  <c r="AZ106" i="11"/>
  <c r="AY106" i="11"/>
  <c r="AX106" i="11"/>
  <c r="AW106" i="11"/>
  <c r="AV106" i="11"/>
  <c r="AS106" i="11"/>
  <c r="AR106" i="11"/>
  <c r="AQ106" i="11"/>
  <c r="AP106" i="11"/>
  <c r="AO106" i="11"/>
  <c r="AN106" i="11"/>
  <c r="AM106" i="11"/>
  <c r="AJ106" i="11"/>
  <c r="AI106" i="11"/>
  <c r="AH106" i="11"/>
  <c r="AG106" i="11"/>
  <c r="AF106" i="11"/>
  <c r="AE106" i="11"/>
  <c r="AD106" i="11"/>
  <c r="AA106" i="11"/>
  <c r="Z106" i="11"/>
  <c r="X106" i="11"/>
  <c r="W106" i="11"/>
  <c r="V106" i="11"/>
  <c r="U106" i="11"/>
  <c r="T106" i="11"/>
  <c r="S106" i="11"/>
  <c r="R106" i="11"/>
  <c r="Q106" i="11"/>
  <c r="P106" i="11"/>
  <c r="O106" i="11"/>
  <c r="BU105" i="11"/>
  <c r="BQ105" i="11"/>
  <c r="BL105" i="11"/>
  <c r="BI105" i="11" s="1"/>
  <c r="BD105" i="11"/>
  <c r="BC105" i="11" s="1"/>
  <c r="AZ105" i="11" s="1"/>
  <c r="AU105" i="11"/>
  <c r="AT105" i="11" s="1"/>
  <c r="AQ105" i="11" s="1"/>
  <c r="AL105" i="11"/>
  <c r="AK105" i="11" s="1"/>
  <c r="AH105" i="11" s="1"/>
  <c r="AC105" i="11"/>
  <c r="AB105" i="11"/>
  <c r="Y105" i="11" s="1"/>
  <c r="BQ104" i="11"/>
  <c r="BL104" i="11"/>
  <c r="BI104" i="11" s="1"/>
  <c r="BD104" i="11"/>
  <c r="BC104" i="11" s="1"/>
  <c r="AZ104" i="11" s="1"/>
  <c r="AU104" i="11"/>
  <c r="AT104" i="11" s="1"/>
  <c r="AQ104" i="11" s="1"/>
  <c r="AL104" i="11"/>
  <c r="AK104" i="11" s="1"/>
  <c r="AH104" i="11" s="1"/>
  <c r="AC104" i="11"/>
  <c r="AB104" i="11"/>
  <c r="Y104" i="11" s="1"/>
  <c r="BQ103" i="11"/>
  <c r="BL103" i="11"/>
  <c r="BI103" i="11" s="1"/>
  <c r="BD103" i="11"/>
  <c r="BC103" i="11" s="1"/>
  <c r="AZ103" i="11" s="1"/>
  <c r="AU103" i="11"/>
  <c r="AT103" i="11" s="1"/>
  <c r="AQ103" i="11" s="1"/>
  <c r="AL103" i="11"/>
  <c r="AK103" i="11" s="1"/>
  <c r="AH103" i="11" s="1"/>
  <c r="AC103" i="11"/>
  <c r="AB103" i="11"/>
  <c r="Y103" i="11" s="1"/>
  <c r="BL102" i="11"/>
  <c r="BI102" i="11" s="1"/>
  <c r="BD102" i="11"/>
  <c r="BC102" i="11" s="1"/>
  <c r="AZ102" i="11" s="1"/>
  <c r="AU102" i="11"/>
  <c r="AT102" i="11" s="1"/>
  <c r="AQ102" i="11" s="1"/>
  <c r="AL102" i="11"/>
  <c r="AK102" i="11" s="1"/>
  <c r="AH102" i="11" s="1"/>
  <c r="AC102" i="11"/>
  <c r="AB102" i="11"/>
  <c r="Y102" i="11" s="1"/>
  <c r="O102" i="11"/>
  <c r="BL101" i="11"/>
  <c r="BI101" i="11" s="1"/>
  <c r="BD101" i="11"/>
  <c r="BC101" i="11" s="1"/>
  <c r="AZ101" i="11" s="1"/>
  <c r="AU101" i="11"/>
  <c r="AT101" i="11" s="1"/>
  <c r="AQ101" i="11" s="1"/>
  <c r="AL101" i="11"/>
  <c r="AK101" i="11" s="1"/>
  <c r="AH101" i="11" s="1"/>
  <c r="AC101" i="11"/>
  <c r="AB101" i="11"/>
  <c r="Y101" i="11" s="1"/>
  <c r="O101" i="11"/>
  <c r="BD100" i="11"/>
  <c r="BC100" i="11" s="1"/>
  <c r="AU100" i="11"/>
  <c r="AT100" i="11" s="1"/>
  <c r="AL100" i="11"/>
  <c r="AK100" i="11" s="1"/>
  <c r="AH100" i="11" s="1"/>
  <c r="AC100" i="11"/>
  <c r="AB100" i="11"/>
  <c r="Y100" i="11" s="1"/>
  <c r="BL99" i="11"/>
  <c r="BI99" i="11" s="1"/>
  <c r="BD99" i="11"/>
  <c r="BC99" i="11" s="1"/>
  <c r="AZ99" i="11" s="1"/>
  <c r="AU99" i="11"/>
  <c r="AT99" i="11" s="1"/>
  <c r="AQ99" i="11" s="1"/>
  <c r="AL99" i="11"/>
  <c r="AK99" i="11" s="1"/>
  <c r="AH99" i="11" s="1"/>
  <c r="AC99" i="11"/>
  <c r="AB99" i="11"/>
  <c r="Y99" i="11" s="1"/>
  <c r="O99" i="11"/>
  <c r="BL98" i="11"/>
  <c r="BI98" i="11" s="1"/>
  <c r="BD98" i="11"/>
  <c r="BC98" i="11" s="1"/>
  <c r="AZ98" i="11" s="1"/>
  <c r="AU98" i="11"/>
  <c r="AT98" i="11" s="1"/>
  <c r="AQ98" i="11" s="1"/>
  <c r="AL98" i="11"/>
  <c r="AK98" i="11" s="1"/>
  <c r="AH98" i="11" s="1"/>
  <c r="AC98" i="11"/>
  <c r="AB98" i="11"/>
  <c r="Y98" i="11" s="1"/>
  <c r="BL97" i="11"/>
  <c r="BI97" i="11" s="1"/>
  <c r="BD97" i="11"/>
  <c r="BC97" i="11" s="1"/>
  <c r="AZ97" i="11" s="1"/>
  <c r="AU97" i="11"/>
  <c r="AT97" i="11" s="1"/>
  <c r="AQ97" i="11" s="1"/>
  <c r="AL97" i="11"/>
  <c r="AK97" i="11" s="1"/>
  <c r="AH97" i="11" s="1"/>
  <c r="AC97" i="11"/>
  <c r="AB97" i="11"/>
  <c r="Y97" i="11" s="1"/>
  <c r="BU96" i="11"/>
  <c r="BQ96" i="11"/>
  <c r="BL96" i="11"/>
  <c r="BD96" i="11"/>
  <c r="BC96" i="11" s="1"/>
  <c r="AZ96" i="11" s="1"/>
  <c r="AU96" i="11"/>
  <c r="AT96" i="11" s="1"/>
  <c r="AQ96" i="11" s="1"/>
  <c r="AL96" i="11"/>
  <c r="AK96" i="11" s="1"/>
  <c r="AH96" i="11" s="1"/>
  <c r="AC96" i="11"/>
  <c r="AB96" i="11"/>
  <c r="BL95" i="11"/>
  <c r="BI95" i="11" s="1"/>
  <c r="BD95" i="11"/>
  <c r="BC95" i="11" s="1"/>
  <c r="AZ95" i="11" s="1"/>
  <c r="AU95" i="11"/>
  <c r="AT95" i="11" s="1"/>
  <c r="AQ95" i="11" s="1"/>
  <c r="AL95" i="11"/>
  <c r="AK95" i="11" s="1"/>
  <c r="AH95" i="11" s="1"/>
  <c r="AC95" i="11"/>
  <c r="AB95" i="11"/>
  <c r="Y95" i="11" s="1"/>
  <c r="O95" i="11"/>
  <c r="BU94" i="11"/>
  <c r="BQ94" i="11"/>
  <c r="BL94" i="11"/>
  <c r="BI94" i="11" s="1"/>
  <c r="BD94" i="11"/>
  <c r="BC94" i="11" s="1"/>
  <c r="AZ94" i="11" s="1"/>
  <c r="AU94" i="11"/>
  <c r="AT94" i="11" s="1"/>
  <c r="AQ94" i="11" s="1"/>
  <c r="AL94" i="11"/>
  <c r="AK94" i="11" s="1"/>
  <c r="AC94" i="11"/>
  <c r="AB94" i="11"/>
  <c r="Y94" i="11" s="1"/>
  <c r="BU93" i="11"/>
  <c r="BQ93" i="11"/>
  <c r="BL93" i="11"/>
  <c r="BI93" i="11" s="1"/>
  <c r="BD93" i="11"/>
  <c r="BC93" i="11" s="1"/>
  <c r="AZ93" i="11" s="1"/>
  <c r="AU93" i="11"/>
  <c r="AT93" i="11" s="1"/>
  <c r="AL93" i="11"/>
  <c r="AK93" i="11" s="1"/>
  <c r="AH93" i="11" s="1"/>
  <c r="AC93" i="11"/>
  <c r="AB93" i="11"/>
  <c r="Y93" i="11" s="1"/>
  <c r="BL92" i="11"/>
  <c r="BD92" i="11"/>
  <c r="BC92" i="11" s="1"/>
  <c r="AU92" i="11"/>
  <c r="AT92" i="11" s="1"/>
  <c r="AQ92" i="11" s="1"/>
  <c r="AL92" i="11"/>
  <c r="AK92" i="11" s="1"/>
  <c r="AH92" i="11" s="1"/>
  <c r="AC92" i="11"/>
  <c r="AB92" i="11"/>
  <c r="Y92" i="11" s="1"/>
  <c r="BH91" i="11"/>
  <c r="BG91" i="11"/>
  <c r="BF91" i="11"/>
  <c r="BE91" i="11"/>
  <c r="BB91" i="11"/>
  <c r="BA91" i="11"/>
  <c r="AY91" i="11"/>
  <c r="AX91" i="11"/>
  <c r="AW91" i="11"/>
  <c r="AV91" i="11"/>
  <c r="AS91" i="11"/>
  <c r="AR91" i="11"/>
  <c r="AP91" i="11"/>
  <c r="AO91" i="11"/>
  <c r="AO90" i="11" s="1"/>
  <c r="AN91" i="11"/>
  <c r="AM91" i="11"/>
  <c r="AJ91" i="11"/>
  <c r="AI91" i="11"/>
  <c r="AG91" i="11"/>
  <c r="AF91" i="11"/>
  <c r="AE91" i="11"/>
  <c r="AD91" i="11"/>
  <c r="AA91" i="11"/>
  <c r="Z91" i="11"/>
  <c r="X91" i="11"/>
  <c r="W91" i="11"/>
  <c r="V91" i="11"/>
  <c r="U91" i="11"/>
  <c r="T91" i="11"/>
  <c r="S91" i="11"/>
  <c r="R91" i="11"/>
  <c r="Q91" i="11"/>
  <c r="P91" i="11"/>
  <c r="BD89" i="11"/>
  <c r="BC89" i="11" s="1"/>
  <c r="AU89" i="11"/>
  <c r="AT89" i="11" s="1"/>
  <c r="AL89" i="11"/>
  <c r="AK89" i="11" s="1"/>
  <c r="AC89" i="11"/>
  <c r="AB89" i="11"/>
  <c r="Y89" i="11" s="1"/>
  <c r="BD88" i="11"/>
  <c r="BC88" i="11" s="1"/>
  <c r="AU88" i="11"/>
  <c r="AT88" i="11" s="1"/>
  <c r="AL88" i="11"/>
  <c r="AK88" i="11" s="1"/>
  <c r="AC88" i="11"/>
  <c r="AB88" i="11"/>
  <c r="Y88" i="11" s="1"/>
  <c r="BD87" i="11"/>
  <c r="BC87" i="11" s="1"/>
  <c r="AU87" i="11"/>
  <c r="AT87" i="11" s="1"/>
  <c r="AL87" i="11"/>
  <c r="AK87" i="11" s="1"/>
  <c r="AC87" i="11"/>
  <c r="AB87" i="11"/>
  <c r="Y87" i="11" s="1"/>
  <c r="BD86" i="11"/>
  <c r="BC86" i="11" s="1"/>
  <c r="AU86" i="11"/>
  <c r="AT86" i="11" s="1"/>
  <c r="AL86" i="11"/>
  <c r="AK86" i="11" s="1"/>
  <c r="AC86" i="11"/>
  <c r="AB86" i="11"/>
  <c r="Y86" i="11" s="1"/>
  <c r="BD85" i="11"/>
  <c r="BC85" i="11" s="1"/>
  <c r="AU85" i="11"/>
  <c r="AT85" i="11" s="1"/>
  <c r="AL85" i="11"/>
  <c r="AK85" i="11" s="1"/>
  <c r="AC85" i="11"/>
  <c r="AB85" i="11"/>
  <c r="BD84" i="11"/>
  <c r="BC84" i="11" s="1"/>
  <c r="AU84" i="11"/>
  <c r="AT84" i="11" s="1"/>
  <c r="AL84" i="11"/>
  <c r="AK84" i="11" s="1"/>
  <c r="AC84" i="11"/>
  <c r="AB84" i="11"/>
  <c r="Y84" i="11" s="1"/>
  <c r="BD83" i="11"/>
  <c r="BC83" i="11" s="1"/>
  <c r="AU83" i="11"/>
  <c r="AT83" i="11" s="1"/>
  <c r="AL83" i="11"/>
  <c r="AK83" i="11" s="1"/>
  <c r="AC83" i="11"/>
  <c r="AB83" i="11"/>
  <c r="Y83" i="11" s="1"/>
  <c r="BD82" i="11"/>
  <c r="BC82" i="11" s="1"/>
  <c r="AU82" i="11"/>
  <c r="AT82" i="11" s="1"/>
  <c r="AL82" i="11"/>
  <c r="AC82" i="11"/>
  <c r="AB82" i="11"/>
  <c r="Y82" i="11" s="1"/>
  <c r="BH81" i="11"/>
  <c r="BG81" i="11"/>
  <c r="BF81" i="11"/>
  <c r="BE81" i="11"/>
  <c r="BB81" i="11"/>
  <c r="BA81" i="11"/>
  <c r="AZ81" i="11"/>
  <c r="AY81" i="11"/>
  <c r="AX81" i="11"/>
  <c r="AW81" i="11"/>
  <c r="AV81" i="11"/>
  <c r="AS81" i="11"/>
  <c r="AR81" i="11"/>
  <c r="AQ81" i="11"/>
  <c r="AP81" i="11"/>
  <c r="AO81" i="11"/>
  <c r="AN81" i="11"/>
  <c r="AM81" i="11"/>
  <c r="AJ81" i="11"/>
  <c r="AI81" i="11"/>
  <c r="AH81" i="11"/>
  <c r="AG81" i="11"/>
  <c r="AF81" i="11"/>
  <c r="AE81" i="11"/>
  <c r="AD81" i="11"/>
  <c r="AA81" i="11"/>
  <c r="Z81" i="11"/>
  <c r="X81" i="11"/>
  <c r="W81" i="11"/>
  <c r="V81" i="11"/>
  <c r="U81" i="11"/>
  <c r="T81" i="11"/>
  <c r="S81" i="11"/>
  <c r="R81" i="11"/>
  <c r="Q81" i="11"/>
  <c r="P81" i="11"/>
  <c r="O81" i="11"/>
  <c r="BU80" i="11"/>
  <c r="BQ80" i="11"/>
  <c r="BL80" i="11"/>
  <c r="BI80" i="11" s="1"/>
  <c r="BD80" i="11"/>
  <c r="BC80" i="11" s="1"/>
  <c r="AZ80" i="11" s="1"/>
  <c r="AU80" i="11"/>
  <c r="AT80" i="11" s="1"/>
  <c r="AQ80" i="11" s="1"/>
  <c r="AL80" i="11"/>
  <c r="AK80" i="11" s="1"/>
  <c r="AH80" i="11" s="1"/>
  <c r="AC80" i="11"/>
  <c r="AB80" i="11"/>
  <c r="Y80" i="11" s="1"/>
  <c r="BY79" i="11"/>
  <c r="BU79" i="11"/>
  <c r="BQ79" i="11"/>
  <c r="BL79" i="11"/>
  <c r="BI79" i="11" s="1"/>
  <c r="BD79" i="11"/>
  <c r="BC79" i="11" s="1"/>
  <c r="AZ79" i="11" s="1"/>
  <c r="AU79" i="11"/>
  <c r="AT79" i="11" s="1"/>
  <c r="AQ79" i="11" s="1"/>
  <c r="AL79" i="11"/>
  <c r="AK79" i="11" s="1"/>
  <c r="AH79" i="11" s="1"/>
  <c r="AC79" i="11"/>
  <c r="AB79" i="11"/>
  <c r="Y79" i="11" s="1"/>
  <c r="BU78" i="11"/>
  <c r="BQ78" i="11"/>
  <c r="BL78" i="11"/>
  <c r="BI78" i="11" s="1"/>
  <c r="BD78" i="11"/>
  <c r="BC78" i="11" s="1"/>
  <c r="AZ78" i="11" s="1"/>
  <c r="AU78" i="11"/>
  <c r="AT78" i="11" s="1"/>
  <c r="AQ78" i="11" s="1"/>
  <c r="AL78" i="11"/>
  <c r="AK78" i="11" s="1"/>
  <c r="AH78" i="11" s="1"/>
  <c r="AC78" i="11"/>
  <c r="AB78" i="11"/>
  <c r="Y78" i="11" s="1"/>
  <c r="BU77" i="11"/>
  <c r="BQ77" i="11"/>
  <c r="BL77" i="11"/>
  <c r="BI77" i="11" s="1"/>
  <c r="BD77" i="11"/>
  <c r="BC77" i="11" s="1"/>
  <c r="AZ77" i="11" s="1"/>
  <c r="AU77" i="11"/>
  <c r="AT77" i="11" s="1"/>
  <c r="AQ77" i="11" s="1"/>
  <c r="AL77" i="11"/>
  <c r="AK77" i="11" s="1"/>
  <c r="AH77" i="11" s="1"/>
  <c r="AC77" i="11"/>
  <c r="AB77" i="11"/>
  <c r="Y77" i="11" s="1"/>
  <c r="BU76" i="11"/>
  <c r="BQ76" i="11"/>
  <c r="BL76" i="11"/>
  <c r="BI76" i="11" s="1"/>
  <c r="BD76" i="11"/>
  <c r="BC76" i="11" s="1"/>
  <c r="AZ76" i="11" s="1"/>
  <c r="AU76" i="11"/>
  <c r="AT76" i="11" s="1"/>
  <c r="AQ76" i="11" s="1"/>
  <c r="AL76" i="11"/>
  <c r="AK76" i="11" s="1"/>
  <c r="AH76" i="11" s="1"/>
  <c r="AC76" i="11"/>
  <c r="AB76" i="11"/>
  <c r="Y76" i="11" s="1"/>
  <c r="BQ75" i="11"/>
  <c r="BL75" i="11"/>
  <c r="BI75" i="11" s="1"/>
  <c r="BD75" i="11"/>
  <c r="BC75" i="11" s="1"/>
  <c r="AZ75" i="11" s="1"/>
  <c r="AU75" i="11"/>
  <c r="AT75" i="11" s="1"/>
  <c r="AQ75" i="11" s="1"/>
  <c r="AL75" i="11"/>
  <c r="AK75" i="11" s="1"/>
  <c r="AH75" i="11" s="1"/>
  <c r="AC75" i="11"/>
  <c r="AB75" i="11"/>
  <c r="Y75" i="11" s="1"/>
  <c r="BQ74" i="11"/>
  <c r="BL74" i="11"/>
  <c r="BI74" i="11" s="1"/>
  <c r="BD74" i="11"/>
  <c r="BC74" i="11" s="1"/>
  <c r="AZ74" i="11" s="1"/>
  <c r="AU74" i="11"/>
  <c r="AT74" i="11" s="1"/>
  <c r="AQ74" i="11" s="1"/>
  <c r="AL74" i="11"/>
  <c r="AK74" i="11" s="1"/>
  <c r="AH74" i="11" s="1"/>
  <c r="AC74" i="11"/>
  <c r="AB74" i="11"/>
  <c r="Y74" i="11" s="1"/>
  <c r="BQ73" i="11"/>
  <c r="BL73" i="11"/>
  <c r="BI73" i="11" s="1"/>
  <c r="BD73" i="11"/>
  <c r="BC73" i="11" s="1"/>
  <c r="AU73" i="11"/>
  <c r="AT73" i="11" s="1"/>
  <c r="AQ73" i="11" s="1"/>
  <c r="AL73" i="11"/>
  <c r="AK73" i="11" s="1"/>
  <c r="AH73" i="11" s="1"/>
  <c r="AC73" i="11"/>
  <c r="AB73" i="11"/>
  <c r="Y73" i="11" s="1"/>
  <c r="BQ72" i="11"/>
  <c r="BL72" i="11"/>
  <c r="BI72" i="11" s="1"/>
  <c r="BD72" i="11"/>
  <c r="BC72" i="11" s="1"/>
  <c r="AU72" i="11"/>
  <c r="AT72" i="11" s="1"/>
  <c r="AQ72" i="11" s="1"/>
  <c r="AL72" i="11"/>
  <c r="AK72" i="11" s="1"/>
  <c r="AH72" i="11" s="1"/>
  <c r="AC72" i="11"/>
  <c r="AB72" i="11"/>
  <c r="Y72" i="11" s="1"/>
  <c r="BQ71" i="11"/>
  <c r="BL71" i="11"/>
  <c r="BI71" i="11" s="1"/>
  <c r="BD71" i="11"/>
  <c r="BC71" i="11" s="1"/>
  <c r="AU71" i="11"/>
  <c r="AT71" i="11" s="1"/>
  <c r="AQ71" i="11" s="1"/>
  <c r="AL71" i="11"/>
  <c r="AK71" i="11" s="1"/>
  <c r="AH71" i="11" s="1"/>
  <c r="AC71" i="11"/>
  <c r="AB71" i="11"/>
  <c r="Y71" i="11" s="1"/>
  <c r="BQ70" i="11"/>
  <c r="BL70" i="11"/>
  <c r="BI70" i="11" s="1"/>
  <c r="BD70" i="11"/>
  <c r="BC70" i="11" s="1"/>
  <c r="AZ70" i="11" s="1"/>
  <c r="AU70" i="11"/>
  <c r="AT70" i="11" s="1"/>
  <c r="AQ70" i="11" s="1"/>
  <c r="AL70" i="11"/>
  <c r="AK70" i="11" s="1"/>
  <c r="AH70" i="11" s="1"/>
  <c r="AC70" i="11"/>
  <c r="AB70" i="11"/>
  <c r="Y70" i="11" s="1"/>
  <c r="BQ69" i="11"/>
  <c r="BL69" i="11"/>
  <c r="BI69" i="11" s="1"/>
  <c r="BD69" i="11"/>
  <c r="BC69" i="11" s="1"/>
  <c r="AZ69" i="11" s="1"/>
  <c r="AY69" i="11"/>
  <c r="AY29" i="11" s="1"/>
  <c r="AU69" i="11"/>
  <c r="AP69" i="11"/>
  <c r="AL69" i="11"/>
  <c r="AC69" i="11"/>
  <c r="AB69" i="11"/>
  <c r="Y69" i="11" s="1"/>
  <c r="BQ68" i="11"/>
  <c r="BL68" i="11"/>
  <c r="BI68" i="11" s="1"/>
  <c r="BD68" i="11"/>
  <c r="BC68" i="11" s="1"/>
  <c r="AZ68" i="11" s="1"/>
  <c r="AU68" i="11"/>
  <c r="AT68" i="11" s="1"/>
  <c r="AQ68" i="11" s="1"/>
  <c r="AL68" i="11"/>
  <c r="AK68" i="11" s="1"/>
  <c r="AH68" i="11" s="1"/>
  <c r="AC68" i="11"/>
  <c r="AB68" i="11"/>
  <c r="Y68" i="11" s="1"/>
  <c r="BQ67" i="11"/>
  <c r="BL67" i="11"/>
  <c r="BI67" i="11" s="1"/>
  <c r="BD67" i="11"/>
  <c r="BC67" i="11" s="1"/>
  <c r="AZ67" i="11" s="1"/>
  <c r="AU67" i="11"/>
  <c r="AT67" i="11" s="1"/>
  <c r="AQ67" i="11" s="1"/>
  <c r="AL67" i="11"/>
  <c r="AK67" i="11" s="1"/>
  <c r="AH67" i="11" s="1"/>
  <c r="AC67" i="11"/>
  <c r="AB67" i="11"/>
  <c r="Y67" i="11" s="1"/>
  <c r="BQ66" i="11"/>
  <c r="BL66" i="11"/>
  <c r="BI66" i="11" s="1"/>
  <c r="BD66" i="11"/>
  <c r="BC66" i="11" s="1"/>
  <c r="AZ66" i="11" s="1"/>
  <c r="AU66" i="11"/>
  <c r="AT66" i="11" s="1"/>
  <c r="AQ66" i="11" s="1"/>
  <c r="AL66" i="11"/>
  <c r="AK66" i="11" s="1"/>
  <c r="AH66" i="11" s="1"/>
  <c r="AC66" i="11"/>
  <c r="AB66" i="11"/>
  <c r="Y66" i="11" s="1"/>
  <c r="BQ65" i="11"/>
  <c r="BL65" i="11"/>
  <c r="BI65" i="11" s="1"/>
  <c r="BD65" i="11"/>
  <c r="BC65" i="11" s="1"/>
  <c r="AZ65" i="11" s="1"/>
  <c r="AU65" i="11"/>
  <c r="AT65" i="11" s="1"/>
  <c r="AQ65" i="11" s="1"/>
  <c r="AL65" i="11"/>
  <c r="AK65" i="11" s="1"/>
  <c r="AH65" i="11" s="1"/>
  <c r="AC65" i="11"/>
  <c r="AB65" i="11"/>
  <c r="Y65" i="11" s="1"/>
  <c r="BQ64" i="11"/>
  <c r="BL64" i="11"/>
  <c r="BI64" i="11" s="1"/>
  <c r="BD64" i="11"/>
  <c r="BC64" i="11" s="1"/>
  <c r="AZ64" i="11" s="1"/>
  <c r="AU64" i="11"/>
  <c r="AT64" i="11" s="1"/>
  <c r="AQ64" i="11" s="1"/>
  <c r="AL64" i="11"/>
  <c r="AK64" i="11" s="1"/>
  <c r="AH64" i="11" s="1"/>
  <c r="AC64" i="11"/>
  <c r="AB64" i="11"/>
  <c r="Y64" i="11" s="1"/>
  <c r="BQ63" i="11"/>
  <c r="BL63" i="11"/>
  <c r="BI63" i="11" s="1"/>
  <c r="BD63" i="11"/>
  <c r="BC63" i="11" s="1"/>
  <c r="AZ63" i="11" s="1"/>
  <c r="AU63" i="11"/>
  <c r="AT63" i="11" s="1"/>
  <c r="AQ63" i="11" s="1"/>
  <c r="AL63" i="11"/>
  <c r="AK63" i="11" s="1"/>
  <c r="AH63" i="11" s="1"/>
  <c r="AC63" i="11"/>
  <c r="AB63" i="11"/>
  <c r="Y63" i="11" s="1"/>
  <c r="BQ62" i="11"/>
  <c r="BL62" i="11"/>
  <c r="BI62" i="11" s="1"/>
  <c r="BD62" i="11"/>
  <c r="BC62" i="11" s="1"/>
  <c r="AZ62" i="11" s="1"/>
  <c r="AU62" i="11"/>
  <c r="AT62" i="11" s="1"/>
  <c r="AQ62" i="11" s="1"/>
  <c r="AL62" i="11"/>
  <c r="AK62" i="11" s="1"/>
  <c r="AH62" i="11" s="1"/>
  <c r="AC62" i="11"/>
  <c r="AB62" i="11"/>
  <c r="Y62" i="11" s="1"/>
  <c r="BU61" i="11"/>
  <c r="BQ61" i="11"/>
  <c r="BL61" i="11"/>
  <c r="BI61" i="11" s="1"/>
  <c r="BD61" i="11"/>
  <c r="BC61" i="11" s="1"/>
  <c r="AZ61" i="11" s="1"/>
  <c r="AU61" i="11"/>
  <c r="AT61" i="11" s="1"/>
  <c r="AQ61" i="11" s="1"/>
  <c r="AL61" i="11"/>
  <c r="AK61" i="11" s="1"/>
  <c r="AH61" i="11" s="1"/>
  <c r="AC61" i="11"/>
  <c r="AB61" i="11"/>
  <c r="Y61" i="11" s="1"/>
  <c r="BU60" i="11"/>
  <c r="BQ60" i="11"/>
  <c r="BL60" i="11"/>
  <c r="BI60" i="11" s="1"/>
  <c r="BD60" i="11"/>
  <c r="BC60" i="11" s="1"/>
  <c r="AZ60" i="11" s="1"/>
  <c r="AU60" i="11"/>
  <c r="AT60" i="11" s="1"/>
  <c r="AQ60" i="11" s="1"/>
  <c r="AL60" i="11"/>
  <c r="AK60" i="11" s="1"/>
  <c r="AH60" i="11" s="1"/>
  <c r="AC60" i="11"/>
  <c r="AB60" i="11"/>
  <c r="Y60" i="11" s="1"/>
  <c r="BU59" i="11"/>
  <c r="BQ59" i="11"/>
  <c r="BL59" i="11"/>
  <c r="BI59" i="11" s="1"/>
  <c r="BD59" i="11"/>
  <c r="BC59" i="11" s="1"/>
  <c r="AZ59" i="11" s="1"/>
  <c r="AU59" i="11"/>
  <c r="AT59" i="11" s="1"/>
  <c r="AQ59" i="11" s="1"/>
  <c r="AL59" i="11"/>
  <c r="AK59" i="11" s="1"/>
  <c r="AH59" i="11" s="1"/>
  <c r="AC59" i="11"/>
  <c r="AB59" i="11"/>
  <c r="Y59" i="11" s="1"/>
  <c r="BU58" i="11"/>
  <c r="BQ58" i="11"/>
  <c r="BL58" i="11"/>
  <c r="BI58" i="11" s="1"/>
  <c r="BD58" i="11"/>
  <c r="BC58" i="11" s="1"/>
  <c r="AZ58" i="11" s="1"/>
  <c r="AU58" i="11"/>
  <c r="AT58" i="11" s="1"/>
  <c r="AQ58" i="11" s="1"/>
  <c r="AL58" i="11"/>
  <c r="AK58" i="11" s="1"/>
  <c r="AH58" i="11" s="1"/>
  <c r="AC58" i="11"/>
  <c r="AB58" i="11"/>
  <c r="Y58" i="11" s="1"/>
  <c r="BU57" i="11"/>
  <c r="BQ57" i="11"/>
  <c r="BL57" i="11"/>
  <c r="BI57" i="11" s="1"/>
  <c r="BD57" i="11"/>
  <c r="BC57" i="11" s="1"/>
  <c r="AZ57" i="11" s="1"/>
  <c r="AU57" i="11"/>
  <c r="AT57" i="11" s="1"/>
  <c r="AQ57" i="11" s="1"/>
  <c r="AL57" i="11"/>
  <c r="AK57" i="11" s="1"/>
  <c r="AH57" i="11" s="1"/>
  <c r="AC57" i="11"/>
  <c r="AB57" i="11"/>
  <c r="Y57" i="11" s="1"/>
  <c r="BL56" i="11"/>
  <c r="BI56" i="11" s="1"/>
  <c r="BD56" i="11"/>
  <c r="BC56" i="11" s="1"/>
  <c r="AZ56" i="11" s="1"/>
  <c r="AU56" i="11"/>
  <c r="AT56" i="11" s="1"/>
  <c r="AR56" i="11"/>
  <c r="AR29" i="11" s="1"/>
  <c r="AL56" i="11"/>
  <c r="AK56" i="11" s="1"/>
  <c r="AI56" i="11"/>
  <c r="AC56" i="11"/>
  <c r="AB56" i="11"/>
  <c r="Y56" i="11" s="1"/>
  <c r="BL55" i="11"/>
  <c r="BI55" i="11" s="1"/>
  <c r="BD55" i="11"/>
  <c r="BC55" i="11" s="1"/>
  <c r="AZ55" i="11" s="1"/>
  <c r="AU55" i="11"/>
  <c r="AT55" i="11" s="1"/>
  <c r="AQ55" i="11" s="1"/>
  <c r="AL55" i="11"/>
  <c r="AK55" i="11" s="1"/>
  <c r="AH55" i="11" s="1"/>
  <c r="AC55" i="11"/>
  <c r="AB55" i="11"/>
  <c r="Y55" i="11" s="1"/>
  <c r="BU54" i="11"/>
  <c r="BQ54" i="11"/>
  <c r="BL54" i="11"/>
  <c r="BI54" i="11" s="1"/>
  <c r="BD54" i="11"/>
  <c r="BC54" i="11" s="1"/>
  <c r="AZ54" i="11" s="1"/>
  <c r="AU54" i="11"/>
  <c r="AT54" i="11" s="1"/>
  <c r="AQ54" i="11" s="1"/>
  <c r="AL54" i="11"/>
  <c r="AK54" i="11" s="1"/>
  <c r="AH54" i="11" s="1"/>
  <c r="AC54" i="11"/>
  <c r="AB54" i="11"/>
  <c r="Y54" i="11" s="1"/>
  <c r="BD53" i="11"/>
  <c r="BC53" i="11" s="1"/>
  <c r="AZ53" i="11" s="1"/>
  <c r="AU53" i="11"/>
  <c r="AT53" i="11" s="1"/>
  <c r="AL53" i="11"/>
  <c r="AK53" i="11" s="1"/>
  <c r="AC53" i="11"/>
  <c r="AB53" i="11"/>
  <c r="Y53" i="11" s="1"/>
  <c r="BU52" i="11"/>
  <c r="BQ52" i="11"/>
  <c r="BL52" i="11"/>
  <c r="BI52" i="11" s="1"/>
  <c r="BD52" i="11"/>
  <c r="BC52" i="11" s="1"/>
  <c r="AZ52" i="11" s="1"/>
  <c r="AU52" i="11"/>
  <c r="AT52" i="11" s="1"/>
  <c r="AQ52" i="11" s="1"/>
  <c r="AL52" i="11"/>
  <c r="AK52" i="11" s="1"/>
  <c r="AH52" i="11" s="1"/>
  <c r="AC52" i="11"/>
  <c r="AB52" i="11"/>
  <c r="Y52" i="11" s="1"/>
  <c r="BU51" i="11"/>
  <c r="BQ51" i="11"/>
  <c r="BL51" i="11"/>
  <c r="BI51" i="11" s="1"/>
  <c r="BD51" i="11"/>
  <c r="BC51" i="11" s="1"/>
  <c r="AZ51" i="11" s="1"/>
  <c r="AU51" i="11"/>
  <c r="AT51" i="11" s="1"/>
  <c r="AQ51" i="11" s="1"/>
  <c r="AL51" i="11"/>
  <c r="AK51" i="11" s="1"/>
  <c r="AH51" i="11" s="1"/>
  <c r="AC51" i="11"/>
  <c r="AB51" i="11"/>
  <c r="Y51" i="11" s="1"/>
  <c r="BU50" i="11"/>
  <c r="BQ50" i="11"/>
  <c r="BL50" i="11"/>
  <c r="BI50" i="11" s="1"/>
  <c r="BD50" i="11"/>
  <c r="BC50" i="11" s="1"/>
  <c r="AZ50" i="11" s="1"/>
  <c r="AU50" i="11"/>
  <c r="AT50" i="11" s="1"/>
  <c r="AQ50" i="11" s="1"/>
  <c r="AL50" i="11"/>
  <c r="AK50" i="11" s="1"/>
  <c r="AH50" i="11" s="1"/>
  <c r="AC50" i="11"/>
  <c r="AB50" i="11"/>
  <c r="Y50" i="11" s="1"/>
  <c r="BY49" i="11"/>
  <c r="BU49" i="11"/>
  <c r="BQ49" i="11"/>
  <c r="BL49" i="11"/>
  <c r="BI49" i="11" s="1"/>
  <c r="BD49" i="11"/>
  <c r="BC49" i="11" s="1"/>
  <c r="AZ49" i="11" s="1"/>
  <c r="AU49" i="11"/>
  <c r="AT49" i="11" s="1"/>
  <c r="AQ49" i="11" s="1"/>
  <c r="AL49" i="11"/>
  <c r="AK49" i="11" s="1"/>
  <c r="AH49" i="11" s="1"/>
  <c r="AC49" i="11"/>
  <c r="AB49" i="11"/>
  <c r="Y49" i="11" s="1"/>
  <c r="BU48" i="11"/>
  <c r="BQ48" i="11"/>
  <c r="BL48" i="11"/>
  <c r="BI48" i="11" s="1"/>
  <c r="BD48" i="11"/>
  <c r="BC48" i="11" s="1"/>
  <c r="AZ48" i="11" s="1"/>
  <c r="AU48" i="11"/>
  <c r="AT48" i="11" s="1"/>
  <c r="AQ48" i="11" s="1"/>
  <c r="AL48" i="11"/>
  <c r="AK48" i="11" s="1"/>
  <c r="AH48" i="11" s="1"/>
  <c r="AC48" i="11"/>
  <c r="AB48" i="11"/>
  <c r="Y48" i="11" s="1"/>
  <c r="BU47" i="11"/>
  <c r="BQ47" i="11"/>
  <c r="BL47" i="11"/>
  <c r="BI47" i="11" s="1"/>
  <c r="BD47" i="11"/>
  <c r="BC47" i="11" s="1"/>
  <c r="AZ47" i="11" s="1"/>
  <c r="AU47" i="11"/>
  <c r="AT47" i="11" s="1"/>
  <c r="AQ47" i="11" s="1"/>
  <c r="AL47" i="11"/>
  <c r="AK47" i="11" s="1"/>
  <c r="AH47" i="11" s="1"/>
  <c r="AC47" i="11"/>
  <c r="AB47" i="11"/>
  <c r="Y47" i="11" s="1"/>
  <c r="BU46" i="11"/>
  <c r="BQ46" i="11"/>
  <c r="BL46" i="11"/>
  <c r="BI46" i="11" s="1"/>
  <c r="BD46" i="11"/>
  <c r="BC46" i="11" s="1"/>
  <c r="AZ46" i="11" s="1"/>
  <c r="AU46" i="11"/>
  <c r="AT46" i="11" s="1"/>
  <c r="AQ46" i="11" s="1"/>
  <c r="AL46" i="11"/>
  <c r="AK46" i="11" s="1"/>
  <c r="AH46" i="11" s="1"/>
  <c r="AC46" i="11"/>
  <c r="AB46" i="11"/>
  <c r="Y46" i="11" s="1"/>
  <c r="BU45" i="11"/>
  <c r="BQ45" i="11"/>
  <c r="BL45" i="11"/>
  <c r="BI45" i="11" s="1"/>
  <c r="BD45" i="11"/>
  <c r="BC45" i="11" s="1"/>
  <c r="AZ45" i="11" s="1"/>
  <c r="AU45" i="11"/>
  <c r="AT45" i="11" s="1"/>
  <c r="AQ45" i="11" s="1"/>
  <c r="AL45" i="11"/>
  <c r="AK45" i="11" s="1"/>
  <c r="AH45" i="11" s="1"/>
  <c r="AC45" i="11"/>
  <c r="AB45" i="11"/>
  <c r="Y45" i="11" s="1"/>
  <c r="BU44" i="11"/>
  <c r="BQ44" i="11"/>
  <c r="BL44" i="11"/>
  <c r="BI44" i="11" s="1"/>
  <c r="BD44" i="11"/>
  <c r="BC44" i="11" s="1"/>
  <c r="AZ44" i="11" s="1"/>
  <c r="AU44" i="11"/>
  <c r="AT44" i="11" s="1"/>
  <c r="AQ44" i="11" s="1"/>
  <c r="AL44" i="11"/>
  <c r="AK44" i="11" s="1"/>
  <c r="AH44" i="11" s="1"/>
  <c r="AC44" i="11"/>
  <c r="AB44" i="11"/>
  <c r="Y44" i="11" s="1"/>
  <c r="BU43" i="11"/>
  <c r="BQ43" i="11"/>
  <c r="BL43" i="11"/>
  <c r="BI43" i="11" s="1"/>
  <c r="BD43" i="11"/>
  <c r="BC43" i="11" s="1"/>
  <c r="AZ43" i="11" s="1"/>
  <c r="AU43" i="11"/>
  <c r="AT43" i="11" s="1"/>
  <c r="AQ43" i="11" s="1"/>
  <c r="AL43" i="11"/>
  <c r="AK43" i="11" s="1"/>
  <c r="AH43" i="11" s="1"/>
  <c r="AC43" i="11"/>
  <c r="AB43" i="11"/>
  <c r="Y43" i="11" s="1"/>
  <c r="BU42" i="11"/>
  <c r="BQ42" i="11"/>
  <c r="BL42" i="11"/>
  <c r="BI42" i="11" s="1"/>
  <c r="BD42" i="11"/>
  <c r="BC42" i="11" s="1"/>
  <c r="AZ42" i="11" s="1"/>
  <c r="AU42" i="11"/>
  <c r="AT42" i="11" s="1"/>
  <c r="AQ42" i="11" s="1"/>
  <c r="AL42" i="11"/>
  <c r="AC42" i="11"/>
  <c r="AB42" i="11"/>
  <c r="Y42" i="11" s="1"/>
  <c r="BU41" i="11"/>
  <c r="BQ41" i="11"/>
  <c r="BL41" i="11"/>
  <c r="BI41" i="11" s="1"/>
  <c r="BD41" i="11"/>
  <c r="BC41" i="11" s="1"/>
  <c r="AZ41" i="11" s="1"/>
  <c r="AU41" i="11"/>
  <c r="AT41" i="11" s="1"/>
  <c r="AQ41" i="11" s="1"/>
  <c r="AL41" i="11"/>
  <c r="AK41" i="11" s="1"/>
  <c r="AH41" i="11" s="1"/>
  <c r="AC41" i="11"/>
  <c r="AB41" i="11"/>
  <c r="Y41" i="11" s="1"/>
  <c r="BU40" i="11"/>
  <c r="BQ40" i="11"/>
  <c r="BL40" i="11"/>
  <c r="BD40" i="11"/>
  <c r="BC40" i="11" s="1"/>
  <c r="AZ40" i="11" s="1"/>
  <c r="AV40" i="11"/>
  <c r="AU40" i="11" s="1"/>
  <c r="AT40" i="11" s="1"/>
  <c r="AQ40" i="11" s="1"/>
  <c r="AP40" i="11"/>
  <c r="AM40" i="11"/>
  <c r="AL40" i="11" s="1"/>
  <c r="AD40" i="11"/>
  <c r="AC40" i="11" s="1"/>
  <c r="BU39" i="11"/>
  <c r="BQ39" i="11"/>
  <c r="BL39" i="11"/>
  <c r="BI39" i="11" s="1"/>
  <c r="BD39" i="11"/>
  <c r="BC39" i="11" s="1"/>
  <c r="AZ39" i="11" s="1"/>
  <c r="AX39" i="11"/>
  <c r="AX29" i="11" s="1"/>
  <c r="AX28" i="11" s="1"/>
  <c r="AU39" i="11"/>
  <c r="AO39" i="11"/>
  <c r="AO29" i="11" s="1"/>
  <c r="AL39" i="11"/>
  <c r="AC39" i="11"/>
  <c r="AB39" i="11"/>
  <c r="Y39" i="11" s="1"/>
  <c r="BU38" i="11"/>
  <c r="BQ38" i="11"/>
  <c r="BL38" i="11"/>
  <c r="BI38" i="11" s="1"/>
  <c r="BE38" i="11"/>
  <c r="BD38" i="11" s="1"/>
  <c r="BC38" i="11" s="1"/>
  <c r="AZ38" i="11" s="1"/>
  <c r="AU38" i="11"/>
  <c r="AT38" i="11" s="1"/>
  <c r="AQ38" i="11" s="1"/>
  <c r="AL38" i="11"/>
  <c r="AK38" i="11" s="1"/>
  <c r="AH38" i="11" s="1"/>
  <c r="AD38" i="11"/>
  <c r="AC38" i="11" s="1"/>
  <c r="BU37" i="11"/>
  <c r="BQ37" i="11"/>
  <c r="BL37" i="11"/>
  <c r="BI37" i="11" s="1"/>
  <c r="BD37" i="11"/>
  <c r="BC37" i="11" s="1"/>
  <c r="AZ37" i="11" s="1"/>
  <c r="AU37" i="11"/>
  <c r="AT37" i="11" s="1"/>
  <c r="AQ37" i="11" s="1"/>
  <c r="AL37" i="11"/>
  <c r="AK37" i="11" s="1"/>
  <c r="AH37" i="11" s="1"/>
  <c r="AC37" i="11"/>
  <c r="AB37" i="11"/>
  <c r="Y37" i="11" s="1"/>
  <c r="BY36" i="11"/>
  <c r="BU36" i="11"/>
  <c r="BQ36" i="11"/>
  <c r="BL36" i="11"/>
  <c r="BI36" i="11" s="1"/>
  <c r="BD36" i="11"/>
  <c r="BC36" i="11" s="1"/>
  <c r="AZ36" i="11" s="1"/>
  <c r="AV36" i="11"/>
  <c r="AU36" i="11" s="1"/>
  <c r="AT36" i="11" s="1"/>
  <c r="AQ36" i="11" s="1"/>
  <c r="AM36" i="11"/>
  <c r="AL36" i="11" s="1"/>
  <c r="AK36" i="11" s="1"/>
  <c r="AH36" i="11" s="1"/>
  <c r="AC36" i="11"/>
  <c r="AB36" i="11"/>
  <c r="Y36" i="11" s="1"/>
  <c r="BY35" i="11"/>
  <c r="BU35" i="11"/>
  <c r="BQ35" i="11"/>
  <c r="BL35" i="11"/>
  <c r="BD35" i="11"/>
  <c r="BC35" i="11" s="1"/>
  <c r="AZ35" i="11" s="1"/>
  <c r="AU35" i="11"/>
  <c r="AT35" i="11" s="1"/>
  <c r="AQ35" i="11" s="1"/>
  <c r="AL35" i="11"/>
  <c r="AK35" i="11" s="1"/>
  <c r="AH35" i="11" s="1"/>
  <c r="AC35" i="11"/>
  <c r="AB35" i="11"/>
  <c r="Y35" i="11" s="1"/>
  <c r="BD34" i="11"/>
  <c r="BC34" i="11" s="1"/>
  <c r="AU34" i="11"/>
  <c r="AT34" i="11" s="1"/>
  <c r="AQ34" i="11" s="1"/>
  <c r="AL34" i="11"/>
  <c r="AK34" i="11" s="1"/>
  <c r="AH34" i="11" s="1"/>
  <c r="AC34" i="11"/>
  <c r="AB34" i="11"/>
  <c r="Y34" i="11" s="1"/>
  <c r="U34" i="11"/>
  <c r="U29" i="11" s="1"/>
  <c r="U28" i="11" s="1"/>
  <c r="BD33" i="11"/>
  <c r="BC33" i="11" s="1"/>
  <c r="AU33" i="11"/>
  <c r="AT33" i="11" s="1"/>
  <c r="AQ33" i="11" s="1"/>
  <c r="AL33" i="11"/>
  <c r="AK33" i="11" s="1"/>
  <c r="AH33" i="11" s="1"/>
  <c r="AC33" i="11"/>
  <c r="AB33" i="11"/>
  <c r="Y33" i="11" s="1"/>
  <c r="BD32" i="11"/>
  <c r="AV32" i="11"/>
  <c r="AM32" i="11"/>
  <c r="AL32" i="11" s="1"/>
  <c r="AK32" i="11" s="1"/>
  <c r="AH32" i="11" s="1"/>
  <c r="AD32" i="11"/>
  <c r="AC32" i="11" s="1"/>
  <c r="BD31" i="11"/>
  <c r="BC31" i="11" s="1"/>
  <c r="AU31" i="11"/>
  <c r="AT31" i="11" s="1"/>
  <c r="AQ31" i="11" s="1"/>
  <c r="AL31" i="11"/>
  <c r="AK31" i="11" s="1"/>
  <c r="AH31" i="11" s="1"/>
  <c r="AC31" i="11"/>
  <c r="AB31" i="11"/>
  <c r="Y31" i="11" s="1"/>
  <c r="BD30" i="11"/>
  <c r="BC30" i="11" s="1"/>
  <c r="AZ30" i="11" s="1"/>
  <c r="AU30" i="11"/>
  <c r="AT30" i="11" s="1"/>
  <c r="AQ30" i="11" s="1"/>
  <c r="AL30" i="11"/>
  <c r="AK30" i="11" s="1"/>
  <c r="AC30" i="11"/>
  <c r="AB30" i="11"/>
  <c r="Y30" i="11" s="1"/>
  <c r="BH29" i="11"/>
  <c r="BG29" i="11"/>
  <c r="BF29" i="11"/>
  <c r="BB29" i="11"/>
  <c r="BA29" i="11"/>
  <c r="AW29" i="11"/>
  <c r="AS29" i="11"/>
  <c r="AN29" i="11"/>
  <c r="AJ29" i="11"/>
  <c r="AI29" i="11"/>
  <c r="AG29" i="11"/>
  <c r="AF29" i="11"/>
  <c r="AE29" i="11"/>
  <c r="AA29" i="11"/>
  <c r="Z29" i="11"/>
  <c r="X29" i="11"/>
  <c r="W29" i="11"/>
  <c r="V29" i="11"/>
  <c r="T29" i="11"/>
  <c r="S29" i="11"/>
  <c r="R29" i="11"/>
  <c r="Q29" i="11"/>
  <c r="P29" i="11"/>
  <c r="O29" i="11"/>
  <c r="BD27" i="11"/>
  <c r="BC27" i="11" s="1"/>
  <c r="AU27" i="11"/>
  <c r="AT27" i="11" s="1"/>
  <c r="AL27" i="11"/>
  <c r="AK27" i="11" s="1"/>
  <c r="AC27" i="11"/>
  <c r="AB27" i="11"/>
  <c r="Y27" i="11" s="1"/>
  <c r="BD26" i="11"/>
  <c r="AU26" i="11"/>
  <c r="AL26" i="11"/>
  <c r="AC26" i="11"/>
  <c r="AB26" i="11"/>
  <c r="Y26" i="11" s="1"/>
  <c r="BH25" i="11"/>
  <c r="BG25" i="11"/>
  <c r="BF25" i="11"/>
  <c r="BE25" i="11"/>
  <c r="BB25" i="11"/>
  <c r="BA25" i="11"/>
  <c r="AZ25" i="11"/>
  <c r="AY25" i="11"/>
  <c r="AX25" i="11"/>
  <c r="AW25" i="11"/>
  <c r="AV25" i="11"/>
  <c r="AS25" i="11"/>
  <c r="AR25" i="11"/>
  <c r="AQ25" i="11"/>
  <c r="AP25" i="11"/>
  <c r="AO25" i="11"/>
  <c r="AN25" i="11"/>
  <c r="AM25" i="11"/>
  <c r="AJ25" i="11"/>
  <c r="AI25" i="11"/>
  <c r="AH25" i="11"/>
  <c r="AG25" i="11"/>
  <c r="AF25" i="11"/>
  <c r="AE25" i="11"/>
  <c r="AD25" i="11"/>
  <c r="AA25" i="11"/>
  <c r="Z25" i="11"/>
  <c r="X25" i="11"/>
  <c r="W25" i="11"/>
  <c r="V25" i="11"/>
  <c r="U25" i="11"/>
  <c r="T25" i="11"/>
  <c r="S25" i="11"/>
  <c r="R25" i="11"/>
  <c r="Q25" i="11"/>
  <c r="P25" i="11"/>
  <c r="O25" i="11"/>
  <c r="BU24" i="11"/>
  <c r="BQ24" i="11"/>
  <c r="BL24" i="11"/>
  <c r="BI24" i="11" s="1"/>
  <c r="BD24" i="11"/>
  <c r="BC24" i="11" s="1"/>
  <c r="AZ24" i="11" s="1"/>
  <c r="AU24" i="11"/>
  <c r="AT24" i="11" s="1"/>
  <c r="AQ24" i="11" s="1"/>
  <c r="AL24" i="11"/>
  <c r="AK24" i="11" s="1"/>
  <c r="AH24" i="11" s="1"/>
  <c r="AC24" i="11"/>
  <c r="AB24" i="11"/>
  <c r="Y24" i="11" s="1"/>
  <c r="BU23" i="11"/>
  <c r="BQ23" i="11"/>
  <c r="BQ19" i="11" s="1"/>
  <c r="BQ18" i="11" s="1"/>
  <c r="BL23" i="11"/>
  <c r="BI23" i="11" s="1"/>
  <c r="BD23" i="11"/>
  <c r="BC23" i="11" s="1"/>
  <c r="AZ23" i="11" s="1"/>
  <c r="AU23" i="11"/>
  <c r="AT23" i="11" s="1"/>
  <c r="AQ23" i="11" s="1"/>
  <c r="AL23" i="11"/>
  <c r="AK23" i="11" s="1"/>
  <c r="AH23" i="11" s="1"/>
  <c r="AC23" i="11"/>
  <c r="AB23" i="11"/>
  <c r="Y23" i="11" s="1"/>
  <c r="BL22" i="11"/>
  <c r="BE22" i="11"/>
  <c r="BD22" i="11" s="1"/>
  <c r="BC22" i="11" s="1"/>
  <c r="AZ22" i="11" s="1"/>
  <c r="AU22" i="11"/>
  <c r="AL22" i="11"/>
  <c r="AK22" i="11" s="1"/>
  <c r="AH22" i="11" s="1"/>
  <c r="AC22" i="11"/>
  <c r="AB22" i="11"/>
  <c r="Y22" i="11" s="1"/>
  <c r="BD21" i="11"/>
  <c r="BC21" i="11" s="1"/>
  <c r="AU21" i="11"/>
  <c r="AT21" i="11" s="1"/>
  <c r="AL21" i="11"/>
  <c r="AK21" i="11" s="1"/>
  <c r="AH21" i="11" s="1"/>
  <c r="AC21" i="11"/>
  <c r="AB21" i="11"/>
  <c r="Y21" i="11" s="1"/>
  <c r="BD20" i="11"/>
  <c r="BC20" i="11" s="1"/>
  <c r="AU20" i="11"/>
  <c r="AT20" i="11" s="1"/>
  <c r="AL20" i="11"/>
  <c r="AK20" i="11" s="1"/>
  <c r="AC20" i="11"/>
  <c r="AB20" i="11"/>
  <c r="BH19" i="11"/>
  <c r="BG19" i="11"/>
  <c r="BF19" i="11"/>
  <c r="BB19" i="11"/>
  <c r="BA19" i="11"/>
  <c r="AY19" i="11"/>
  <c r="AX19" i="11"/>
  <c r="AW19" i="11"/>
  <c r="AV19" i="11"/>
  <c r="AS19" i="11"/>
  <c r="AR19" i="11"/>
  <c r="AP19" i="11"/>
  <c r="AO19" i="11"/>
  <c r="AN19" i="11"/>
  <c r="AM19" i="11"/>
  <c r="AJ19" i="11"/>
  <c r="AI19" i="11"/>
  <c r="AG19" i="11"/>
  <c r="AF19" i="11"/>
  <c r="AE19" i="11"/>
  <c r="AD19" i="11"/>
  <c r="AA19" i="11"/>
  <c r="Z19" i="11"/>
  <c r="X19" i="11"/>
  <c r="W19" i="11"/>
  <c r="V19" i="11"/>
  <c r="U19" i="11"/>
  <c r="T19" i="11"/>
  <c r="S19" i="11"/>
  <c r="R19" i="11"/>
  <c r="Q19" i="11"/>
  <c r="P19" i="11"/>
  <c r="O19" i="11"/>
  <c r="BU16" i="11"/>
  <c r="BU14" i="11" s="1"/>
  <c r="BQ16" i="11"/>
  <c r="BQ14" i="11" s="1"/>
  <c r="BL16" i="11"/>
  <c r="BL14" i="11" s="1"/>
  <c r="BD16" i="11"/>
  <c r="BC16" i="11" s="1"/>
  <c r="AZ16" i="11" s="1"/>
  <c r="AU16" i="11"/>
  <c r="AL16" i="11"/>
  <c r="AK16" i="11" s="1"/>
  <c r="AH16" i="11" s="1"/>
  <c r="AC16" i="11"/>
  <c r="AB16" i="11"/>
  <c r="Y16" i="11" s="1"/>
  <c r="BG15" i="11"/>
  <c r="BG14" i="11" s="1"/>
  <c r="BD15" i="11"/>
  <c r="AU15" i="11"/>
  <c r="AT15" i="11" s="1"/>
  <c r="AL15" i="11"/>
  <c r="AK15" i="11" s="1"/>
  <c r="AC15" i="11"/>
  <c r="AB15" i="11"/>
  <c r="Y15" i="11" s="1"/>
  <c r="BH14" i="11"/>
  <c r="BF14" i="11"/>
  <c r="BE14" i="11"/>
  <c r="BB14" i="11"/>
  <c r="BA14" i="11"/>
  <c r="AY14" i="11"/>
  <c r="AX14" i="11"/>
  <c r="AW14" i="11"/>
  <c r="AV14" i="11"/>
  <c r="AS14" i="11"/>
  <c r="AR14" i="11"/>
  <c r="AP14" i="11"/>
  <c r="AO14" i="11"/>
  <c r="AN14" i="11"/>
  <c r="AM14" i="11"/>
  <c r="AJ14" i="11"/>
  <c r="AI14" i="11"/>
  <c r="AG14" i="11"/>
  <c r="AF14" i="11"/>
  <c r="AE14" i="11"/>
  <c r="AD14" i="11"/>
  <c r="AA14" i="11"/>
  <c r="Z14" i="11"/>
  <c r="X14" i="11"/>
  <c r="W14" i="11"/>
  <c r="V14" i="11"/>
  <c r="U14" i="11"/>
  <c r="T14" i="11"/>
  <c r="S14" i="11"/>
  <c r="R14" i="11"/>
  <c r="Q14" i="11"/>
  <c r="P14" i="11"/>
  <c r="O14" i="11"/>
  <c r="AS90" i="11" l="1"/>
  <c r="AY28" i="11"/>
  <c r="W90" i="11"/>
  <c r="BB90" i="11"/>
  <c r="AW90" i="11"/>
  <c r="BE90" i="11"/>
  <c r="BH28" i="11"/>
  <c r="AJ28" i="11"/>
  <c r="Q28" i="11"/>
  <c r="AN90" i="11"/>
  <c r="AO18" i="11"/>
  <c r="BU19" i="11"/>
  <c r="BU18" i="11" s="1"/>
  <c r="BQ29" i="11"/>
  <c r="BQ28" i="11" s="1"/>
  <c r="AW18" i="11"/>
  <c r="AW17" i="11" s="1"/>
  <c r="AW13" i="11" s="1"/>
  <c r="BF28" i="11"/>
  <c r="BY29" i="11"/>
  <c r="BY28" i="11" s="1"/>
  <c r="BY17" i="11" s="1"/>
  <c r="BY13" i="11" s="1"/>
  <c r="R90" i="11"/>
  <c r="V90" i="11"/>
  <c r="AG90" i="11"/>
  <c r="BU91" i="11"/>
  <c r="BU90" i="11" s="1"/>
  <c r="BI22" i="11"/>
  <c r="BI19" i="11" s="1"/>
  <c r="BI18" i="11" s="1"/>
  <c r="BL19" i="11"/>
  <c r="BL18" i="11" s="1"/>
  <c r="BU29" i="11"/>
  <c r="BU28" i="11" s="1"/>
  <c r="BQ91" i="11"/>
  <c r="BQ90" i="11" s="1"/>
  <c r="BI92" i="11"/>
  <c r="BL91" i="11"/>
  <c r="BL90" i="11" s="1"/>
  <c r="BI35" i="11"/>
  <c r="BL29" i="11"/>
  <c r="BL28" i="11" s="1"/>
  <c r="AW28" i="11"/>
  <c r="AN18" i="11"/>
  <c r="S18" i="11"/>
  <c r="BB18" i="11"/>
  <c r="X28" i="11"/>
  <c r="AI28" i="11"/>
  <c r="AG18" i="11"/>
  <c r="V18" i="11"/>
  <c r="BF18" i="11"/>
  <c r="AP29" i="11"/>
  <c r="AP28" i="11" s="1"/>
  <c r="AO28" i="11"/>
  <c r="AO17" i="11" s="1"/>
  <c r="AO13" i="11" s="1"/>
  <c r="T90" i="11"/>
  <c r="W28" i="11"/>
  <c r="AR90" i="11"/>
  <c r="AP90" i="11"/>
  <c r="AA18" i="11"/>
  <c r="AP18" i="11"/>
  <c r="Z90" i="11"/>
  <c r="Z18" i="11"/>
  <c r="AC25" i="11"/>
  <c r="BF90" i="11"/>
  <c r="AA28" i="11"/>
  <c r="BG28" i="11"/>
  <c r="BD14" i="11"/>
  <c r="AV29" i="11"/>
  <c r="AV28" i="11" s="1"/>
  <c r="AK39" i="11"/>
  <c r="AH39" i="11" s="1"/>
  <c r="P90" i="11"/>
  <c r="AE90" i="11"/>
  <c r="BE19" i="11"/>
  <c r="BE18" i="11" s="1"/>
  <c r="Y115" i="11"/>
  <c r="AB114" i="11"/>
  <c r="U90" i="11"/>
  <c r="AE28" i="11"/>
  <c r="AK115" i="11"/>
  <c r="AK114" i="11" s="1"/>
  <c r="AL114" i="11"/>
  <c r="P28" i="11"/>
  <c r="AT115" i="11"/>
  <c r="AT114" i="11" s="1"/>
  <c r="AU114" i="11"/>
  <c r="BC115" i="11"/>
  <c r="BD114" i="11"/>
  <c r="AY18" i="11"/>
  <c r="T18" i="11"/>
  <c r="AD18" i="11"/>
  <c r="AS28" i="11"/>
  <c r="V28" i="11"/>
  <c r="BA28" i="11"/>
  <c r="S90" i="11"/>
  <c r="BD19" i="11"/>
  <c r="AN28" i="11"/>
  <c r="BA90" i="11"/>
  <c r="BG18" i="11"/>
  <c r="O18" i="11"/>
  <c r="Z28" i="11"/>
  <c r="AU14" i="11"/>
  <c r="AX18" i="11"/>
  <c r="BB28" i="11"/>
  <c r="AD90" i="11"/>
  <c r="X90" i="11"/>
  <c r="P18" i="11"/>
  <c r="AC14" i="11"/>
  <c r="Q18" i="11"/>
  <c r="AF18" i="11"/>
  <c r="O91" i="11"/>
  <c r="O90" i="11" s="1"/>
  <c r="R18" i="11"/>
  <c r="Q90" i="11"/>
  <c r="AF90" i="11"/>
  <c r="BA18" i="11"/>
  <c r="AK69" i="11"/>
  <c r="AH69" i="11" s="1"/>
  <c r="AM18" i="11"/>
  <c r="AL25" i="11"/>
  <c r="AI90" i="11"/>
  <c r="AB32" i="11"/>
  <c r="Y32" i="11" s="1"/>
  <c r="AB106" i="11"/>
  <c r="AQ56" i="11"/>
  <c r="BG90" i="11"/>
  <c r="AI18" i="11"/>
  <c r="AV90" i="11"/>
  <c r="AC106" i="11"/>
  <c r="AK26" i="11"/>
  <c r="AK25" i="11" s="1"/>
  <c r="O28" i="11"/>
  <c r="AD29" i="11"/>
  <c r="AD28" i="11" s="1"/>
  <c r="AT39" i="11"/>
  <c r="AQ39" i="11" s="1"/>
  <c r="AR28" i="11"/>
  <c r="W18" i="11"/>
  <c r="R28" i="11"/>
  <c r="AG28" i="11"/>
  <c r="AX90" i="11"/>
  <c r="AL106" i="11"/>
  <c r="AK19" i="11"/>
  <c r="AB19" i="11"/>
  <c r="AJ90" i="11"/>
  <c r="AY90" i="11"/>
  <c r="BC15" i="11"/>
  <c r="T28" i="11"/>
  <c r="AM90" i="11"/>
  <c r="U18" i="11"/>
  <c r="AL19" i="11"/>
  <c r="AT69" i="11"/>
  <c r="AQ69" i="11" s="1"/>
  <c r="AA90" i="11"/>
  <c r="BE29" i="11"/>
  <c r="BE28" i="11" s="1"/>
  <c r="AB81" i="11"/>
  <c r="AK106" i="11"/>
  <c r="S28" i="11"/>
  <c r="BD91" i="11"/>
  <c r="BD106" i="11"/>
  <c r="X18" i="11"/>
  <c r="AL14" i="11"/>
  <c r="AM29" i="11"/>
  <c r="AM28" i="11" s="1"/>
  <c r="AH56" i="11"/>
  <c r="BD81" i="11"/>
  <c r="AC81" i="11"/>
  <c r="BH90" i="11"/>
  <c r="Y106" i="11"/>
  <c r="AT16" i="11"/>
  <c r="AQ16" i="11" s="1"/>
  <c r="AR18" i="11"/>
  <c r="BH18" i="11"/>
  <c r="AZ19" i="11"/>
  <c r="AZ18" i="11" s="1"/>
  <c r="AU32" i="11"/>
  <c r="AT32" i="11" s="1"/>
  <c r="AQ32" i="11" s="1"/>
  <c r="AL81" i="11"/>
  <c r="AE18" i="11"/>
  <c r="AV18" i="11"/>
  <c r="BC81" i="11"/>
  <c r="Y20" i="11"/>
  <c r="Y19" i="11" s="1"/>
  <c r="AF28" i="11"/>
  <c r="AU81" i="11"/>
  <c r="BC32" i="11"/>
  <c r="BC29" i="11" s="1"/>
  <c r="BD29" i="11"/>
  <c r="AK40" i="11"/>
  <c r="AH40" i="11" s="1"/>
  <c r="AK42" i="11"/>
  <c r="AH42" i="11" s="1"/>
  <c r="AL29" i="11"/>
  <c r="BD25" i="11"/>
  <c r="BC26" i="11"/>
  <c r="BC25" i="11" s="1"/>
  <c r="AC29" i="11"/>
  <c r="Y96" i="11"/>
  <c r="Y91" i="11" s="1"/>
  <c r="AB91" i="11"/>
  <c r="AT106" i="11"/>
  <c r="BC19" i="11"/>
  <c r="AH30" i="11"/>
  <c r="AT81" i="11"/>
  <c r="BC91" i="11"/>
  <c r="AZ92" i="11"/>
  <c r="AZ91" i="11" s="1"/>
  <c r="AZ90" i="11" s="1"/>
  <c r="AT22" i="11"/>
  <c r="AQ22" i="11" s="1"/>
  <c r="AQ19" i="11" s="1"/>
  <c r="AQ18" i="11" s="1"/>
  <c r="AU19" i="11"/>
  <c r="AB14" i="11"/>
  <c r="AS18" i="11"/>
  <c r="AC19" i="11"/>
  <c r="BI40" i="11"/>
  <c r="Y14" i="11"/>
  <c r="Y114" i="11"/>
  <c r="AZ29" i="11"/>
  <c r="AZ28" i="11" s="1"/>
  <c r="AU91" i="11"/>
  <c r="AT26" i="11"/>
  <c r="AT25" i="11" s="1"/>
  <c r="AU25" i="11"/>
  <c r="AK14" i="11"/>
  <c r="AH15" i="11"/>
  <c r="AH14" i="11" s="1"/>
  <c r="BI16" i="11"/>
  <c r="BI14" i="11" s="1"/>
  <c r="AH19" i="11"/>
  <c r="AH18" i="11" s="1"/>
  <c r="AQ15" i="11"/>
  <c r="AH94" i="11"/>
  <c r="AH91" i="11" s="1"/>
  <c r="AH90" i="11" s="1"/>
  <c r="AK91" i="11"/>
  <c r="Y25" i="11"/>
  <c r="BI96" i="11"/>
  <c r="AJ18" i="11"/>
  <c r="AC91" i="11"/>
  <c r="AT91" i="11"/>
  <c r="AQ93" i="11"/>
  <c r="AQ91" i="11" s="1"/>
  <c r="AQ90" i="11" s="1"/>
  <c r="AK82" i="11"/>
  <c r="AK81" i="11" s="1"/>
  <c r="Y85" i="11"/>
  <c r="Y81" i="11" s="1"/>
  <c r="BC110" i="11"/>
  <c r="BC106" i="11" s="1"/>
  <c r="AL91" i="11"/>
  <c r="AB25" i="11"/>
  <c r="AB38" i="11"/>
  <c r="Y38" i="11" s="1"/>
  <c r="AB40" i="11"/>
  <c r="Y40" i="11" s="1"/>
  <c r="AU106" i="11"/>
  <c r="AJ17" i="11" l="1"/>
  <c r="BU17" i="11"/>
  <c r="BU13" i="11" s="1"/>
  <c r="AR17" i="11"/>
  <c r="BQ17" i="11"/>
  <c r="BQ13" i="11" s="1"/>
  <c r="BL17" i="11"/>
  <c r="BL13" i="11" s="1"/>
  <c r="AG17" i="11"/>
  <c r="AG13" i="11" s="1"/>
  <c r="AN17" i="11"/>
  <c r="AN13" i="11" s="1"/>
  <c r="BI91" i="11"/>
  <c r="BI90" i="11" s="1"/>
  <c r="BI29" i="11"/>
  <c r="BI28" i="11" s="1"/>
  <c r="AC18" i="11"/>
  <c r="V17" i="11"/>
  <c r="V13" i="11" s="1"/>
  <c r="AB90" i="11"/>
  <c r="Y90" i="11"/>
  <c r="BF17" i="11"/>
  <c r="BF13" i="11" s="1"/>
  <c r="AP17" i="11"/>
  <c r="AP13" i="11" s="1"/>
  <c r="Z17" i="11"/>
  <c r="Z13" i="11" s="1"/>
  <c r="AI17" i="11"/>
  <c r="AI13" i="11" s="1"/>
  <c r="AZ17" i="11"/>
  <c r="BH17" i="11"/>
  <c r="BH13" i="11" s="1"/>
  <c r="S17" i="11"/>
  <c r="S13" i="11" s="1"/>
  <c r="R17" i="11"/>
  <c r="R13" i="11" s="1"/>
  <c r="AD17" i="11"/>
  <c r="AD13" i="11" s="1"/>
  <c r="Q17" i="11"/>
  <c r="Q13" i="11" s="1"/>
  <c r="BG17" i="11"/>
  <c r="BG13" i="11" s="1"/>
  <c r="T17" i="11"/>
  <c r="T13" i="11" s="1"/>
  <c r="AF17" i="11"/>
  <c r="AF13" i="11" s="1"/>
  <c r="AM17" i="11"/>
  <c r="AM13" i="11" s="1"/>
  <c r="P17" i="11"/>
  <c r="P13" i="11" s="1"/>
  <c r="AY17" i="11"/>
  <c r="AY13" i="11" s="1"/>
  <c r="AS17" i="11"/>
  <c r="AS13" i="11" s="1"/>
  <c r="BA17" i="11"/>
  <c r="BA13" i="11" s="1"/>
  <c r="BE17" i="11"/>
  <c r="BE13" i="11" s="1"/>
  <c r="AZ115" i="11"/>
  <c r="AZ114" i="11" s="1"/>
  <c r="BC114" i="11"/>
  <c r="X17" i="11"/>
  <c r="X13" i="11" s="1"/>
  <c r="AL18" i="11"/>
  <c r="U17" i="11"/>
  <c r="U13" i="11" s="1"/>
  <c r="W17" i="11"/>
  <c r="W13" i="11" s="1"/>
  <c r="AX17" i="11"/>
  <c r="AX13" i="11" s="1"/>
  <c r="AA17" i="11"/>
  <c r="AA13" i="11" s="1"/>
  <c r="AV17" i="11"/>
  <c r="AV13" i="11" s="1"/>
  <c r="BB17" i="11"/>
  <c r="BB13" i="11" s="1"/>
  <c r="AE17" i="11"/>
  <c r="AE13" i="11" s="1"/>
  <c r="O17" i="11"/>
  <c r="O13" i="11" s="1"/>
  <c r="AT14" i="11"/>
  <c r="BD18" i="11"/>
  <c r="AQ29" i="11"/>
  <c r="AQ28" i="11" s="1"/>
  <c r="AQ17" i="11" s="1"/>
  <c r="AJ13" i="11"/>
  <c r="AB18" i="11"/>
  <c r="AL90" i="11"/>
  <c r="AK18" i="11"/>
  <c r="AL28" i="11"/>
  <c r="AU29" i="11"/>
  <c r="AU28" i="11" s="1"/>
  <c r="AK90" i="11"/>
  <c r="BD90" i="11"/>
  <c r="AC90" i="11"/>
  <c r="BD28" i="11"/>
  <c r="BC28" i="11"/>
  <c r="AR13" i="11"/>
  <c r="AC28" i="11"/>
  <c r="AU18" i="11"/>
  <c r="BC14" i="11"/>
  <c r="AT119" i="11" s="1"/>
  <c r="AZ15" i="11"/>
  <c r="AZ14" i="11" s="1"/>
  <c r="Y29" i="11"/>
  <c r="Y28" i="11" s="1"/>
  <c r="AQ14" i="11"/>
  <c r="AB29" i="11"/>
  <c r="AB28" i="11" s="1"/>
  <c r="AT29" i="11"/>
  <c r="AT28" i="11" s="1"/>
  <c r="AU90" i="11"/>
  <c r="BC90" i="11"/>
  <c r="AT90" i="11"/>
  <c r="Y18" i="11"/>
  <c r="AH29" i="11"/>
  <c r="AH28" i="11" s="1"/>
  <c r="AH17" i="11" s="1"/>
  <c r="AK29" i="11"/>
  <c r="AK28" i="11" s="1"/>
  <c r="AT19" i="11"/>
  <c r="AT18" i="11" s="1"/>
  <c r="BC18" i="11"/>
  <c r="BI17" i="11" l="1"/>
  <c r="BI13" i="11" s="1"/>
  <c r="AL17" i="11"/>
  <c r="AC17" i="11"/>
  <c r="AC13" i="11" s="1"/>
  <c r="BC17" i="11"/>
  <c r="BC13" i="11" s="1"/>
  <c r="AB17" i="11"/>
  <c r="AB13" i="11" s="1"/>
  <c r="AT17" i="11"/>
  <c r="AT13" i="11" s="1"/>
  <c r="AL13" i="11"/>
  <c r="Y17" i="11"/>
  <c r="Y13" i="11" s="1"/>
  <c r="AH13" i="11"/>
  <c r="BD17" i="11"/>
  <c r="BD13" i="11" s="1"/>
  <c r="AU17" i="11"/>
  <c r="AU13" i="11" s="1"/>
  <c r="AK17" i="11"/>
  <c r="AK13" i="11" s="1"/>
  <c r="AZ13" i="11"/>
  <c r="AQ13" i="11"/>
  <c r="AB128" i="10" l="1"/>
  <c r="N14" i="10" l="1"/>
  <c r="O14" i="10"/>
  <c r="P14" i="10"/>
  <c r="Q14" i="10"/>
  <c r="R14" i="10"/>
  <c r="S14" i="10"/>
  <c r="T14" i="10"/>
  <c r="U14" i="10"/>
  <c r="V14" i="10"/>
  <c r="X14" i="10"/>
  <c r="Y14" i="10"/>
  <c r="AA14" i="10"/>
  <c r="AC14" i="10"/>
  <c r="AE14" i="10"/>
  <c r="AF14" i="10"/>
  <c r="AH14" i="10"/>
  <c r="AI14" i="10"/>
  <c r="AK14" i="10"/>
  <c r="AM14" i="10"/>
  <c r="AN14" i="10"/>
  <c r="AP14" i="10"/>
  <c r="AQ14" i="10"/>
  <c r="AS14" i="10"/>
  <c r="AU14" i="10"/>
  <c r="AV14" i="10"/>
  <c r="AX14" i="10"/>
  <c r="AZ14" i="10"/>
  <c r="W102" i="9" l="1"/>
  <c r="AY15" i="7" l="1"/>
  <c r="N99" i="9" l="1"/>
  <c r="O99" i="9"/>
  <c r="P99" i="9"/>
  <c r="Q99" i="9"/>
  <c r="R99" i="9"/>
  <c r="T99" i="9"/>
  <c r="U99" i="9"/>
  <c r="V99" i="9"/>
  <c r="X99" i="9"/>
  <c r="Y99" i="9"/>
  <c r="AA99" i="9"/>
  <c r="AB99" i="9"/>
  <c r="AC99" i="9"/>
  <c r="AE99" i="9"/>
  <c r="AF99" i="9"/>
  <c r="AH99" i="9"/>
  <c r="AI99" i="9"/>
  <c r="AJ99" i="9"/>
  <c r="AK99" i="9"/>
  <c r="AM99" i="9"/>
  <c r="AN99" i="9"/>
  <c r="AP99" i="9"/>
  <c r="AQ99" i="9"/>
  <c r="AR99" i="9"/>
  <c r="AS99" i="9"/>
  <c r="AU99" i="9"/>
  <c r="AV99" i="9"/>
  <c r="AX99" i="9"/>
  <c r="AY99" i="9"/>
  <c r="AZ99" i="9"/>
  <c r="BB99" i="9"/>
  <c r="BB87" i="9" s="1"/>
  <c r="BC99" i="9"/>
  <c r="BC87" i="9" s="1"/>
  <c r="BE99" i="9"/>
  <c r="BE87" i="9" s="1"/>
  <c r="BF99" i="9"/>
  <c r="BF87" i="9" s="1"/>
  <c r="BG99" i="9"/>
  <c r="BG87" i="9" s="1"/>
  <c r="BH99" i="9"/>
  <c r="BH87" i="9" s="1"/>
  <c r="BJ99" i="9"/>
  <c r="BJ87" i="9" s="1"/>
  <c r="BK99" i="9"/>
  <c r="BK87" i="9" s="1"/>
  <c r="BL99" i="9"/>
  <c r="BL87" i="9" s="1"/>
  <c r="BN99" i="9"/>
  <c r="BN87" i="9" s="1"/>
  <c r="BO99" i="9"/>
  <c r="BO87" i="9" s="1"/>
  <c r="BP99" i="9"/>
  <c r="BP87" i="9" s="1"/>
  <c r="BR99" i="9"/>
  <c r="BR87" i="9" s="1"/>
  <c r="BS99" i="9"/>
  <c r="BS87" i="9" s="1"/>
  <c r="BT99" i="9"/>
  <c r="BT87" i="9" s="1"/>
  <c r="BU99" i="9"/>
  <c r="BU87" i="9" s="1"/>
  <c r="M99" i="9"/>
  <c r="N78" i="9"/>
  <c r="O78" i="9"/>
  <c r="P78" i="9"/>
  <c r="Q78" i="9"/>
  <c r="R78" i="9"/>
  <c r="T78" i="9"/>
  <c r="U78" i="9"/>
  <c r="V78" i="9"/>
  <c r="X78" i="9"/>
  <c r="Y78" i="9"/>
  <c r="AA78" i="9"/>
  <c r="AC78" i="9"/>
  <c r="AE78" i="9"/>
  <c r="AF78" i="9"/>
  <c r="AH78" i="9"/>
  <c r="AI78" i="9"/>
  <c r="AK78" i="9"/>
  <c r="AM78" i="9"/>
  <c r="AN78" i="9"/>
  <c r="AP78" i="9"/>
  <c r="AQ78" i="9"/>
  <c r="AS78" i="9"/>
  <c r="AU78" i="9"/>
  <c r="AV78" i="9"/>
  <c r="AX78" i="9"/>
  <c r="AY78" i="9"/>
  <c r="AZ78" i="9"/>
  <c r="BB32" i="9"/>
  <c r="BC32" i="9"/>
  <c r="BE32" i="9"/>
  <c r="BF32" i="9"/>
  <c r="BG32" i="9"/>
  <c r="BH32" i="9"/>
  <c r="BJ32" i="9"/>
  <c r="BK32" i="9"/>
  <c r="BL32" i="9"/>
  <c r="BN32" i="9"/>
  <c r="BO32" i="9"/>
  <c r="BP32" i="9"/>
  <c r="BR32" i="9"/>
  <c r="BS32" i="9"/>
  <c r="BT32" i="9"/>
  <c r="BU32" i="9"/>
  <c r="M78" i="9"/>
  <c r="X128" i="10" l="1"/>
  <c r="Y128" i="10"/>
  <c r="AA128" i="10"/>
  <c r="AC128" i="10"/>
  <c r="AE128" i="10"/>
  <c r="AF128" i="10"/>
  <c r="AH128" i="10"/>
  <c r="AI128" i="10"/>
  <c r="AJ128" i="10"/>
  <c r="AK128" i="10"/>
  <c r="AM128" i="10"/>
  <c r="AN128" i="10"/>
  <c r="AP128" i="10"/>
  <c r="AQ128" i="10"/>
  <c r="AR128" i="10"/>
  <c r="AS128" i="10"/>
  <c r="AU128" i="10"/>
  <c r="AV128" i="10"/>
  <c r="AX128" i="10"/>
  <c r="AY128" i="10"/>
  <c r="AZ128" i="10"/>
  <c r="BB128" i="10"/>
  <c r="BB13" i="10" s="1"/>
  <c r="BC128" i="10"/>
  <c r="BC13" i="10" s="1"/>
  <c r="BE128" i="10"/>
  <c r="BE13" i="10" s="1"/>
  <c r="BF128" i="10"/>
  <c r="BF13" i="10" s="1"/>
  <c r="BG128" i="10"/>
  <c r="BG13" i="10" s="1"/>
  <c r="BH128" i="10"/>
  <c r="BH13" i="10" s="1"/>
  <c r="BJ128" i="10"/>
  <c r="BJ13" i="10" s="1"/>
  <c r="BK128" i="10"/>
  <c r="BK13" i="10" s="1"/>
  <c r="BL128" i="10"/>
  <c r="BL13" i="10" s="1"/>
  <c r="BN128" i="10"/>
  <c r="BN13" i="10" s="1"/>
  <c r="BO128" i="10"/>
  <c r="BO13" i="10" s="1"/>
  <c r="BP128" i="10"/>
  <c r="BP13" i="10" s="1"/>
  <c r="BQ128" i="10"/>
  <c r="BQ13" i="10" s="1"/>
  <c r="BR128" i="10"/>
  <c r="BR13" i="10" s="1"/>
  <c r="BS128" i="10"/>
  <c r="BS13" i="10" s="1"/>
  <c r="BT128" i="10"/>
  <c r="BT13" i="10" s="1"/>
  <c r="AT130" i="10"/>
  <c r="W130" i="10"/>
  <c r="N28" i="10"/>
  <c r="N27" i="10" s="1"/>
  <c r="O28" i="10"/>
  <c r="O27" i="10" s="1"/>
  <c r="P28" i="10"/>
  <c r="P27" i="10" s="1"/>
  <c r="Q28" i="10"/>
  <c r="Q27" i="10" s="1"/>
  <c r="R28" i="10"/>
  <c r="R27" i="10" s="1"/>
  <c r="S28" i="10"/>
  <c r="S27" i="10" s="1"/>
  <c r="T28" i="10"/>
  <c r="T27" i="10" s="1"/>
  <c r="U28" i="10"/>
  <c r="U27" i="10" s="1"/>
  <c r="V28" i="10"/>
  <c r="V27" i="10" s="1"/>
  <c r="X28" i="10"/>
  <c r="X27" i="10" s="1"/>
  <c r="Y28" i="10"/>
  <c r="Y27" i="10" s="1"/>
  <c r="AA28" i="10"/>
  <c r="AA27" i="10" s="1"/>
  <c r="AB28" i="10"/>
  <c r="AB27" i="10" s="1"/>
  <c r="AD28" i="10"/>
  <c r="AD27" i="10" s="1"/>
  <c r="AE28" i="10"/>
  <c r="AE27" i="10" s="1"/>
  <c r="AF28" i="10"/>
  <c r="AF27" i="10" s="1"/>
  <c r="AI28" i="10"/>
  <c r="AI27" i="10" s="1"/>
  <c r="AJ28" i="10"/>
  <c r="AJ27" i="10" s="1"/>
  <c r="AM28" i="10"/>
  <c r="AM27" i="10" s="1"/>
  <c r="AN28" i="10"/>
  <c r="AN27" i="10" s="1"/>
  <c r="AQ28" i="10"/>
  <c r="AQ27" i="10" s="1"/>
  <c r="AR28" i="10"/>
  <c r="AR27" i="10" s="1"/>
  <c r="AU28" i="10"/>
  <c r="AU27" i="10" s="1"/>
  <c r="AV28" i="10"/>
  <c r="AV27" i="10" s="1"/>
  <c r="AX28" i="10"/>
  <c r="AX27" i="10" s="1"/>
  <c r="AY28" i="10"/>
  <c r="AY27" i="10" s="1"/>
  <c r="AZ28" i="10"/>
  <c r="AZ27" i="10" s="1"/>
  <c r="N45" i="10"/>
  <c r="O45" i="10"/>
  <c r="P45" i="10"/>
  <c r="Q45" i="10"/>
  <c r="R45" i="10"/>
  <c r="T45" i="10"/>
  <c r="U45" i="10"/>
  <c r="X45" i="10"/>
  <c r="Y45" i="10"/>
  <c r="AB45" i="10"/>
  <c r="AF45" i="10"/>
  <c r="AI45" i="10"/>
  <c r="AJ45" i="10"/>
  <c r="AN45" i="10"/>
  <c r="AQ45" i="10"/>
  <c r="AR45" i="10"/>
  <c r="AU45" i="10"/>
  <c r="AV45" i="10"/>
  <c r="AX45" i="10"/>
  <c r="AY45" i="10"/>
  <c r="AZ45" i="10"/>
  <c r="N51" i="10"/>
  <c r="O51" i="10"/>
  <c r="P51" i="10"/>
  <c r="Q51" i="10"/>
  <c r="R51" i="10"/>
  <c r="T51" i="10"/>
  <c r="U51" i="10"/>
  <c r="V51" i="10"/>
  <c r="X51" i="10"/>
  <c r="Y51" i="10"/>
  <c r="AE51" i="10"/>
  <c r="AF51" i="10"/>
  <c r="AM51" i="10"/>
  <c r="AN51" i="10"/>
  <c r="AU51" i="10"/>
  <c r="AV51" i="10"/>
  <c r="AX51" i="10"/>
  <c r="AY51" i="10"/>
  <c r="AZ51" i="10"/>
  <c r="N92" i="10"/>
  <c r="N91" i="10" s="1"/>
  <c r="O92" i="10"/>
  <c r="O91" i="10" s="1"/>
  <c r="P92" i="10"/>
  <c r="P91" i="10" s="1"/>
  <c r="Q92" i="10"/>
  <c r="Q91" i="10" s="1"/>
  <c r="R92" i="10"/>
  <c r="R91" i="10" s="1"/>
  <c r="S92" i="10"/>
  <c r="S91" i="10" s="1"/>
  <c r="T92" i="10"/>
  <c r="T91" i="10" s="1"/>
  <c r="U92" i="10"/>
  <c r="U91" i="10" s="1"/>
  <c r="V92" i="10"/>
  <c r="V91" i="10" s="1"/>
  <c r="X92" i="10"/>
  <c r="X91" i="10" s="1"/>
  <c r="Y92" i="10"/>
  <c r="Y91" i="10" s="1"/>
  <c r="AA92" i="10"/>
  <c r="AA91" i="10" s="1"/>
  <c r="AB92" i="10"/>
  <c r="AB91" i="10" s="1"/>
  <c r="AE92" i="10"/>
  <c r="AE91" i="10" s="1"/>
  <c r="AF92" i="10"/>
  <c r="AF91" i="10" s="1"/>
  <c r="AI92" i="10"/>
  <c r="AI91" i="10" s="1"/>
  <c r="AJ92" i="10"/>
  <c r="AJ91" i="10" s="1"/>
  <c r="AN92" i="10"/>
  <c r="AN91" i="10" s="1"/>
  <c r="AQ92" i="10"/>
  <c r="AQ91" i="10" s="1"/>
  <c r="AR92" i="10"/>
  <c r="AR91" i="10" s="1"/>
  <c r="AU92" i="10"/>
  <c r="AU91" i="10" s="1"/>
  <c r="AV92" i="10"/>
  <c r="AV91" i="10" s="1"/>
  <c r="AX92" i="10"/>
  <c r="AX91" i="10" s="1"/>
  <c r="AY92" i="10"/>
  <c r="AY91" i="10" s="1"/>
  <c r="AZ92" i="10"/>
  <c r="AZ91" i="10" s="1"/>
  <c r="M92" i="10"/>
  <c r="M91" i="10" s="1"/>
  <c r="P44" i="10" l="1"/>
  <c r="P26" i="10" s="1"/>
  <c r="O44" i="10"/>
  <c r="O26" i="10" s="1"/>
  <c r="AF44" i="10"/>
  <c r="AF26" i="10" s="1"/>
  <c r="Q44" i="10"/>
  <c r="Q26" i="10" s="1"/>
  <c r="AZ44" i="10"/>
  <c r="AZ26" i="10" s="1"/>
  <c r="AY44" i="10"/>
  <c r="AY26" i="10" s="1"/>
  <c r="N44" i="10"/>
  <c r="N26" i="10" s="1"/>
  <c r="AN44" i="10"/>
  <c r="AN26" i="10" s="1"/>
  <c r="R44" i="10"/>
  <c r="R26" i="10" s="1"/>
  <c r="AX44" i="10"/>
  <c r="AX26" i="10" s="1"/>
  <c r="AV44" i="10"/>
  <c r="AV26" i="10" s="1"/>
  <c r="AU44" i="10"/>
  <c r="AU26" i="10" s="1"/>
  <c r="Y44" i="10"/>
  <c r="Y26" i="10" s="1"/>
  <c r="X44" i="10"/>
  <c r="X26" i="10" s="1"/>
  <c r="U44" i="10"/>
  <c r="U26" i="10" s="1"/>
  <c r="T44" i="10"/>
  <c r="T26" i="10" s="1"/>
  <c r="N128" i="10"/>
  <c r="O128" i="10"/>
  <c r="P128" i="10"/>
  <c r="Q128" i="10"/>
  <c r="R128" i="10"/>
  <c r="S128" i="10"/>
  <c r="T128" i="10"/>
  <c r="U128" i="10"/>
  <c r="V128" i="10"/>
  <c r="M128" i="10"/>
  <c r="AY25" i="10"/>
  <c r="AY14" i="10" s="1"/>
  <c r="AB25" i="10"/>
  <c r="W25" i="10" s="1"/>
  <c r="AT25" i="10" l="1"/>
  <c r="AT129" i="10"/>
  <c r="AT128" i="10" s="1"/>
  <c r="AT125" i="10"/>
  <c r="AT124" i="10"/>
  <c r="AT123" i="10"/>
  <c r="AT122" i="10"/>
  <c r="AT121" i="10"/>
  <c r="AT120" i="10"/>
  <c r="AT119" i="10"/>
  <c r="AT118" i="10"/>
  <c r="AT117" i="10"/>
  <c r="AT116" i="10"/>
  <c r="AT115" i="10"/>
  <c r="AT114" i="10"/>
  <c r="AT113" i="10"/>
  <c r="AT112" i="10"/>
  <c r="AT111" i="10"/>
  <c r="AT110" i="10"/>
  <c r="AT109" i="10"/>
  <c r="AT108" i="10"/>
  <c r="AT107" i="10"/>
  <c r="AT106" i="10"/>
  <c r="AT105" i="10"/>
  <c r="AT104" i="10"/>
  <c r="AT103" i="10"/>
  <c r="AT102" i="10"/>
  <c r="AT101" i="10"/>
  <c r="AT100" i="10"/>
  <c r="AT99" i="10"/>
  <c r="AT24" i="10"/>
  <c r="AT23" i="10"/>
  <c r="AT98" i="10"/>
  <c r="AT97" i="10"/>
  <c r="AT96" i="10"/>
  <c r="AT95" i="10"/>
  <c r="AT94" i="10"/>
  <c r="AT93" i="10"/>
  <c r="AT90" i="10"/>
  <c r="AT17" i="10"/>
  <c r="AT89" i="10"/>
  <c r="AT88" i="10"/>
  <c r="AT87" i="10"/>
  <c r="AT86" i="10"/>
  <c r="AT85" i="10"/>
  <c r="AT84" i="10"/>
  <c r="AT83" i="10"/>
  <c r="AT82" i="10"/>
  <c r="AT81" i="10"/>
  <c r="AT80" i="10"/>
  <c r="AT79" i="10"/>
  <c r="AT78" i="10"/>
  <c r="AT77" i="10"/>
  <c r="AT76" i="10"/>
  <c r="AT75" i="10"/>
  <c r="AT74" i="10"/>
  <c r="AT73" i="10"/>
  <c r="AT72" i="10"/>
  <c r="AT22" i="10"/>
  <c r="AT21" i="10"/>
  <c r="AT71" i="10"/>
  <c r="AT70" i="10"/>
  <c r="AT69" i="10"/>
  <c r="AT68" i="10"/>
  <c r="AT20" i="10"/>
  <c r="AT67" i="10"/>
  <c r="AT66" i="10"/>
  <c r="AT65" i="10"/>
  <c r="AT64" i="10"/>
  <c r="AT63" i="10"/>
  <c r="AT62" i="10"/>
  <c r="AT61" i="10"/>
  <c r="AT60" i="10"/>
  <c r="AT59" i="10"/>
  <c r="AT58" i="10"/>
  <c r="AT57" i="10"/>
  <c r="AT56" i="10"/>
  <c r="AT55" i="10"/>
  <c r="AT54" i="10"/>
  <c r="AT53" i="10"/>
  <c r="AT52" i="10"/>
  <c r="AT50" i="10"/>
  <c r="AT49" i="10"/>
  <c r="AT48" i="10"/>
  <c r="AT47" i="10"/>
  <c r="AT46" i="10"/>
  <c r="AT43" i="10"/>
  <c r="AT42" i="10"/>
  <c r="AT41" i="10"/>
  <c r="AT40" i="10"/>
  <c r="AT39" i="10"/>
  <c r="AT38" i="10"/>
  <c r="AT37" i="10"/>
  <c r="AT36" i="10"/>
  <c r="AT35" i="10"/>
  <c r="AT34" i="10"/>
  <c r="AT33" i="10"/>
  <c r="AT32" i="10"/>
  <c r="AT19" i="10"/>
  <c r="AT18" i="10"/>
  <c r="AT31" i="10"/>
  <c r="AT30" i="10"/>
  <c r="AT29" i="10"/>
  <c r="AT16" i="10"/>
  <c r="AT15" i="10"/>
  <c r="W129" i="10"/>
  <c r="W128" i="10" s="1"/>
  <c r="W125" i="10"/>
  <c r="W123" i="10"/>
  <c r="W122" i="10"/>
  <c r="W121" i="10"/>
  <c r="W120" i="10"/>
  <c r="W119" i="10"/>
  <c r="W118" i="10"/>
  <c r="W117" i="10"/>
  <c r="W116" i="10"/>
  <c r="W115" i="10"/>
  <c r="W114" i="10"/>
  <c r="W113" i="10"/>
  <c r="W112" i="10"/>
  <c r="W111" i="10"/>
  <c r="W110" i="10"/>
  <c r="W109" i="10"/>
  <c r="W108" i="10"/>
  <c r="W107" i="10"/>
  <c r="W106" i="10"/>
  <c r="W105" i="10"/>
  <c r="W104" i="10"/>
  <c r="W103" i="10"/>
  <c r="W101" i="10"/>
  <c r="W100" i="10"/>
  <c r="W99" i="10"/>
  <c r="W24" i="10"/>
  <c r="W23" i="10"/>
  <c r="W98" i="10"/>
  <c r="W97" i="10"/>
  <c r="W96" i="10"/>
  <c r="W95" i="10"/>
  <c r="W94" i="10"/>
  <c r="W93" i="10"/>
  <c r="W90" i="10"/>
  <c r="W17" i="10"/>
  <c r="W89" i="10"/>
  <c r="W88" i="10"/>
  <c r="W87" i="10"/>
  <c r="W86" i="10"/>
  <c r="W85" i="10"/>
  <c r="W84" i="10"/>
  <c r="W83" i="10"/>
  <c r="W82" i="10"/>
  <c r="W81" i="10"/>
  <c r="W80" i="10"/>
  <c r="W79" i="10"/>
  <c r="W78" i="10"/>
  <c r="W77" i="10"/>
  <c r="W76" i="10"/>
  <c r="W74" i="10"/>
  <c r="W73" i="10"/>
  <c r="W72" i="10"/>
  <c r="W22" i="10"/>
  <c r="W71" i="10"/>
  <c r="W70" i="10"/>
  <c r="W69" i="10"/>
  <c r="W68" i="10"/>
  <c r="W66" i="10"/>
  <c r="W65" i="10"/>
  <c r="W64" i="10"/>
  <c r="W63" i="10"/>
  <c r="W62" i="10"/>
  <c r="W61" i="10"/>
  <c r="W60" i="10"/>
  <c r="W59" i="10"/>
  <c r="W58" i="10"/>
  <c r="W57" i="10"/>
  <c r="W56" i="10"/>
  <c r="W55" i="10"/>
  <c r="W54" i="10"/>
  <c r="W53" i="10"/>
  <c r="W49" i="10"/>
  <c r="W47" i="10"/>
  <c r="W46" i="10"/>
  <c r="W43" i="10"/>
  <c r="W42" i="10"/>
  <c r="W41" i="10"/>
  <c r="W40" i="10"/>
  <c r="W39" i="10"/>
  <c r="W38" i="10"/>
  <c r="W37" i="10"/>
  <c r="W36" i="10"/>
  <c r="W34" i="10"/>
  <c r="W33" i="10"/>
  <c r="W19" i="10"/>
  <c r="W18" i="10"/>
  <c r="W31" i="10"/>
  <c r="W30" i="10"/>
  <c r="W29" i="10"/>
  <c r="W16" i="10"/>
  <c r="W15" i="10"/>
  <c r="AT14" i="10" l="1"/>
  <c r="AT45" i="10"/>
  <c r="AT92" i="10"/>
  <c r="AT91" i="10" s="1"/>
  <c r="AT28" i="10"/>
  <c r="AT27" i="10" s="1"/>
  <c r="AT51" i="10"/>
  <c r="AK55" i="7"/>
  <c r="AC55" i="7"/>
  <c r="N14" i="7"/>
  <c r="O14" i="7"/>
  <c r="P14" i="7"/>
  <c r="Q14" i="7"/>
  <c r="R14" i="7"/>
  <c r="S14" i="7"/>
  <c r="T14" i="7"/>
  <c r="U14" i="7"/>
  <c r="V14" i="7"/>
  <c r="X14" i="7"/>
  <c r="Y14" i="7"/>
  <c r="Z14" i="7"/>
  <c r="AA14" i="7"/>
  <c r="AB14" i="7"/>
  <c r="AC14" i="7"/>
  <c r="AD14" i="7"/>
  <c r="AE14" i="7"/>
  <c r="AF14" i="7"/>
  <c r="AG14" i="7"/>
  <c r="AH14" i="7"/>
  <c r="AI14" i="7"/>
  <c r="AJ14" i="7"/>
  <c r="AK14" i="7"/>
  <c r="AL14" i="7"/>
  <c r="AM14" i="7"/>
  <c r="AN14" i="7"/>
  <c r="AO14" i="7"/>
  <c r="AP14" i="7"/>
  <c r="AQ14" i="7"/>
  <c r="AR14" i="7"/>
  <c r="AS14" i="7"/>
  <c r="AU14" i="7"/>
  <c r="AV14" i="7"/>
  <c r="AX14" i="7"/>
  <c r="AZ14" i="7"/>
  <c r="BA14" i="7"/>
  <c r="BB14" i="7"/>
  <c r="BC14" i="7"/>
  <c r="BD14" i="7"/>
  <c r="BE14" i="7"/>
  <c r="BF14" i="7"/>
  <c r="BG14" i="7"/>
  <c r="BH14" i="7"/>
  <c r="BI14" i="7"/>
  <c r="BJ14" i="7"/>
  <c r="BK14" i="7"/>
  <c r="BL14" i="7"/>
  <c r="BM14" i="7"/>
  <c r="BN14" i="7"/>
  <c r="BO14" i="7"/>
  <c r="BP14" i="7"/>
  <c r="BQ14" i="7"/>
  <c r="BR14" i="7"/>
  <c r="BS14" i="7"/>
  <c r="BT14" i="7"/>
  <c r="BU14" i="7"/>
  <c r="M14" i="7"/>
  <c r="AT44" i="10" l="1"/>
  <c r="AT26" i="10" s="1"/>
  <c r="M28" i="10" l="1"/>
  <c r="M27" i="10" s="1"/>
  <c r="H44" i="10"/>
  <c r="F44" i="10"/>
  <c r="N33" i="9"/>
  <c r="O33" i="9"/>
  <c r="P33" i="9"/>
  <c r="Q33" i="9"/>
  <c r="R33" i="9"/>
  <c r="T33" i="9"/>
  <c r="U33" i="9"/>
  <c r="V33" i="9"/>
  <c r="X33" i="9"/>
  <c r="Y33" i="9"/>
  <c r="AA33" i="9"/>
  <c r="AB33" i="9"/>
  <c r="AC33" i="9"/>
  <c r="AE33" i="9"/>
  <c r="AF33" i="9"/>
  <c r="AH33" i="9"/>
  <c r="AI33" i="9"/>
  <c r="AJ33" i="9"/>
  <c r="AK33" i="9"/>
  <c r="AM33" i="9"/>
  <c r="AN33" i="9"/>
  <c r="AP33" i="9"/>
  <c r="AQ33" i="9"/>
  <c r="AR33" i="9"/>
  <c r="AS33" i="9"/>
  <c r="AU33" i="9"/>
  <c r="AV33" i="9"/>
  <c r="AX33" i="9"/>
  <c r="AY33" i="9"/>
  <c r="AZ33" i="9"/>
  <c r="BW127" i="10"/>
  <c r="BM127" i="10"/>
  <c r="BI127" i="10"/>
  <c r="BD127" i="10"/>
  <c r="BA127" i="10" s="1"/>
  <c r="AW127" i="10"/>
  <c r="AT127" i="10" s="1"/>
  <c r="AP127" i="10"/>
  <c r="AO127" i="10" s="1"/>
  <c r="AL127" i="10" s="1"/>
  <c r="AH127" i="10"/>
  <c r="AG127" i="10" s="1"/>
  <c r="AD127" i="10" s="1"/>
  <c r="Z127" i="10"/>
  <c r="W127" i="10" s="1"/>
  <c r="BM129" i="10"/>
  <c r="BM128" i="10" s="1"/>
  <c r="BI129" i="10"/>
  <c r="BI128" i="10" s="1"/>
  <c r="BD129" i="10"/>
  <c r="BD128" i="10" s="1"/>
  <c r="AW129" i="10"/>
  <c r="AW128" i="10" s="1"/>
  <c r="AO129" i="10"/>
  <c r="AO128" i="10" s="1"/>
  <c r="AG129" i="10"/>
  <c r="AG128" i="10" s="1"/>
  <c r="Z129" i="10"/>
  <c r="Z128" i="10" s="1"/>
  <c r="BZ128" i="10"/>
  <c r="BZ13" i="10" s="1"/>
  <c r="BY128" i="10"/>
  <c r="BY13" i="10" s="1"/>
  <c r="BX128" i="10"/>
  <c r="BX13" i="10" s="1"/>
  <c r="BW128" i="10"/>
  <c r="BW13" i="10" s="1"/>
  <c r="F128" i="10"/>
  <c r="H128" i="10"/>
  <c r="BM125" i="10"/>
  <c r="BI125" i="10"/>
  <c r="BD125" i="10"/>
  <c r="BA125" i="10" s="1"/>
  <c r="AW125" i="10"/>
  <c r="AO125" i="10"/>
  <c r="AL125" i="10" s="1"/>
  <c r="AG125" i="10"/>
  <c r="AD125" i="10" s="1"/>
  <c r="Z125" i="10"/>
  <c r="BM124" i="10"/>
  <c r="BI124" i="10"/>
  <c r="BD124" i="10"/>
  <c r="BA124" i="10" s="1"/>
  <c r="AW124" i="10"/>
  <c r="AO124" i="10"/>
  <c r="AL124" i="10" s="1"/>
  <c r="AK124" i="10"/>
  <c r="AC124" i="10"/>
  <c r="BM123" i="10"/>
  <c r="BI123" i="10"/>
  <c r="BD123" i="10"/>
  <c r="BA123" i="10" s="1"/>
  <c r="AW123" i="10"/>
  <c r="AO123" i="10"/>
  <c r="AL123" i="10" s="1"/>
  <c r="AG123" i="10"/>
  <c r="AD123" i="10" s="1"/>
  <c r="Z123" i="10"/>
  <c r="BM122" i="10"/>
  <c r="BI122" i="10"/>
  <c r="BD122" i="10"/>
  <c r="BA122" i="10" s="1"/>
  <c r="AW122" i="10"/>
  <c r="AO122" i="10"/>
  <c r="AL122" i="10" s="1"/>
  <c r="AG122" i="10"/>
  <c r="AD122" i="10" s="1"/>
  <c r="Z122" i="10"/>
  <c r="BM121" i="10"/>
  <c r="BI121" i="10"/>
  <c r="BD121" i="10"/>
  <c r="BA121" i="10" s="1"/>
  <c r="AW121" i="10"/>
  <c r="AO121" i="10"/>
  <c r="AL121" i="10" s="1"/>
  <c r="AG121" i="10"/>
  <c r="AD121" i="10" s="1"/>
  <c r="Z121" i="10"/>
  <c r="BM120" i="10"/>
  <c r="BI120" i="10"/>
  <c r="BD120" i="10"/>
  <c r="BA120" i="10" s="1"/>
  <c r="AW120" i="10"/>
  <c r="AO120" i="10"/>
  <c r="AL120" i="10" s="1"/>
  <c r="AG120" i="10"/>
  <c r="AD120" i="10" s="1"/>
  <c r="Z120" i="10"/>
  <c r="BM119" i="10"/>
  <c r="BI119" i="10"/>
  <c r="BD119" i="10"/>
  <c r="BA119" i="10" s="1"/>
  <c r="AW119" i="10"/>
  <c r="AO119" i="10"/>
  <c r="AL119" i="10" s="1"/>
  <c r="AG119" i="10"/>
  <c r="AD119" i="10" s="1"/>
  <c r="Z119" i="10"/>
  <c r="BM118" i="10"/>
  <c r="BI118" i="10"/>
  <c r="BD118" i="10"/>
  <c r="BA118" i="10" s="1"/>
  <c r="AW118" i="10"/>
  <c r="AO118" i="10"/>
  <c r="AL118" i="10" s="1"/>
  <c r="AG118" i="10"/>
  <c r="AD118" i="10" s="1"/>
  <c r="Z118" i="10"/>
  <c r="BM117" i="10"/>
  <c r="BI117" i="10"/>
  <c r="BD117" i="10"/>
  <c r="BA117" i="10" s="1"/>
  <c r="AW117" i="10"/>
  <c r="AO117" i="10"/>
  <c r="AL117" i="10" s="1"/>
  <c r="AG117" i="10"/>
  <c r="AD117" i="10" s="1"/>
  <c r="Z117" i="10"/>
  <c r="BM116" i="10"/>
  <c r="BI116" i="10"/>
  <c r="BD116" i="10"/>
  <c r="BA116" i="10" s="1"/>
  <c r="AW116" i="10"/>
  <c r="AO116" i="10"/>
  <c r="AL116" i="10" s="1"/>
  <c r="AG116" i="10"/>
  <c r="AD116" i="10" s="1"/>
  <c r="Z116" i="10"/>
  <c r="BM115" i="10"/>
  <c r="BI115" i="10"/>
  <c r="BD115" i="10"/>
  <c r="BA115" i="10" s="1"/>
  <c r="AW115" i="10"/>
  <c r="AO115" i="10"/>
  <c r="AL115" i="10" s="1"/>
  <c r="AG115" i="10"/>
  <c r="AD115" i="10" s="1"/>
  <c r="Z115" i="10"/>
  <c r="BM114" i="10"/>
  <c r="BI114" i="10"/>
  <c r="BD114" i="10"/>
  <c r="BA114" i="10" s="1"/>
  <c r="AW114" i="10"/>
  <c r="AO114" i="10"/>
  <c r="AL114" i="10" s="1"/>
  <c r="AG114" i="10"/>
  <c r="AD114" i="10" s="1"/>
  <c r="Z114" i="10"/>
  <c r="BM113" i="10"/>
  <c r="BI113" i="10"/>
  <c r="BD113" i="10"/>
  <c r="BA113" i="10" s="1"/>
  <c r="AW113" i="10"/>
  <c r="AO113" i="10"/>
  <c r="AL113" i="10" s="1"/>
  <c r="AG113" i="10"/>
  <c r="AD113" i="10" s="1"/>
  <c r="Z113" i="10"/>
  <c r="BM112" i="10"/>
  <c r="BI112" i="10"/>
  <c r="BD112" i="10"/>
  <c r="BA112" i="10" s="1"/>
  <c r="AW112" i="10"/>
  <c r="AO112" i="10"/>
  <c r="AL112" i="10" s="1"/>
  <c r="AG112" i="10"/>
  <c r="AD112" i="10" s="1"/>
  <c r="Z112" i="10"/>
  <c r="BM111" i="10"/>
  <c r="BI111" i="10"/>
  <c r="BD111" i="10"/>
  <c r="BA111" i="10" s="1"/>
  <c r="AW111" i="10"/>
  <c r="AO111" i="10"/>
  <c r="AL111" i="10" s="1"/>
  <c r="AG111" i="10"/>
  <c r="AD111" i="10" s="1"/>
  <c r="Z111" i="10"/>
  <c r="BM110" i="10"/>
  <c r="BI110" i="10"/>
  <c r="BD110" i="10"/>
  <c r="BA110" i="10" s="1"/>
  <c r="AW110" i="10"/>
  <c r="AO110" i="10"/>
  <c r="AL110" i="10" s="1"/>
  <c r="AG110" i="10"/>
  <c r="AD110" i="10" s="1"/>
  <c r="Z110" i="10"/>
  <c r="BM109" i="10"/>
  <c r="BI109" i="10"/>
  <c r="BD109" i="10"/>
  <c r="BA109" i="10" s="1"/>
  <c r="AW109" i="10"/>
  <c r="AO109" i="10"/>
  <c r="AL109" i="10" s="1"/>
  <c r="AG109" i="10"/>
  <c r="AD109" i="10" s="1"/>
  <c r="Z109" i="10"/>
  <c r="BM108" i="10"/>
  <c r="BI108" i="10"/>
  <c r="BD108" i="10"/>
  <c r="BA108" i="10" s="1"/>
  <c r="AW108" i="10"/>
  <c r="AO108" i="10"/>
  <c r="AL108" i="10" s="1"/>
  <c r="AG108" i="10"/>
  <c r="AD108" i="10" s="1"/>
  <c r="Z108" i="10"/>
  <c r="BM107" i="10"/>
  <c r="BI107" i="10"/>
  <c r="BD107" i="10"/>
  <c r="BA107" i="10" s="1"/>
  <c r="AW107" i="10"/>
  <c r="AO107" i="10"/>
  <c r="AL107" i="10" s="1"/>
  <c r="AG107" i="10"/>
  <c r="AD107" i="10" s="1"/>
  <c r="Z107" i="10"/>
  <c r="BM106" i="10"/>
  <c r="BI106" i="10"/>
  <c r="BD106" i="10"/>
  <c r="BA106" i="10" s="1"/>
  <c r="AW106" i="10"/>
  <c r="AO106" i="10"/>
  <c r="AL106" i="10" s="1"/>
  <c r="AG106" i="10"/>
  <c r="AD106" i="10" s="1"/>
  <c r="Z106" i="10"/>
  <c r="BW105" i="10"/>
  <c r="BM105" i="10"/>
  <c r="BI105" i="10"/>
  <c r="BD105" i="10"/>
  <c r="BA105" i="10" s="1"/>
  <c r="AW105" i="10"/>
  <c r="AP105" i="10"/>
  <c r="AO105" i="10" s="1"/>
  <c r="AL105" i="10" s="1"/>
  <c r="AH105" i="10"/>
  <c r="Z105" i="10"/>
  <c r="BM104" i="10"/>
  <c r="BI104" i="10"/>
  <c r="BD104" i="10"/>
  <c r="BA104" i="10" s="1"/>
  <c r="AW104" i="10"/>
  <c r="AO104" i="10"/>
  <c r="AL104" i="10" s="1"/>
  <c r="AG104" i="10"/>
  <c r="AD104" i="10" s="1"/>
  <c r="Z104" i="10"/>
  <c r="BM103" i="10"/>
  <c r="BI103" i="10"/>
  <c r="BD103" i="10"/>
  <c r="BA103" i="10" s="1"/>
  <c r="AW103" i="10"/>
  <c r="AO103" i="10"/>
  <c r="AL103" i="10" s="1"/>
  <c r="AG103" i="10"/>
  <c r="AD103" i="10" s="1"/>
  <c r="Z103" i="10"/>
  <c r="BM102" i="10"/>
  <c r="BI102" i="10"/>
  <c r="BD102" i="10"/>
  <c r="BA102" i="10" s="1"/>
  <c r="AW102" i="10"/>
  <c r="AS102" i="10"/>
  <c r="AS92" i="10" s="1"/>
  <c r="AS91" i="10" s="1"/>
  <c r="AG102" i="10"/>
  <c r="AD102" i="10" s="1"/>
  <c r="AC102" i="10"/>
  <c r="BM101" i="10"/>
  <c r="BI101" i="10"/>
  <c r="BD101" i="10"/>
  <c r="BA101" i="10" s="1"/>
  <c r="AW101" i="10"/>
  <c r="AO101" i="10"/>
  <c r="AL101" i="10" s="1"/>
  <c r="AG101" i="10"/>
  <c r="AD101" i="10" s="1"/>
  <c r="Z101" i="10"/>
  <c r="BM100" i="10"/>
  <c r="BI100" i="10"/>
  <c r="BD100" i="10"/>
  <c r="BA100" i="10" s="1"/>
  <c r="AW100" i="10"/>
  <c r="AO100" i="10"/>
  <c r="AL100" i="10" s="1"/>
  <c r="AG100" i="10"/>
  <c r="AD100" i="10" s="1"/>
  <c r="Z100" i="10"/>
  <c r="BM99" i="10"/>
  <c r="BI99" i="10"/>
  <c r="BD99" i="10"/>
  <c r="BA99" i="10" s="1"/>
  <c r="AW99" i="10"/>
  <c r="AO99" i="10"/>
  <c r="AL99" i="10" s="1"/>
  <c r="AG99" i="10"/>
  <c r="AD99" i="10" s="1"/>
  <c r="Z99" i="10"/>
  <c r="BM24" i="10"/>
  <c r="BI24" i="10"/>
  <c r="BD24" i="10"/>
  <c r="BA24" i="10" s="1"/>
  <c r="AW24" i="10"/>
  <c r="AO24" i="10"/>
  <c r="AL24" i="10" s="1"/>
  <c r="AG24" i="10"/>
  <c r="AD24" i="10" s="1"/>
  <c r="Z24" i="10"/>
  <c r="BM23" i="10"/>
  <c r="BI23" i="10"/>
  <c r="BD23" i="10"/>
  <c r="BA23" i="10" s="1"/>
  <c r="AW23" i="10"/>
  <c r="AO23" i="10"/>
  <c r="AL23" i="10" s="1"/>
  <c r="AG23" i="10"/>
  <c r="AD23" i="10" s="1"/>
  <c r="Z23" i="10"/>
  <c r="BM98" i="10"/>
  <c r="BI98" i="10"/>
  <c r="BD98" i="10"/>
  <c r="BA98" i="10" s="1"/>
  <c r="AW98" i="10"/>
  <c r="AO98" i="10"/>
  <c r="AL98" i="10" s="1"/>
  <c r="AG98" i="10"/>
  <c r="AD98" i="10" s="1"/>
  <c r="Z98" i="10"/>
  <c r="BM97" i="10"/>
  <c r="BI97" i="10"/>
  <c r="BD97" i="10"/>
  <c r="BA97" i="10" s="1"/>
  <c r="AW97" i="10"/>
  <c r="AO97" i="10"/>
  <c r="AL97" i="10" s="1"/>
  <c r="AG97" i="10"/>
  <c r="AD97" i="10" s="1"/>
  <c r="Z97" i="10"/>
  <c r="BM96" i="10"/>
  <c r="BI96" i="10"/>
  <c r="BD96" i="10"/>
  <c r="BA96" i="10" s="1"/>
  <c r="AW96" i="10"/>
  <c r="AO96" i="10"/>
  <c r="Z96" i="10"/>
  <c r="BW95" i="10"/>
  <c r="BM95" i="10"/>
  <c r="BI95" i="10"/>
  <c r="BD95" i="10"/>
  <c r="BA95" i="10" s="1"/>
  <c r="AW95" i="10"/>
  <c r="AP95" i="10"/>
  <c r="AG95" i="10"/>
  <c r="AD95" i="10" s="1"/>
  <c r="Z95" i="10"/>
  <c r="BM93" i="10"/>
  <c r="BI93" i="10"/>
  <c r="BD93" i="10"/>
  <c r="AW93" i="10"/>
  <c r="AO93" i="10"/>
  <c r="AM93" i="10"/>
  <c r="AM92" i="10" s="1"/>
  <c r="AM91" i="10" s="1"/>
  <c r="AG93" i="10"/>
  <c r="Z93" i="10"/>
  <c r="F91" i="10"/>
  <c r="H91" i="10"/>
  <c r="BM90" i="10"/>
  <c r="BI90" i="10"/>
  <c r="BD90" i="10"/>
  <c r="BA90" i="10" s="1"/>
  <c r="AW90" i="10"/>
  <c r="Z90" i="10"/>
  <c r="M90" i="10"/>
  <c r="BM17" i="10"/>
  <c r="BI17" i="10"/>
  <c r="BD17" i="10"/>
  <c r="BA17" i="10" s="1"/>
  <c r="AW17" i="10"/>
  <c r="Z17" i="10"/>
  <c r="M17" i="10"/>
  <c r="BM89" i="10"/>
  <c r="BI89" i="10"/>
  <c r="BD89" i="10"/>
  <c r="BA89" i="10" s="1"/>
  <c r="AW89" i="10"/>
  <c r="Z89" i="10"/>
  <c r="M89" i="10"/>
  <c r="BM88" i="10"/>
  <c r="BI88" i="10"/>
  <c r="BD88" i="10"/>
  <c r="BA88" i="10" s="1"/>
  <c r="AW88" i="10"/>
  <c r="Z88" i="10"/>
  <c r="M88" i="10"/>
  <c r="BM87" i="10"/>
  <c r="BI87" i="10"/>
  <c r="BD87" i="10"/>
  <c r="BA87" i="10" s="1"/>
  <c r="AW87" i="10"/>
  <c r="Z87" i="10"/>
  <c r="M87" i="10"/>
  <c r="BM86" i="10"/>
  <c r="BI86" i="10"/>
  <c r="BD86" i="10"/>
  <c r="BA86" i="10" s="1"/>
  <c r="AW86" i="10"/>
  <c r="AO86" i="10"/>
  <c r="AL86" i="10" s="1"/>
  <c r="AG86" i="10"/>
  <c r="Z86" i="10"/>
  <c r="M86" i="10"/>
  <c r="BM85" i="10"/>
  <c r="BI85" i="10"/>
  <c r="BD85" i="10"/>
  <c r="BA85" i="10" s="1"/>
  <c r="AW85" i="10"/>
  <c r="AO85" i="10"/>
  <c r="AL85" i="10" s="1"/>
  <c r="AG85" i="10"/>
  <c r="AD85" i="10" s="1"/>
  <c r="Z85" i="10"/>
  <c r="M85" i="10"/>
  <c r="BM84" i="10"/>
  <c r="BI84" i="10"/>
  <c r="BD84" i="10"/>
  <c r="BA84" i="10" s="1"/>
  <c r="AW84" i="10"/>
  <c r="AS84" i="10"/>
  <c r="AO84" i="10" s="1"/>
  <c r="AL84" i="10" s="1"/>
  <c r="AG84" i="10"/>
  <c r="AD84" i="10" s="1"/>
  <c r="Z84" i="10"/>
  <c r="M84" i="10"/>
  <c r="BM83" i="10"/>
  <c r="BI83" i="10"/>
  <c r="BD83" i="10"/>
  <c r="BA83" i="10" s="1"/>
  <c r="AW83" i="10"/>
  <c r="AO83" i="10"/>
  <c r="AL83" i="10" s="1"/>
  <c r="AG83" i="10"/>
  <c r="AD83" i="10" s="1"/>
  <c r="Z83" i="10"/>
  <c r="M83" i="10"/>
  <c r="BM16" i="10"/>
  <c r="BI16" i="10"/>
  <c r="BD16" i="10"/>
  <c r="AW16" i="10"/>
  <c r="AO16" i="10"/>
  <c r="AL16" i="10" s="1"/>
  <c r="AG16" i="10"/>
  <c r="AD16" i="10" s="1"/>
  <c r="Z16" i="10"/>
  <c r="M16" i="10"/>
  <c r="BM82" i="10"/>
  <c r="BI82" i="10"/>
  <c r="AW82" i="10"/>
  <c r="AO82" i="10"/>
  <c r="AL82" i="10" s="1"/>
  <c r="AG82" i="10"/>
  <c r="AD82" i="10" s="1"/>
  <c r="Z82" i="10"/>
  <c r="M82" i="10"/>
  <c r="BM81" i="10"/>
  <c r="BI81" i="10"/>
  <c r="AW81" i="10"/>
  <c r="AO81" i="10"/>
  <c r="AL81" i="10" s="1"/>
  <c r="AG81" i="10"/>
  <c r="AD81" i="10" s="1"/>
  <c r="Z81" i="10"/>
  <c r="M81" i="10"/>
  <c r="BM80" i="10"/>
  <c r="BI80" i="10"/>
  <c r="AW80" i="10"/>
  <c r="AO80" i="10"/>
  <c r="AL80" i="10" s="1"/>
  <c r="AG80" i="10"/>
  <c r="AD80" i="10" s="1"/>
  <c r="Z80" i="10"/>
  <c r="M80" i="10"/>
  <c r="BM79" i="10"/>
  <c r="BI79" i="10"/>
  <c r="AW79" i="10"/>
  <c r="AO79" i="10"/>
  <c r="AL79" i="10" s="1"/>
  <c r="AG79" i="10"/>
  <c r="AD79" i="10" s="1"/>
  <c r="Z79" i="10"/>
  <c r="M79" i="10"/>
  <c r="BM78" i="10"/>
  <c r="BI78" i="10"/>
  <c r="BD78" i="10"/>
  <c r="BA78" i="10" s="1"/>
  <c r="AW78" i="10"/>
  <c r="AO78" i="10"/>
  <c r="AL78" i="10" s="1"/>
  <c r="AG78" i="10"/>
  <c r="AD78" i="10" s="1"/>
  <c r="Z78" i="10"/>
  <c r="M78" i="10"/>
  <c r="BM77" i="10"/>
  <c r="BI77" i="10"/>
  <c r="AW77" i="10"/>
  <c r="AO77" i="10"/>
  <c r="AL77" i="10" s="1"/>
  <c r="AG77" i="10"/>
  <c r="AD77" i="10" s="1"/>
  <c r="Z77" i="10"/>
  <c r="M77" i="10"/>
  <c r="BM76" i="10"/>
  <c r="BI76" i="10"/>
  <c r="AW76" i="10"/>
  <c r="AS76" i="10"/>
  <c r="AO76" i="10" s="1"/>
  <c r="AL76" i="10" s="1"/>
  <c r="AG76" i="10"/>
  <c r="AD76" i="10" s="1"/>
  <c r="Z76" i="10"/>
  <c r="M76" i="10"/>
  <c r="BM75" i="10"/>
  <c r="BI75" i="10"/>
  <c r="BD75" i="10"/>
  <c r="AW75" i="10"/>
  <c r="AS75" i="10"/>
  <c r="AK75" i="10"/>
  <c r="AC75" i="10"/>
  <c r="AC51" i="10" s="1"/>
  <c r="M75" i="10"/>
  <c r="BM74" i="10"/>
  <c r="BI74" i="10"/>
  <c r="AW74" i="10"/>
  <c r="AO74" i="10"/>
  <c r="AL74" i="10" s="1"/>
  <c r="AG74" i="10"/>
  <c r="AD74" i="10" s="1"/>
  <c r="Z74" i="10"/>
  <c r="M74" i="10"/>
  <c r="BM73" i="10"/>
  <c r="BI73" i="10"/>
  <c r="AW73" i="10"/>
  <c r="AO73" i="10"/>
  <c r="AL73" i="10" s="1"/>
  <c r="AG73" i="10"/>
  <c r="AD73" i="10" s="1"/>
  <c r="Z73" i="10"/>
  <c r="M73" i="10"/>
  <c r="BM72" i="10"/>
  <c r="BI72" i="10"/>
  <c r="AW72" i="10"/>
  <c r="AO72" i="10"/>
  <c r="AL72" i="10" s="1"/>
  <c r="AG72" i="10"/>
  <c r="AD72" i="10" s="1"/>
  <c r="Z72" i="10"/>
  <c r="M72" i="10"/>
  <c r="BM22" i="10"/>
  <c r="BI22" i="10"/>
  <c r="AW22" i="10"/>
  <c r="AO22" i="10"/>
  <c r="AL22" i="10" s="1"/>
  <c r="AG22" i="10"/>
  <c r="AD22" i="10" s="1"/>
  <c r="Z22" i="10"/>
  <c r="M22" i="10"/>
  <c r="BM21" i="10"/>
  <c r="BI21" i="10"/>
  <c r="AW21" i="10"/>
  <c r="AR21" i="10"/>
  <c r="AO21" i="10" s="1"/>
  <c r="AL21" i="10" s="1"/>
  <c r="AJ21" i="10"/>
  <c r="AG21" i="10" s="1"/>
  <c r="AD21" i="10" s="1"/>
  <c r="AB21" i="10"/>
  <c r="M21" i="10"/>
  <c r="BM71" i="10"/>
  <c r="BI71" i="10"/>
  <c r="AW71" i="10"/>
  <c r="AP71" i="10"/>
  <c r="AO71" i="10" s="1"/>
  <c r="AL71" i="10" s="1"/>
  <c r="AG71" i="10"/>
  <c r="AD71" i="10" s="1"/>
  <c r="Z71" i="10"/>
  <c r="M71" i="10"/>
  <c r="BM70" i="10"/>
  <c r="BI70" i="10"/>
  <c r="AW70" i="10"/>
  <c r="AO70" i="10"/>
  <c r="AL70" i="10" s="1"/>
  <c r="AG70" i="10"/>
  <c r="AD70" i="10" s="1"/>
  <c r="Z70" i="10"/>
  <c r="M70" i="10"/>
  <c r="BM69" i="10"/>
  <c r="BI69" i="10"/>
  <c r="AW69" i="10"/>
  <c r="AO69" i="10"/>
  <c r="AL69" i="10" s="1"/>
  <c r="AG69" i="10"/>
  <c r="AD69" i="10" s="1"/>
  <c r="Z69" i="10"/>
  <c r="M69" i="10"/>
  <c r="BM68" i="10"/>
  <c r="BI68" i="10"/>
  <c r="AW68" i="10"/>
  <c r="AO68" i="10"/>
  <c r="AL68" i="10" s="1"/>
  <c r="AG68" i="10"/>
  <c r="AD68" i="10" s="1"/>
  <c r="Z68" i="10"/>
  <c r="M68" i="10"/>
  <c r="BM20" i="10"/>
  <c r="BI20" i="10"/>
  <c r="AW20" i="10"/>
  <c r="AR20" i="10"/>
  <c r="AJ20" i="10"/>
  <c r="AB20" i="10"/>
  <c r="M20" i="10"/>
  <c r="BM67" i="10"/>
  <c r="BI67" i="10"/>
  <c r="AW67" i="10"/>
  <c r="AR67" i="10"/>
  <c r="AJ67" i="10"/>
  <c r="AB67" i="10"/>
  <c r="AB51" i="10" s="1"/>
  <c r="AB44" i="10" s="1"/>
  <c r="AB26" i="10" s="1"/>
  <c r="M67" i="10"/>
  <c r="BW66" i="10"/>
  <c r="BM66" i="10"/>
  <c r="BI66" i="10"/>
  <c r="AW66" i="10"/>
  <c r="AP66" i="10"/>
  <c r="AO66" i="10" s="1"/>
  <c r="AL66" i="10" s="1"/>
  <c r="AH66" i="10"/>
  <c r="AG66" i="10" s="1"/>
  <c r="AD66" i="10" s="1"/>
  <c r="Z66" i="10"/>
  <c r="M66" i="10"/>
  <c r="BM65" i="10"/>
  <c r="BI65" i="10"/>
  <c r="AW65" i="10"/>
  <c r="AP65" i="10"/>
  <c r="AO65" i="10" s="1"/>
  <c r="AL65" i="10" s="1"/>
  <c r="AG65" i="10"/>
  <c r="AD65" i="10" s="1"/>
  <c r="Z65" i="10"/>
  <c r="M65" i="10"/>
  <c r="BM64" i="10"/>
  <c r="BI64" i="10"/>
  <c r="AW64" i="10"/>
  <c r="AP64" i="10"/>
  <c r="AO64" i="10" s="1"/>
  <c r="AL64" i="10" s="1"/>
  <c r="AG64" i="10"/>
  <c r="AD64" i="10" s="1"/>
  <c r="Z64" i="10"/>
  <c r="M64" i="10"/>
  <c r="BW63" i="10"/>
  <c r="BM63" i="10"/>
  <c r="BI63" i="10"/>
  <c r="AW63" i="10"/>
  <c r="AP63" i="10"/>
  <c r="AO63" i="10" s="1"/>
  <c r="AL63" i="10" s="1"/>
  <c r="AH63" i="10"/>
  <c r="AG63" i="10" s="1"/>
  <c r="AD63" i="10" s="1"/>
  <c r="Z63" i="10"/>
  <c r="M63" i="10"/>
  <c r="BM62" i="10"/>
  <c r="BI62" i="10"/>
  <c r="AW62" i="10"/>
  <c r="AO62" i="10"/>
  <c r="AL62" i="10" s="1"/>
  <c r="AG62" i="10"/>
  <c r="AD62" i="10" s="1"/>
  <c r="Z62" i="10"/>
  <c r="M62" i="10"/>
  <c r="BM61" i="10"/>
  <c r="BI61" i="10"/>
  <c r="AW61" i="10"/>
  <c r="AO61" i="10"/>
  <c r="AL61" i="10" s="1"/>
  <c r="AG61" i="10"/>
  <c r="AD61" i="10" s="1"/>
  <c r="Z61" i="10"/>
  <c r="M61" i="10"/>
  <c r="BM60" i="10"/>
  <c r="BI60" i="10"/>
  <c r="AW60" i="10"/>
  <c r="AO60" i="10"/>
  <c r="AL60" i="10" s="1"/>
  <c r="AG60" i="10"/>
  <c r="AD60" i="10" s="1"/>
  <c r="Z60" i="10"/>
  <c r="M60" i="10"/>
  <c r="BM59" i="10"/>
  <c r="BI59" i="10"/>
  <c r="AW59" i="10"/>
  <c r="AO59" i="10"/>
  <c r="AL59" i="10" s="1"/>
  <c r="AG59" i="10"/>
  <c r="AD59" i="10" s="1"/>
  <c r="Z59" i="10"/>
  <c r="M59" i="10"/>
  <c r="BW58" i="10"/>
  <c r="BM58" i="10"/>
  <c r="BI58" i="10"/>
  <c r="AW58" i="10"/>
  <c r="AP58" i="10"/>
  <c r="AO58" i="10" s="1"/>
  <c r="AL58" i="10" s="1"/>
  <c r="AH58" i="10"/>
  <c r="AG58" i="10" s="1"/>
  <c r="AD58" i="10" s="1"/>
  <c r="Z58" i="10"/>
  <c r="M58" i="10"/>
  <c r="BM15" i="10"/>
  <c r="BI15" i="10"/>
  <c r="AW15" i="10"/>
  <c r="AO15" i="10"/>
  <c r="AG15" i="10"/>
  <c r="Z15" i="10"/>
  <c r="M15" i="10"/>
  <c r="BM57" i="10"/>
  <c r="BI57" i="10"/>
  <c r="AW57" i="10"/>
  <c r="AO57" i="10"/>
  <c r="AL57" i="10" s="1"/>
  <c r="AG57" i="10"/>
  <c r="AD57" i="10" s="1"/>
  <c r="Z57" i="10"/>
  <c r="M57" i="10"/>
  <c r="BM56" i="10"/>
  <c r="BI56" i="10"/>
  <c r="AW56" i="10"/>
  <c r="AO56" i="10"/>
  <c r="AL56" i="10" s="1"/>
  <c r="AG56" i="10"/>
  <c r="AD56" i="10" s="1"/>
  <c r="Z56" i="10"/>
  <c r="S56" i="10"/>
  <c r="M56" i="10"/>
  <c r="BM55" i="10"/>
  <c r="BI55" i="10"/>
  <c r="AW55" i="10"/>
  <c r="AP55" i="10"/>
  <c r="AO55" i="10" s="1"/>
  <c r="AL55" i="10" s="1"/>
  <c r="AG55" i="10"/>
  <c r="AD55" i="10" s="1"/>
  <c r="Z55" i="10"/>
  <c r="S55" i="10"/>
  <c r="M55" i="10"/>
  <c r="BM54" i="10"/>
  <c r="BI54" i="10"/>
  <c r="AW54" i="10"/>
  <c r="AO54" i="10"/>
  <c r="AL54" i="10" s="1"/>
  <c r="AG54" i="10"/>
  <c r="AD54" i="10" s="1"/>
  <c r="Z54" i="10"/>
  <c r="M54" i="10"/>
  <c r="BX53" i="10"/>
  <c r="BW53" i="10"/>
  <c r="BM53" i="10"/>
  <c r="BI53" i="10"/>
  <c r="AW53" i="10"/>
  <c r="AQ53" i="10"/>
  <c r="AQ51" i="10" s="1"/>
  <c r="AQ44" i="10" s="1"/>
  <c r="AQ26" i="10" s="1"/>
  <c r="AP53" i="10"/>
  <c r="AI53" i="10"/>
  <c r="AI51" i="10" s="1"/>
  <c r="AI44" i="10" s="1"/>
  <c r="AI26" i="10" s="1"/>
  <c r="AH53" i="10"/>
  <c r="Z53" i="10"/>
  <c r="M53" i="10"/>
  <c r="BM52" i="10"/>
  <c r="BI52" i="10"/>
  <c r="AW52" i="10"/>
  <c r="AP52" i="10"/>
  <c r="AH52" i="10"/>
  <c r="AA52" i="10"/>
  <c r="AA51" i="10" s="1"/>
  <c r="M52" i="10"/>
  <c r="BM50" i="10"/>
  <c r="BI50" i="10"/>
  <c r="AW50" i="10"/>
  <c r="AP50" i="10"/>
  <c r="AO50" i="10" s="1"/>
  <c r="AL50" i="10" s="1"/>
  <c r="AH50" i="10"/>
  <c r="AG50" i="10" s="1"/>
  <c r="AD50" i="10" s="1"/>
  <c r="AA50" i="10"/>
  <c r="S50" i="10"/>
  <c r="M50" i="10"/>
  <c r="BM49" i="10"/>
  <c r="BI49" i="10"/>
  <c r="AW49" i="10"/>
  <c r="AO49" i="10"/>
  <c r="AL49" i="10" s="1"/>
  <c r="AG49" i="10"/>
  <c r="AD49" i="10" s="1"/>
  <c r="Z49" i="10"/>
  <c r="M49" i="10"/>
  <c r="BM48" i="10"/>
  <c r="BI48" i="10"/>
  <c r="AW48" i="10"/>
  <c r="AS48" i="10"/>
  <c r="AS45" i="10" s="1"/>
  <c r="AP48" i="10"/>
  <c r="AK48" i="10"/>
  <c r="AK45" i="10" s="1"/>
  <c r="AH48" i="10"/>
  <c r="AC48" i="10"/>
  <c r="AC45" i="10" s="1"/>
  <c r="AA48" i="10"/>
  <c r="M48" i="10"/>
  <c r="AP47" i="10"/>
  <c r="AM47" i="10" s="1"/>
  <c r="AE47" i="10"/>
  <c r="Z47" i="10"/>
  <c r="S47" i="10"/>
  <c r="AE46" i="10"/>
  <c r="Z46" i="10"/>
  <c r="BM43" i="10"/>
  <c r="BI43" i="10"/>
  <c r="BA43" i="10"/>
  <c r="AW43" i="10"/>
  <c r="AP46" i="10" s="1"/>
  <c r="AO43" i="10"/>
  <c r="AL43" i="10"/>
  <c r="AG43" i="10"/>
  <c r="Z43" i="10"/>
  <c r="BM42" i="10"/>
  <c r="BI42" i="10"/>
  <c r="BA42" i="10"/>
  <c r="AW42" i="10"/>
  <c r="AO42" i="10"/>
  <c r="Z42" i="10"/>
  <c r="BM41" i="10"/>
  <c r="BI41" i="10"/>
  <c r="BA41" i="10"/>
  <c r="AW41" i="10"/>
  <c r="AO41" i="10"/>
  <c r="AG41" i="10"/>
  <c r="Z41" i="10"/>
  <c r="BM40" i="10"/>
  <c r="BI40" i="10"/>
  <c r="BA40" i="10"/>
  <c r="AW40" i="10"/>
  <c r="AO40" i="10"/>
  <c r="AG40" i="10"/>
  <c r="Z40" i="10"/>
  <c r="BM39" i="10"/>
  <c r="BI39" i="10"/>
  <c r="BA39" i="10"/>
  <c r="AW39" i="10"/>
  <c r="AO39" i="10"/>
  <c r="AG39" i="10"/>
  <c r="Z39" i="10"/>
  <c r="BM38" i="10"/>
  <c r="BI38" i="10"/>
  <c r="BA38" i="10"/>
  <c r="AW38" i="10"/>
  <c r="AO38" i="10"/>
  <c r="AG38" i="10"/>
  <c r="Z38" i="10"/>
  <c r="BM37" i="10"/>
  <c r="BI37" i="10"/>
  <c r="BA37" i="10"/>
  <c r="AW37" i="10"/>
  <c r="AO37" i="10"/>
  <c r="AG37" i="10"/>
  <c r="Z37" i="10"/>
  <c r="BM36" i="10"/>
  <c r="BI36" i="10"/>
  <c r="BA36" i="10"/>
  <c r="AW36" i="10"/>
  <c r="AO36" i="10"/>
  <c r="AG36" i="10"/>
  <c r="Z36" i="10"/>
  <c r="BW35" i="10"/>
  <c r="BM35" i="10"/>
  <c r="BI35" i="10"/>
  <c r="BA35" i="10"/>
  <c r="AW35" i="10"/>
  <c r="AS35" i="10"/>
  <c r="AP35" i="10"/>
  <c r="AP28" i="10" s="1"/>
  <c r="AP27" i="10" s="1"/>
  <c r="AK35" i="10"/>
  <c r="AH35" i="10"/>
  <c r="AH28" i="10" s="1"/>
  <c r="AH27" i="10" s="1"/>
  <c r="AC35" i="10"/>
  <c r="BM34" i="10"/>
  <c r="BI34" i="10"/>
  <c r="BA34" i="10"/>
  <c r="AW34" i="10"/>
  <c r="AO34" i="10"/>
  <c r="AG34" i="10"/>
  <c r="Z34" i="10"/>
  <c r="BM33" i="10"/>
  <c r="BI33" i="10"/>
  <c r="BA33" i="10"/>
  <c r="AW33" i="10"/>
  <c r="AO33" i="10"/>
  <c r="AG33" i="10"/>
  <c r="Z33" i="10"/>
  <c r="AW32" i="10"/>
  <c r="AS32" i="10"/>
  <c r="AK32" i="10"/>
  <c r="AC32" i="10"/>
  <c r="BM19" i="10"/>
  <c r="BI19" i="10"/>
  <c r="BA19" i="10"/>
  <c r="AW19" i="10"/>
  <c r="AO19" i="10"/>
  <c r="AG19" i="10"/>
  <c r="Z19" i="10"/>
  <c r="BM18" i="10"/>
  <c r="BI18" i="10"/>
  <c r="BA18" i="10"/>
  <c r="AW18" i="10"/>
  <c r="AO18" i="10"/>
  <c r="AG18" i="10"/>
  <c r="Z18" i="10"/>
  <c r="BM31" i="10"/>
  <c r="BI31" i="10"/>
  <c r="BA31" i="10"/>
  <c r="AW31" i="10"/>
  <c r="AO31" i="10"/>
  <c r="AG31" i="10"/>
  <c r="Z31" i="10"/>
  <c r="BM30" i="10"/>
  <c r="BI30" i="10"/>
  <c r="BA30" i="10"/>
  <c r="AW30" i="10"/>
  <c r="AO30" i="10"/>
  <c r="AG30" i="10"/>
  <c r="Z30" i="10"/>
  <c r="BM29" i="10"/>
  <c r="BI29" i="10"/>
  <c r="BA29" i="10"/>
  <c r="AW29" i="10"/>
  <c r="AO29" i="10"/>
  <c r="AG29" i="10"/>
  <c r="Z29" i="10"/>
  <c r="AB14" i="10" l="1"/>
  <c r="BM45" i="10"/>
  <c r="BI45" i="10"/>
  <c r="BA28" i="10"/>
  <c r="BA27" i="10" s="1"/>
  <c r="BI92" i="10"/>
  <c r="BI91" i="10" s="1"/>
  <c r="BI28" i="10"/>
  <c r="BI27" i="10" s="1"/>
  <c r="BD51" i="10"/>
  <c r="BD44" i="10" s="1"/>
  <c r="BM28" i="10"/>
  <c r="BM27" i="10" s="1"/>
  <c r="BI51" i="10"/>
  <c r="BM51" i="10"/>
  <c r="BM92" i="10"/>
  <c r="BM91" i="10" s="1"/>
  <c r="BD92" i="10"/>
  <c r="BD91" i="10" s="1"/>
  <c r="BM14" i="10"/>
  <c r="BI14" i="10"/>
  <c r="BD14" i="10"/>
  <c r="AC92" i="10"/>
  <c r="AC91" i="10" s="1"/>
  <c r="AC28" i="10"/>
  <c r="AC27" i="10" s="1"/>
  <c r="AR14" i="10"/>
  <c r="AJ14" i="10"/>
  <c r="AW14" i="10"/>
  <c r="AC44" i="10"/>
  <c r="AE45" i="10"/>
  <c r="AE44" i="10" s="1"/>
  <c r="S51" i="10"/>
  <c r="AS28" i="10"/>
  <c r="AS27" i="10" s="1"/>
  <c r="AO75" i="10"/>
  <c r="AL75" i="10" s="1"/>
  <c r="AS51" i="10"/>
  <c r="AS44" i="10" s="1"/>
  <c r="AO95" i="10"/>
  <c r="AL95" i="10" s="1"/>
  <c r="AP92" i="10"/>
  <c r="AP91" i="10" s="1"/>
  <c r="AH45" i="10"/>
  <c r="AG75" i="10"/>
  <c r="AD75" i="10" s="1"/>
  <c r="AK51" i="10"/>
  <c r="AK44" i="10" s="1"/>
  <c r="AG105" i="10"/>
  <c r="AD105" i="10" s="1"/>
  <c r="AH92" i="10"/>
  <c r="AH91" i="10" s="1"/>
  <c r="AG52" i="10"/>
  <c r="AD52" i="10" s="1"/>
  <c r="AH51" i="10"/>
  <c r="AO52" i="10"/>
  <c r="AL52" i="10" s="1"/>
  <c r="AP51" i="10"/>
  <c r="AG20" i="10"/>
  <c r="AD20" i="10" s="1"/>
  <c r="AO20" i="10"/>
  <c r="AL20" i="10" s="1"/>
  <c r="AK28" i="10"/>
  <c r="AK27" i="10" s="1"/>
  <c r="AG67" i="10"/>
  <c r="AD67" i="10" s="1"/>
  <c r="AJ51" i="10"/>
  <c r="AJ44" i="10" s="1"/>
  <c r="AJ26" i="10" s="1"/>
  <c r="AO67" i="10"/>
  <c r="AL67" i="10" s="1"/>
  <c r="AR51" i="10"/>
  <c r="AR44" i="10" s="1"/>
  <c r="AR26" i="10" s="1"/>
  <c r="AG124" i="10"/>
  <c r="AD124" i="10" s="1"/>
  <c r="AK92" i="10"/>
  <c r="AK91" i="10" s="1"/>
  <c r="AA45" i="10"/>
  <c r="AA44" i="10" s="1"/>
  <c r="AA26" i="10" s="1"/>
  <c r="M45" i="10"/>
  <c r="AP45" i="10"/>
  <c r="AW28" i="10"/>
  <c r="AW27" i="10" s="1"/>
  <c r="AD93" i="10"/>
  <c r="AW92" i="10"/>
  <c r="AW91" i="10" s="1"/>
  <c r="BA93" i="10"/>
  <c r="BA92" i="10" s="1"/>
  <c r="BA91" i="10" s="1"/>
  <c r="AL28" i="10"/>
  <c r="AL27" i="10" s="1"/>
  <c r="M51" i="10"/>
  <c r="BA75" i="10"/>
  <c r="BA51" i="10" s="1"/>
  <c r="BA44" i="10" s="1"/>
  <c r="AW51" i="10"/>
  <c r="AW45" i="10"/>
  <c r="AD129" i="10"/>
  <c r="AD128" i="10" s="1"/>
  <c r="AL129" i="10"/>
  <c r="AL128" i="10" s="1"/>
  <c r="M14" i="10"/>
  <c r="Z20" i="10"/>
  <c r="W20" i="10"/>
  <c r="Z67" i="10"/>
  <c r="W67" i="10"/>
  <c r="Z21" i="10"/>
  <c r="W21" i="10"/>
  <c r="AD15" i="10"/>
  <c r="BA16" i="10"/>
  <c r="BA14" i="10" s="1"/>
  <c r="Z124" i="10"/>
  <c r="W124" i="10"/>
  <c r="AL15" i="10"/>
  <c r="Z75" i="10"/>
  <c r="W75" i="10"/>
  <c r="Z102" i="10"/>
  <c r="W102" i="10"/>
  <c r="Z52" i="10"/>
  <c r="W52" i="10"/>
  <c r="Z50" i="10"/>
  <c r="W50" i="10"/>
  <c r="W48" i="10"/>
  <c r="Z35" i="10"/>
  <c r="W35" i="10"/>
  <c r="Z32" i="10"/>
  <c r="W32" i="10"/>
  <c r="U13" i="10"/>
  <c r="AZ13" i="10"/>
  <c r="AV13" i="10"/>
  <c r="AU13" i="10"/>
  <c r="T13" i="10"/>
  <c r="P13" i="10"/>
  <c r="AB13" i="10"/>
  <c r="AY13" i="10"/>
  <c r="AN13" i="10"/>
  <c r="O13" i="10"/>
  <c r="AX13" i="10"/>
  <c r="Y13" i="10"/>
  <c r="N13" i="10"/>
  <c r="X13" i="10"/>
  <c r="AI13" i="10"/>
  <c r="AF13" i="10"/>
  <c r="R13" i="10"/>
  <c r="Q13" i="10"/>
  <c r="AQ13" i="10"/>
  <c r="AG53" i="10"/>
  <c r="AO48" i="10"/>
  <c r="AO45" i="10" s="1"/>
  <c r="Z48" i="10"/>
  <c r="AO53" i="10"/>
  <c r="AG48" i="10"/>
  <c r="AG45" i="10" s="1"/>
  <c r="AL93" i="10"/>
  <c r="AG35" i="10"/>
  <c r="AO102" i="10"/>
  <c r="AL102" i="10" s="1"/>
  <c r="AO35" i="10"/>
  <c r="AO28" i="10" s="1"/>
  <c r="AO27" i="10" s="1"/>
  <c r="AM46" i="10"/>
  <c r="V46" i="10"/>
  <c r="BA129" i="10"/>
  <c r="BA128" i="10" s="1"/>
  <c r="BI44" i="10" l="1"/>
  <c r="BI26" i="10" s="1"/>
  <c r="BM44" i="10"/>
  <c r="BM26" i="10" s="1"/>
  <c r="BM13" i="10" s="1"/>
  <c r="BA26" i="10"/>
  <c r="BA13" i="10" s="1"/>
  <c r="BD26" i="10"/>
  <c r="BD13" i="10" s="1"/>
  <c r="BI13" i="10"/>
  <c r="AC26" i="10"/>
  <c r="AC13" i="10" s="1"/>
  <c r="Z14" i="10"/>
  <c r="AS26" i="10"/>
  <c r="AS13" i="10" s="1"/>
  <c r="AK26" i="10"/>
  <c r="AK13" i="10" s="1"/>
  <c r="AE26" i="10"/>
  <c r="AE13" i="10" s="1"/>
  <c r="AD14" i="10"/>
  <c r="AL14" i="10"/>
  <c r="AO14" i="10"/>
  <c r="AG14" i="10"/>
  <c r="W14" i="10"/>
  <c r="AJ13" i="10"/>
  <c r="AD92" i="10"/>
  <c r="AD91" i="10" s="1"/>
  <c r="M44" i="10"/>
  <c r="AR13" i="10"/>
  <c r="AG92" i="10"/>
  <c r="AG91" i="10" s="1"/>
  <c r="Z45" i="10"/>
  <c r="AP44" i="10"/>
  <c r="AH44" i="10"/>
  <c r="AG51" i="10"/>
  <c r="AG44" i="10" s="1"/>
  <c r="AO51" i="10"/>
  <c r="AO44" i="10" s="1"/>
  <c r="W45" i="10"/>
  <c r="Z28" i="10"/>
  <c r="Z27" i="10" s="1"/>
  <c r="AL92" i="10"/>
  <c r="AL91" i="10" s="1"/>
  <c r="Z92" i="10"/>
  <c r="Z91" i="10" s="1"/>
  <c r="AW44" i="10"/>
  <c r="AO92" i="10"/>
  <c r="AO91" i="10" s="1"/>
  <c r="W92" i="10"/>
  <c r="W91" i="10" s="1"/>
  <c r="W28" i="10"/>
  <c r="W27" i="10" s="1"/>
  <c r="AG28" i="10"/>
  <c r="AG27" i="10" s="1"/>
  <c r="W51" i="10"/>
  <c r="Z51" i="10"/>
  <c r="AM45" i="10"/>
  <c r="V45" i="10"/>
  <c r="AT13" i="10"/>
  <c r="AA13" i="10"/>
  <c r="AL53" i="10"/>
  <c r="AL51" i="10" s="1"/>
  <c r="AD53" i="10"/>
  <c r="AD51" i="10" s="1"/>
  <c r="AL48" i="10"/>
  <c r="AL45" i="10" s="1"/>
  <c r="AD48" i="10"/>
  <c r="AD45" i="10" s="1"/>
  <c r="S46" i="10"/>
  <c r="AO26" i="10" l="1"/>
  <c r="AO13" i="10" s="1"/>
  <c r="AG26" i="10"/>
  <c r="AG13" i="10" s="1"/>
  <c r="M26" i="10"/>
  <c r="M13" i="10" s="1"/>
  <c r="AW26" i="10"/>
  <c r="AW13" i="10" s="1"/>
  <c r="AH26" i="10"/>
  <c r="AH13" i="10" s="1"/>
  <c r="AP26" i="10"/>
  <c r="AP13" i="10" s="1"/>
  <c r="Z44" i="10"/>
  <c r="W44" i="10"/>
  <c r="AD44" i="10"/>
  <c r="AL44" i="10"/>
  <c r="V44" i="10"/>
  <c r="AM44" i="10"/>
  <c r="S45" i="10"/>
  <c r="W23" i="7"/>
  <c r="W24" i="7"/>
  <c r="W25" i="7"/>
  <c r="W26" i="7"/>
  <c r="W27" i="7"/>
  <c r="W28" i="7"/>
  <c r="W29" i="7"/>
  <c r="W30" i="7"/>
  <c r="W31" i="7"/>
  <c r="W32" i="7"/>
  <c r="W22" i="7"/>
  <c r="W21" i="7"/>
  <c r="W19" i="7"/>
  <c r="W68" i="7"/>
  <c r="W67" i="7"/>
  <c r="W66" i="7"/>
  <c r="W65" i="7"/>
  <c r="W63" i="7"/>
  <c r="W62" i="7"/>
  <c r="W61" i="7"/>
  <c r="W60" i="7"/>
  <c r="W59" i="7"/>
  <c r="W58" i="7"/>
  <c r="W57" i="7"/>
  <c r="W56" i="7"/>
  <c r="W55" i="7"/>
  <c r="W54" i="7"/>
  <c r="W53" i="7"/>
  <c r="W51" i="7"/>
  <c r="W50" i="7"/>
  <c r="W49" i="7"/>
  <c r="W48" i="7"/>
  <c r="W47" i="7"/>
  <c r="W46" i="7"/>
  <c r="W45" i="7"/>
  <c r="W44" i="7"/>
  <c r="W41" i="7"/>
  <c r="W40" i="7"/>
  <c r="W39" i="7"/>
  <c r="W38" i="7"/>
  <c r="W37" i="7"/>
  <c r="W36" i="7"/>
  <c r="W35" i="7"/>
  <c r="W73" i="7"/>
  <c r="W72" i="7"/>
  <c r="W71" i="7"/>
  <c r="W86" i="7"/>
  <c r="W85" i="7"/>
  <c r="W84" i="7"/>
  <c r="W83" i="7"/>
  <c r="W82" i="7"/>
  <c r="W81" i="7"/>
  <c r="W80" i="7"/>
  <c r="W79" i="7"/>
  <c r="W78" i="7"/>
  <c r="W77" i="7"/>
  <c r="W76" i="7"/>
  <c r="W91" i="7"/>
  <c r="W90" i="7"/>
  <c r="W89" i="7"/>
  <c r="W98" i="7"/>
  <c r="W97" i="7"/>
  <c r="W95" i="7"/>
  <c r="W96" i="7"/>
  <c r="W94" i="7"/>
  <c r="W15" i="7"/>
  <c r="W14" i="7" s="1"/>
  <c r="AT102" i="7"/>
  <c r="AT101" i="7" s="1"/>
  <c r="AT98" i="7"/>
  <c r="AT97" i="7"/>
  <c r="AT96" i="7"/>
  <c r="AT95" i="7"/>
  <c r="AT94" i="7"/>
  <c r="AT91" i="7"/>
  <c r="AT90" i="7"/>
  <c r="AT89" i="7"/>
  <c r="AT77" i="7"/>
  <c r="AT78" i="7"/>
  <c r="AT79" i="7"/>
  <c r="AT80" i="7"/>
  <c r="AT81" i="7"/>
  <c r="AT82" i="7"/>
  <c r="AT83" i="7"/>
  <c r="AT84" i="7"/>
  <c r="AT85" i="7"/>
  <c r="AT86" i="7"/>
  <c r="AT76" i="7"/>
  <c r="AT72" i="7"/>
  <c r="AT73" i="7"/>
  <c r="AT71" i="7"/>
  <c r="AT39" i="7"/>
  <c r="AT40" i="7"/>
  <c r="AT41" i="7"/>
  <c r="AT42" i="7"/>
  <c r="AT43" i="7"/>
  <c r="AT44" i="7"/>
  <c r="AT45" i="7"/>
  <c r="AT46" i="7"/>
  <c r="AT47" i="7"/>
  <c r="AT48" i="7"/>
  <c r="AT49" i="7"/>
  <c r="AT50" i="7"/>
  <c r="AT51" i="7"/>
  <c r="AT52" i="7"/>
  <c r="AT53" i="7"/>
  <c r="AT54" i="7"/>
  <c r="AT55" i="7"/>
  <c r="AT56" i="7"/>
  <c r="AT57" i="7"/>
  <c r="AT58" i="7"/>
  <c r="AT59" i="7"/>
  <c r="AT60" i="7"/>
  <c r="AT61" i="7"/>
  <c r="AT62" i="7"/>
  <c r="AT63" i="7"/>
  <c r="AT65" i="7"/>
  <c r="AT66" i="7"/>
  <c r="AT67" i="7"/>
  <c r="AT68" i="7"/>
  <c r="AT36" i="7"/>
  <c r="AT37" i="7"/>
  <c r="AT38" i="7"/>
  <c r="AT35" i="7"/>
  <c r="AT31" i="7"/>
  <c r="AT32" i="7"/>
  <c r="AT29" i="7"/>
  <c r="AT30" i="7"/>
  <c r="AT26" i="7"/>
  <c r="AT27" i="7"/>
  <c r="AT28" i="7"/>
  <c r="AT23" i="7"/>
  <c r="AT24" i="7"/>
  <c r="AT25" i="7"/>
  <c r="AT21" i="7"/>
  <c r="AT22" i="7"/>
  <c r="AT20" i="7"/>
  <c r="AT19" i="7"/>
  <c r="AM26" i="10" l="1"/>
  <c r="AM13" i="10" s="1"/>
  <c r="V26" i="10"/>
  <c r="V13" i="10" s="1"/>
  <c r="AL26" i="10"/>
  <c r="AL13" i="10" s="1"/>
  <c r="AD26" i="10"/>
  <c r="AD13" i="10" s="1"/>
  <c r="W26" i="10"/>
  <c r="W13" i="10" s="1"/>
  <c r="Z26" i="10"/>
  <c r="Z13" i="10" s="1"/>
  <c r="S44" i="10"/>
  <c r="BY110" i="9"/>
  <c r="BQ26" i="9"/>
  <c r="BM26" i="9"/>
  <c r="BI26" i="9"/>
  <c r="BD26" i="9"/>
  <c r="BA26" i="9" s="1"/>
  <c r="AW26" i="9"/>
  <c r="AT26" i="9"/>
  <c r="AO26" i="9"/>
  <c r="AL26" i="9" s="1"/>
  <c r="AG26" i="9"/>
  <c r="AD26" i="9" s="1"/>
  <c r="AB26" i="9"/>
  <c r="Z26" i="9" s="1"/>
  <c r="BQ25" i="9"/>
  <c r="BM25" i="9"/>
  <c r="AW25" i="9"/>
  <c r="AT25" i="9"/>
  <c r="AO25" i="9"/>
  <c r="AL25" i="9" s="1"/>
  <c r="AG25" i="9"/>
  <c r="AD25" i="9" s="1"/>
  <c r="Z25" i="9"/>
  <c r="W25" i="9"/>
  <c r="BQ24" i="9"/>
  <c r="BM24" i="9"/>
  <c r="AW24" i="9"/>
  <c r="AT24" i="9"/>
  <c r="AR24" i="9"/>
  <c r="AO24" i="9" s="1"/>
  <c r="AL24" i="9" s="1"/>
  <c r="AJ24" i="9"/>
  <c r="AG24" i="9" s="1"/>
  <c r="AD24" i="9" s="1"/>
  <c r="AB24" i="9"/>
  <c r="Z24" i="9" s="1"/>
  <c r="BQ71" i="9"/>
  <c r="BM71" i="9"/>
  <c r="AW71" i="9"/>
  <c r="AT71" i="9"/>
  <c r="AO71" i="9"/>
  <c r="AL71" i="9" s="1"/>
  <c r="AG71" i="9"/>
  <c r="AD71" i="9" s="1"/>
  <c r="Z71" i="9"/>
  <c r="W71" i="9"/>
  <c r="BQ23" i="9"/>
  <c r="BM23" i="9"/>
  <c r="AW23" i="9"/>
  <c r="AT23" i="9"/>
  <c r="AO23" i="9"/>
  <c r="AL23" i="9" s="1"/>
  <c r="AG23" i="9"/>
  <c r="AD23" i="9" s="1"/>
  <c r="Z23" i="9"/>
  <c r="W23" i="9"/>
  <c r="AT22" i="9"/>
  <c r="AO22" i="9"/>
  <c r="AL22" i="9" s="1"/>
  <c r="AG22" i="9"/>
  <c r="AD22" i="9" s="1"/>
  <c r="Z22" i="9"/>
  <c r="W22" i="9"/>
  <c r="AT21" i="9"/>
  <c r="AR21" i="9"/>
  <c r="AO21" i="9" s="1"/>
  <c r="AL21" i="9" s="1"/>
  <c r="AJ21" i="9"/>
  <c r="AG21" i="9" s="1"/>
  <c r="AD21" i="9" s="1"/>
  <c r="AB21" i="9"/>
  <c r="Z21" i="9" s="1"/>
  <c r="AT20" i="9"/>
  <c r="AO20" i="9"/>
  <c r="AL20" i="9" s="1"/>
  <c r="AG20" i="9"/>
  <c r="AD20" i="9" s="1"/>
  <c r="Z20" i="9"/>
  <c r="W20" i="9"/>
  <c r="AT19" i="9"/>
  <c r="AR19" i="9"/>
  <c r="AJ19" i="9"/>
  <c r="AB19" i="9"/>
  <c r="BQ18" i="9"/>
  <c r="BM18" i="9"/>
  <c r="BI18" i="9"/>
  <c r="BD18" i="9"/>
  <c r="BA18" i="9" s="1"/>
  <c r="AW18" i="9"/>
  <c r="AT18" i="9"/>
  <c r="AO18" i="9"/>
  <c r="AL18" i="9" s="1"/>
  <c r="AG18" i="9"/>
  <c r="AD18" i="9" s="1"/>
  <c r="Z18" i="9"/>
  <c r="W18" i="9"/>
  <c r="BQ17" i="9"/>
  <c r="BM17" i="9"/>
  <c r="BI17" i="9"/>
  <c r="BD17" i="9"/>
  <c r="BA17" i="9" s="1"/>
  <c r="AW17" i="9"/>
  <c r="AT17" i="9"/>
  <c r="AO17" i="9"/>
  <c r="AL17" i="9" s="1"/>
  <c r="AG17" i="9"/>
  <c r="AD17" i="9" s="1"/>
  <c r="Z17" i="9"/>
  <c r="W17" i="9"/>
  <c r="BQ16" i="9"/>
  <c r="BM16" i="9"/>
  <c r="BI16" i="9"/>
  <c r="BD16" i="9"/>
  <c r="BA16" i="9" s="1"/>
  <c r="AW16" i="9"/>
  <c r="AT16" i="9"/>
  <c r="AO16" i="9"/>
  <c r="AL16" i="9" s="1"/>
  <c r="AG16" i="9"/>
  <c r="AD16" i="9" s="1"/>
  <c r="Z16" i="9"/>
  <c r="W16" i="9"/>
  <c r="BQ73" i="9"/>
  <c r="BM73" i="9"/>
  <c r="BI73" i="9"/>
  <c r="BD73" i="9"/>
  <c r="BA73" i="9" s="1"/>
  <c r="AW73" i="9"/>
  <c r="AT73" i="9"/>
  <c r="AO73" i="9"/>
  <c r="AL73" i="9" s="1"/>
  <c r="AG73" i="9"/>
  <c r="AD73" i="9" s="1"/>
  <c r="Z73" i="9"/>
  <c r="W73" i="9"/>
  <c r="BQ27" i="9"/>
  <c r="BM27" i="9"/>
  <c r="BI27" i="9"/>
  <c r="BD27" i="9"/>
  <c r="BA27" i="9" s="1"/>
  <c r="AW27" i="9"/>
  <c r="AT27" i="9"/>
  <c r="AO27" i="9"/>
  <c r="AL27" i="9" s="1"/>
  <c r="AG27" i="9"/>
  <c r="AD27" i="9" s="1"/>
  <c r="Z27" i="9"/>
  <c r="W27" i="9"/>
  <c r="BQ77" i="9"/>
  <c r="BM77" i="9"/>
  <c r="BI77" i="9"/>
  <c r="BD77" i="9"/>
  <c r="BA77" i="9" s="1"/>
  <c r="AW77" i="9"/>
  <c r="AT77" i="9"/>
  <c r="AR77" i="9"/>
  <c r="AR44" i="9" s="1"/>
  <c r="AJ77" i="9"/>
  <c r="AJ44" i="9" s="1"/>
  <c r="AB77" i="9"/>
  <c r="AB44" i="9" s="1"/>
  <c r="AT76" i="9"/>
  <c r="AO76" i="9"/>
  <c r="AL76" i="9" s="1"/>
  <c r="AG76" i="9"/>
  <c r="AD76" i="9" s="1"/>
  <c r="Z76" i="9"/>
  <c r="W76" i="9"/>
  <c r="AT98" i="9"/>
  <c r="AO98" i="9"/>
  <c r="AL98" i="9" s="1"/>
  <c r="AG98" i="9"/>
  <c r="AD98" i="9" s="1"/>
  <c r="Z98" i="9"/>
  <c r="W98" i="9"/>
  <c r="BQ75" i="9"/>
  <c r="BM75" i="9"/>
  <c r="BI75" i="9"/>
  <c r="BD75" i="9"/>
  <c r="BA75" i="9" s="1"/>
  <c r="AW75" i="9"/>
  <c r="AT75" i="9"/>
  <c r="AO75" i="9"/>
  <c r="AL75" i="9" s="1"/>
  <c r="AG75" i="9"/>
  <c r="AD75" i="9" s="1"/>
  <c r="Z75" i="9"/>
  <c r="W75" i="9"/>
  <c r="BQ74" i="9"/>
  <c r="BM74" i="9"/>
  <c r="BI74" i="9"/>
  <c r="BD74" i="9"/>
  <c r="BA74" i="9" s="1"/>
  <c r="AW74" i="9"/>
  <c r="AT74" i="9"/>
  <c r="AO74" i="9"/>
  <c r="AL74" i="9" s="1"/>
  <c r="AG74" i="9"/>
  <c r="AD74" i="9" s="1"/>
  <c r="Z74" i="9"/>
  <c r="W74" i="9"/>
  <c r="BQ97" i="9"/>
  <c r="BM97" i="9"/>
  <c r="BI97" i="9"/>
  <c r="BD97" i="9"/>
  <c r="BA97" i="9" s="1"/>
  <c r="AW97" i="9"/>
  <c r="AT97" i="9"/>
  <c r="AO97" i="9"/>
  <c r="AL97" i="9" s="1"/>
  <c r="AG97" i="9"/>
  <c r="AD97" i="9" s="1"/>
  <c r="Z97" i="9"/>
  <c r="W97" i="9"/>
  <c r="BQ96" i="9"/>
  <c r="BM96" i="9"/>
  <c r="BI96" i="9"/>
  <c r="BD96" i="9"/>
  <c r="AW96" i="9"/>
  <c r="AT96" i="9"/>
  <c r="AO96" i="9"/>
  <c r="AG96" i="9"/>
  <c r="Z96" i="9"/>
  <c r="W96" i="9"/>
  <c r="BQ72" i="9"/>
  <c r="BM72" i="9"/>
  <c r="BI72" i="9"/>
  <c r="BD72" i="9"/>
  <c r="BA72" i="9" s="1"/>
  <c r="AW72" i="9"/>
  <c r="AT72" i="9"/>
  <c r="AO72" i="9"/>
  <c r="AL72" i="9" s="1"/>
  <c r="AG72" i="9"/>
  <c r="Z72" i="9"/>
  <c r="W72" i="9"/>
  <c r="BQ70" i="9"/>
  <c r="BM70" i="9"/>
  <c r="BI70" i="9"/>
  <c r="BD70" i="9"/>
  <c r="AW70" i="9"/>
  <c r="AT70" i="9"/>
  <c r="AO70" i="9"/>
  <c r="AG70" i="9"/>
  <c r="Z70" i="9"/>
  <c r="W70" i="9"/>
  <c r="AT30" i="9"/>
  <c r="AT29" i="9"/>
  <c r="AW28" i="9"/>
  <c r="AT28" i="9"/>
  <c r="AW102" i="9"/>
  <c r="AT102" i="9"/>
  <c r="AW108" i="9"/>
  <c r="AT108" i="9"/>
  <c r="Z108" i="9"/>
  <c r="Z106" i="9" s="1"/>
  <c r="W108" i="9"/>
  <c r="AW107" i="9"/>
  <c r="AT107" i="9"/>
  <c r="W107" i="9"/>
  <c r="BQ105" i="9"/>
  <c r="BM105" i="9"/>
  <c r="BI105" i="9"/>
  <c r="BD105" i="9"/>
  <c r="AW105" i="9"/>
  <c r="AT105" i="9"/>
  <c r="AO105" i="9"/>
  <c r="AL105" i="9" s="1"/>
  <c r="AG105" i="9"/>
  <c r="AD105" i="9" s="1"/>
  <c r="Z105" i="9"/>
  <c r="W105" i="9"/>
  <c r="S105" i="9"/>
  <c r="BQ104" i="9"/>
  <c r="BM104" i="9"/>
  <c r="BI104" i="9"/>
  <c r="BD104" i="9"/>
  <c r="AW104" i="9"/>
  <c r="AT104" i="9"/>
  <c r="AO104" i="9"/>
  <c r="AG104" i="9"/>
  <c r="Z104" i="9"/>
  <c r="W104" i="9"/>
  <c r="S104" i="9"/>
  <c r="BQ101" i="9"/>
  <c r="BM101" i="9"/>
  <c r="BI101" i="9"/>
  <c r="BD101" i="9"/>
  <c r="AW101" i="9"/>
  <c r="AT101" i="9"/>
  <c r="AO101" i="9"/>
  <c r="AL101" i="9" s="1"/>
  <c r="AG101" i="9"/>
  <c r="AD101" i="9" s="1"/>
  <c r="Z101" i="9"/>
  <c r="W101" i="9"/>
  <c r="S101" i="9"/>
  <c r="BQ100" i="9"/>
  <c r="BM100" i="9"/>
  <c r="BI100" i="9"/>
  <c r="BD100" i="9"/>
  <c r="AW100" i="9"/>
  <c r="AT100" i="9"/>
  <c r="AO100" i="9"/>
  <c r="AG100" i="9"/>
  <c r="Z100" i="9"/>
  <c r="W100" i="9"/>
  <c r="S100" i="9"/>
  <c r="BX95" i="9"/>
  <c r="BQ95" i="9"/>
  <c r="BM95" i="9"/>
  <c r="BI95" i="9"/>
  <c r="BD95" i="9"/>
  <c r="BA95" i="9" s="1"/>
  <c r="AW95" i="9"/>
  <c r="AT95" i="9"/>
  <c r="AR95" i="9"/>
  <c r="AP95" i="9"/>
  <c r="AP90" i="9" s="1"/>
  <c r="AJ95" i="9"/>
  <c r="AH95" i="9"/>
  <c r="AH90" i="9" s="1"/>
  <c r="AB95" i="9"/>
  <c r="Z95" i="9" s="1"/>
  <c r="S95" i="9"/>
  <c r="BQ94" i="9"/>
  <c r="BM94" i="9"/>
  <c r="BI94" i="9"/>
  <c r="BD94" i="9"/>
  <c r="BA94" i="9" s="1"/>
  <c r="AW94" i="9"/>
  <c r="AT94" i="9"/>
  <c r="AR94" i="9"/>
  <c r="AJ94" i="9"/>
  <c r="AB94" i="9"/>
  <c r="S94" i="9"/>
  <c r="BQ93" i="9"/>
  <c r="BM93" i="9"/>
  <c r="BI93" i="9"/>
  <c r="BD93" i="9"/>
  <c r="BA93" i="9" s="1"/>
  <c r="AW93" i="9"/>
  <c r="AT93" i="9"/>
  <c r="AO93" i="9"/>
  <c r="AL93" i="9" s="1"/>
  <c r="AG93" i="9"/>
  <c r="AD93" i="9" s="1"/>
  <c r="Z93" i="9"/>
  <c r="W93" i="9"/>
  <c r="S93" i="9"/>
  <c r="BQ92" i="9"/>
  <c r="BM92" i="9"/>
  <c r="BI92" i="9"/>
  <c r="BD92" i="9"/>
  <c r="AW92" i="9"/>
  <c r="AT92" i="9"/>
  <c r="AO92" i="9"/>
  <c r="AL92" i="9" s="1"/>
  <c r="AG92" i="9"/>
  <c r="AD92" i="9" s="1"/>
  <c r="Z92" i="9"/>
  <c r="W92" i="9"/>
  <c r="S92" i="9"/>
  <c r="BQ91" i="9"/>
  <c r="BM91" i="9"/>
  <c r="BI91" i="9"/>
  <c r="BD91" i="9"/>
  <c r="AW91" i="9"/>
  <c r="AT91" i="9"/>
  <c r="AO91" i="9"/>
  <c r="AG91" i="9"/>
  <c r="Z91" i="9"/>
  <c r="W91" i="9"/>
  <c r="S91" i="9"/>
  <c r="N87" i="9"/>
  <c r="M87" i="9"/>
  <c r="BQ89" i="9"/>
  <c r="BQ88" i="9" s="1"/>
  <c r="BM89" i="9"/>
  <c r="BM88" i="9" s="1"/>
  <c r="BI89" i="9"/>
  <c r="BI88" i="9" s="1"/>
  <c r="BD89" i="9"/>
  <c r="AW89" i="9"/>
  <c r="AW88" i="9" s="1"/>
  <c r="AT89" i="9"/>
  <c r="AT88" i="9" s="1"/>
  <c r="AR89" i="9"/>
  <c r="AR88" i="9" s="1"/>
  <c r="AJ89" i="9"/>
  <c r="AG89" i="9" s="1"/>
  <c r="AB89" i="9"/>
  <c r="Z89" i="9" s="1"/>
  <c r="Z88" i="9" s="1"/>
  <c r="S89" i="9"/>
  <c r="S88" i="9" s="1"/>
  <c r="M89" i="9"/>
  <c r="AZ88" i="9"/>
  <c r="AY88" i="9"/>
  <c r="AX88" i="9"/>
  <c r="AV88" i="9"/>
  <c r="AU88" i="9"/>
  <c r="AS88" i="9"/>
  <c r="AQ88" i="9"/>
  <c r="AP88" i="9"/>
  <c r="AN88" i="9"/>
  <c r="AM88" i="9"/>
  <c r="AK88" i="9"/>
  <c r="AI88" i="9"/>
  <c r="AH88" i="9"/>
  <c r="AF88" i="9"/>
  <c r="AE88" i="9"/>
  <c r="AC88" i="9"/>
  <c r="AA88" i="9"/>
  <c r="Y88" i="9"/>
  <c r="X88" i="9"/>
  <c r="V88" i="9"/>
  <c r="U88" i="9"/>
  <c r="T88" i="9"/>
  <c r="R88" i="9"/>
  <c r="Q88" i="9"/>
  <c r="P88" i="9"/>
  <c r="O88" i="9"/>
  <c r="BQ86" i="9"/>
  <c r="BM86" i="9"/>
  <c r="BI86" i="9"/>
  <c r="BD86" i="9"/>
  <c r="BA86" i="9" s="1"/>
  <c r="AW86" i="9"/>
  <c r="AT86" i="9"/>
  <c r="AO86" i="9"/>
  <c r="AL86" i="9" s="1"/>
  <c r="AG86" i="9"/>
  <c r="AD86" i="9" s="1"/>
  <c r="Z86" i="9"/>
  <c r="W86" i="9"/>
  <c r="S86" i="9"/>
  <c r="BQ85" i="9"/>
  <c r="BM85" i="9"/>
  <c r="BI85" i="9"/>
  <c r="BD85" i="9"/>
  <c r="BA85" i="9" s="1"/>
  <c r="AW85" i="9"/>
  <c r="AT85" i="9"/>
  <c r="AO85" i="9"/>
  <c r="AL85" i="9" s="1"/>
  <c r="AG85" i="9"/>
  <c r="AD85" i="9" s="1"/>
  <c r="Z85" i="9"/>
  <c r="W85" i="9"/>
  <c r="S85" i="9"/>
  <c r="BQ84" i="9"/>
  <c r="BM84" i="9"/>
  <c r="BI84" i="9"/>
  <c r="BD84" i="9"/>
  <c r="BA84" i="9" s="1"/>
  <c r="AW84" i="9"/>
  <c r="AT84" i="9"/>
  <c r="AO84" i="9"/>
  <c r="AL84" i="9" s="1"/>
  <c r="AG84" i="9"/>
  <c r="AD84" i="9" s="1"/>
  <c r="AB84" i="9"/>
  <c r="S84" i="9"/>
  <c r="BQ83" i="9"/>
  <c r="BM83" i="9"/>
  <c r="BI83" i="9"/>
  <c r="BD83" i="9"/>
  <c r="BA83" i="9" s="1"/>
  <c r="AW83" i="9"/>
  <c r="AT83" i="9"/>
  <c r="AO83" i="9"/>
  <c r="AL83" i="9" s="1"/>
  <c r="AG83" i="9"/>
  <c r="AD83" i="9" s="1"/>
  <c r="Z83" i="9"/>
  <c r="W83" i="9"/>
  <c r="S83" i="9"/>
  <c r="BQ82" i="9"/>
  <c r="BM82" i="9"/>
  <c r="BI82" i="9"/>
  <c r="BD82" i="9"/>
  <c r="BA82" i="9" s="1"/>
  <c r="AW82" i="9"/>
  <c r="AT82" i="9"/>
  <c r="AO82" i="9"/>
  <c r="AL82" i="9" s="1"/>
  <c r="AG82" i="9"/>
  <c r="AD82" i="9" s="1"/>
  <c r="Z82" i="9"/>
  <c r="W82" i="9"/>
  <c r="S82" i="9"/>
  <c r="BQ81" i="9"/>
  <c r="BM81" i="9"/>
  <c r="BI81" i="9"/>
  <c r="BD81" i="9"/>
  <c r="BA81" i="9" s="1"/>
  <c r="AW81" i="9"/>
  <c r="AT81" i="9"/>
  <c r="AO81" i="9"/>
  <c r="AL81" i="9" s="1"/>
  <c r="AG81" i="9"/>
  <c r="AD81" i="9" s="1"/>
  <c r="Z81" i="9"/>
  <c r="W81" i="9"/>
  <c r="S81" i="9"/>
  <c r="BQ80" i="9"/>
  <c r="BM80" i="9"/>
  <c r="BI80" i="9"/>
  <c r="BD80" i="9"/>
  <c r="BA80" i="9" s="1"/>
  <c r="AW80" i="9"/>
  <c r="AT80" i="9"/>
  <c r="AO80" i="9"/>
  <c r="AG80" i="9"/>
  <c r="AD80" i="9" s="1"/>
  <c r="Z80" i="9"/>
  <c r="W80" i="9"/>
  <c r="S80" i="9"/>
  <c r="BQ79" i="9"/>
  <c r="BM79" i="9"/>
  <c r="BI79" i="9"/>
  <c r="BD79" i="9"/>
  <c r="AW79" i="9"/>
  <c r="AT79" i="9"/>
  <c r="AO79" i="9"/>
  <c r="AG79" i="9"/>
  <c r="Z79" i="9"/>
  <c r="W79" i="9"/>
  <c r="S79" i="9"/>
  <c r="BQ69" i="9"/>
  <c r="BM69" i="9"/>
  <c r="BI69" i="9"/>
  <c r="BD69" i="9"/>
  <c r="BA69" i="9" s="1"/>
  <c r="AW69" i="9"/>
  <c r="AT69" i="9"/>
  <c r="AO69" i="9"/>
  <c r="AL69" i="9" s="1"/>
  <c r="AG69" i="9"/>
  <c r="AD69" i="9" s="1"/>
  <c r="Z69" i="9"/>
  <c r="W69" i="9"/>
  <c r="S69" i="9"/>
  <c r="P69" i="9"/>
  <c r="P44" i="9" s="1"/>
  <c r="BQ68" i="9"/>
  <c r="BM68" i="9"/>
  <c r="BI68" i="9"/>
  <c r="BD68" i="9"/>
  <c r="BA68" i="9" s="1"/>
  <c r="AW68" i="9"/>
  <c r="AT68" i="9"/>
  <c r="AO68" i="9"/>
  <c r="AL68" i="9" s="1"/>
  <c r="AG68" i="9"/>
  <c r="AD68" i="9" s="1"/>
  <c r="Z68" i="9"/>
  <c r="W68" i="9"/>
  <c r="S68" i="9"/>
  <c r="BQ67" i="9"/>
  <c r="BM67" i="9"/>
  <c r="BI67" i="9"/>
  <c r="BD67" i="9"/>
  <c r="BA67" i="9" s="1"/>
  <c r="AW67" i="9"/>
  <c r="AT67" i="9"/>
  <c r="AO67" i="9"/>
  <c r="AL67" i="9" s="1"/>
  <c r="AH67" i="9"/>
  <c r="AH44" i="9" s="1"/>
  <c r="Z67" i="9"/>
  <c r="W67" i="9"/>
  <c r="S67" i="9"/>
  <c r="BQ66" i="9"/>
  <c r="BM66" i="9"/>
  <c r="BI66" i="9"/>
  <c r="BD66" i="9"/>
  <c r="BA66" i="9" s="1"/>
  <c r="AW66" i="9"/>
  <c r="AT66" i="9"/>
  <c r="AO66" i="9"/>
  <c r="AL66" i="9" s="1"/>
  <c r="AG66" i="9"/>
  <c r="AD66" i="9" s="1"/>
  <c r="Z66" i="9"/>
  <c r="W66" i="9"/>
  <c r="S66" i="9"/>
  <c r="BQ65" i="9"/>
  <c r="BM65" i="9"/>
  <c r="BI65" i="9"/>
  <c r="BD65" i="9"/>
  <c r="BA65" i="9" s="1"/>
  <c r="AW65" i="9"/>
  <c r="AT65" i="9"/>
  <c r="AO65" i="9"/>
  <c r="AL65" i="9" s="1"/>
  <c r="AG65" i="9"/>
  <c r="AD65" i="9" s="1"/>
  <c r="Z65" i="9"/>
  <c r="W65" i="9"/>
  <c r="S65" i="9"/>
  <c r="BQ64" i="9"/>
  <c r="BM64" i="9"/>
  <c r="BI64" i="9"/>
  <c r="BD64" i="9"/>
  <c r="BA64" i="9" s="1"/>
  <c r="AW64" i="9"/>
  <c r="AT64" i="9"/>
  <c r="AO64" i="9"/>
  <c r="AL64" i="9" s="1"/>
  <c r="AG64" i="9"/>
  <c r="AD64" i="9" s="1"/>
  <c r="Z64" i="9"/>
  <c r="W64" i="9"/>
  <c r="S64" i="9"/>
  <c r="BQ63" i="9"/>
  <c r="BM63" i="9"/>
  <c r="BI63" i="9"/>
  <c r="BD63" i="9"/>
  <c r="BA63" i="9" s="1"/>
  <c r="AW63" i="9"/>
  <c r="AT63" i="9"/>
  <c r="AO63" i="9"/>
  <c r="AL63" i="9" s="1"/>
  <c r="AG63" i="9"/>
  <c r="AD63" i="9" s="1"/>
  <c r="Z63" i="9"/>
  <c r="W63" i="9"/>
  <c r="S63" i="9"/>
  <c r="BQ62" i="9"/>
  <c r="BM62" i="9"/>
  <c r="BI62" i="9"/>
  <c r="BD62" i="9"/>
  <c r="BA62" i="9" s="1"/>
  <c r="AW62" i="9"/>
  <c r="AT62" i="9"/>
  <c r="AO62" i="9"/>
  <c r="AL62" i="9" s="1"/>
  <c r="AG62" i="9"/>
  <c r="AD62" i="9" s="1"/>
  <c r="Z62" i="9"/>
  <c r="W62" i="9"/>
  <c r="S62" i="9"/>
  <c r="BQ61" i="9"/>
  <c r="BM61" i="9"/>
  <c r="BI61" i="9"/>
  <c r="BD61" i="9"/>
  <c r="BA61" i="9" s="1"/>
  <c r="AW61" i="9"/>
  <c r="AT61" i="9"/>
  <c r="AO61" i="9"/>
  <c r="AL61" i="9" s="1"/>
  <c r="AG61" i="9"/>
  <c r="AD61" i="9" s="1"/>
  <c r="Z61" i="9"/>
  <c r="W61" i="9"/>
  <c r="S61" i="9"/>
  <c r="BQ60" i="9"/>
  <c r="BM60" i="9"/>
  <c r="BI60" i="9"/>
  <c r="BD60" i="9"/>
  <c r="BA60" i="9" s="1"/>
  <c r="AW60" i="9"/>
  <c r="AT60" i="9"/>
  <c r="AS60" i="9"/>
  <c r="AO60" i="9" s="1"/>
  <c r="AL60" i="9" s="1"/>
  <c r="AG60" i="9"/>
  <c r="AD60" i="9" s="1"/>
  <c r="Z60" i="9"/>
  <c r="W60" i="9"/>
  <c r="S60" i="9"/>
  <c r="BQ59" i="9"/>
  <c r="BM59" i="9"/>
  <c r="BI59" i="9"/>
  <c r="BD59" i="9"/>
  <c r="BA59" i="9" s="1"/>
  <c r="AW59" i="9"/>
  <c r="AT59" i="9"/>
  <c r="AO59" i="9"/>
  <c r="AL59" i="9" s="1"/>
  <c r="AG59" i="9"/>
  <c r="AD59" i="9" s="1"/>
  <c r="Z59" i="9"/>
  <c r="W59" i="9"/>
  <c r="S59" i="9"/>
  <c r="BQ58" i="9"/>
  <c r="BM58" i="9"/>
  <c r="BI58" i="9"/>
  <c r="BD58" i="9"/>
  <c r="BA58" i="9" s="1"/>
  <c r="AW58" i="9"/>
  <c r="AT58" i="9"/>
  <c r="AO58" i="9"/>
  <c r="AL58" i="9" s="1"/>
  <c r="AG58" i="9"/>
  <c r="AD58" i="9" s="1"/>
  <c r="Z58" i="9"/>
  <c r="W58" i="9"/>
  <c r="S58" i="9"/>
  <c r="BQ57" i="9"/>
  <c r="BM57" i="9"/>
  <c r="BI57" i="9"/>
  <c r="BD57" i="9"/>
  <c r="BA57" i="9" s="1"/>
  <c r="AW57" i="9"/>
  <c r="AT57" i="9"/>
  <c r="AO57" i="9"/>
  <c r="AL57" i="9" s="1"/>
  <c r="AG57" i="9"/>
  <c r="AD57" i="9" s="1"/>
  <c r="Z57" i="9"/>
  <c r="W57" i="9"/>
  <c r="S57" i="9"/>
  <c r="BQ56" i="9"/>
  <c r="BM56" i="9"/>
  <c r="BI56" i="9"/>
  <c r="BD56" i="9"/>
  <c r="BA56" i="9" s="1"/>
  <c r="AW56" i="9"/>
  <c r="AT56" i="9"/>
  <c r="AS56" i="9"/>
  <c r="AO56" i="9" s="1"/>
  <c r="AL56" i="9" s="1"/>
  <c r="AK56" i="9"/>
  <c r="AK44" i="9" s="1"/>
  <c r="AC56" i="9"/>
  <c r="AC44" i="9" s="1"/>
  <c r="S56" i="9"/>
  <c r="BQ55" i="9"/>
  <c r="BM55" i="9"/>
  <c r="BI55" i="9"/>
  <c r="BD55" i="9"/>
  <c r="AW55" i="9"/>
  <c r="AT55" i="9"/>
  <c r="AO55" i="9"/>
  <c r="AL55" i="9" s="1"/>
  <c r="AG55" i="9"/>
  <c r="AD55" i="9" s="1"/>
  <c r="Z55" i="9"/>
  <c r="W55" i="9"/>
  <c r="S55" i="9"/>
  <c r="BQ54" i="9"/>
  <c r="BM54" i="9"/>
  <c r="BI54" i="9"/>
  <c r="BD54" i="9"/>
  <c r="BA54" i="9" s="1"/>
  <c r="AW54" i="9"/>
  <c r="AT54" i="9"/>
  <c r="AO54" i="9"/>
  <c r="AL54" i="9" s="1"/>
  <c r="AG54" i="9"/>
  <c r="AD54" i="9" s="1"/>
  <c r="Z54" i="9"/>
  <c r="W54" i="9"/>
  <c r="S54" i="9"/>
  <c r="BQ53" i="9"/>
  <c r="BM53" i="9"/>
  <c r="BI53" i="9"/>
  <c r="BD53" i="9"/>
  <c r="BA53" i="9" s="1"/>
  <c r="AW53" i="9"/>
  <c r="AT53" i="9"/>
  <c r="AO53" i="9"/>
  <c r="AL53" i="9" s="1"/>
  <c r="AG53" i="9"/>
  <c r="AD53" i="9" s="1"/>
  <c r="Z53" i="9"/>
  <c r="W53" i="9"/>
  <c r="S53" i="9"/>
  <c r="BQ52" i="9"/>
  <c r="BM52" i="9"/>
  <c r="BI52" i="9"/>
  <c r="BD52" i="9"/>
  <c r="BA52" i="9" s="1"/>
  <c r="AW52" i="9"/>
  <c r="AT52" i="9"/>
  <c r="AO52" i="9"/>
  <c r="AL52" i="9" s="1"/>
  <c r="AG52" i="9"/>
  <c r="AD52" i="9" s="1"/>
  <c r="Z52" i="9"/>
  <c r="W52" i="9"/>
  <c r="S52" i="9"/>
  <c r="BQ51" i="9"/>
  <c r="BM51" i="9"/>
  <c r="BI51" i="9"/>
  <c r="BD51" i="9"/>
  <c r="BA51" i="9" s="1"/>
  <c r="AW51" i="9"/>
  <c r="AT51" i="9"/>
  <c r="AS51" i="9"/>
  <c r="AG51" i="9"/>
  <c r="AD51" i="9" s="1"/>
  <c r="Z51" i="9"/>
  <c r="W51" i="9"/>
  <c r="S51" i="9"/>
  <c r="BQ50" i="9"/>
  <c r="BM50" i="9"/>
  <c r="BI50" i="9"/>
  <c r="BD50" i="9"/>
  <c r="BA50" i="9" s="1"/>
  <c r="AW50" i="9"/>
  <c r="AT50" i="9"/>
  <c r="AO50" i="9"/>
  <c r="AL50" i="9" s="1"/>
  <c r="AG50" i="9"/>
  <c r="AD50" i="9" s="1"/>
  <c r="Z50" i="9"/>
  <c r="W50" i="9"/>
  <c r="S50" i="9"/>
  <c r="BQ49" i="9"/>
  <c r="BM49" i="9"/>
  <c r="BI49" i="9"/>
  <c r="BD49" i="9"/>
  <c r="BA49" i="9" s="1"/>
  <c r="AW49" i="9"/>
  <c r="AT49" i="9"/>
  <c r="AO49" i="9"/>
  <c r="AL49" i="9" s="1"/>
  <c r="AG49" i="9"/>
  <c r="AD49" i="9" s="1"/>
  <c r="Z49" i="9"/>
  <c r="W49" i="9"/>
  <c r="S49" i="9"/>
  <c r="BQ48" i="9"/>
  <c r="BM48" i="9"/>
  <c r="BI48" i="9"/>
  <c r="BD48" i="9"/>
  <c r="BA48" i="9" s="1"/>
  <c r="AW48" i="9"/>
  <c r="AT48" i="9"/>
  <c r="AO48" i="9"/>
  <c r="AL48" i="9" s="1"/>
  <c r="AG48" i="9"/>
  <c r="AD48" i="9" s="1"/>
  <c r="Z48" i="9"/>
  <c r="W48" i="9"/>
  <c r="S48" i="9"/>
  <c r="BQ47" i="9"/>
  <c r="BM47" i="9"/>
  <c r="BI47" i="9"/>
  <c r="BD47" i="9"/>
  <c r="BA47" i="9" s="1"/>
  <c r="AW47" i="9"/>
  <c r="AT47" i="9"/>
  <c r="AO47" i="9"/>
  <c r="AL47" i="9" s="1"/>
  <c r="AG47" i="9"/>
  <c r="AD47" i="9" s="1"/>
  <c r="Z47" i="9"/>
  <c r="W47" i="9"/>
  <c r="S47" i="9"/>
  <c r="BQ46" i="9"/>
  <c r="BM46" i="9"/>
  <c r="BI46" i="9"/>
  <c r="BD46" i="9"/>
  <c r="BA46" i="9" s="1"/>
  <c r="AW46" i="9"/>
  <c r="AT46" i="9"/>
  <c r="AO46" i="9"/>
  <c r="AL46" i="9" s="1"/>
  <c r="AG46" i="9"/>
  <c r="AD46" i="9" s="1"/>
  <c r="Z46" i="9"/>
  <c r="W46" i="9"/>
  <c r="S46" i="9"/>
  <c r="BQ45" i="9"/>
  <c r="BM45" i="9"/>
  <c r="BI45" i="9"/>
  <c r="BD45" i="9"/>
  <c r="AW45" i="9"/>
  <c r="AT45" i="9"/>
  <c r="AO45" i="9"/>
  <c r="AG45" i="9"/>
  <c r="Z45" i="9"/>
  <c r="W45" i="9"/>
  <c r="S45" i="9"/>
  <c r="BQ43" i="9"/>
  <c r="BM43" i="9"/>
  <c r="BI43" i="9"/>
  <c r="BD43" i="9"/>
  <c r="BA43" i="9" s="1"/>
  <c r="AW43" i="9"/>
  <c r="AT43" i="9"/>
  <c r="AR43" i="9"/>
  <c r="AO43" i="9" s="1"/>
  <c r="AL43" i="9" s="1"/>
  <c r="AG43" i="9"/>
  <c r="AD43" i="9" s="1"/>
  <c r="Z43" i="9"/>
  <c r="S43" i="9"/>
  <c r="BQ42" i="9"/>
  <c r="BM42" i="9"/>
  <c r="BI42" i="9"/>
  <c r="BD42" i="9"/>
  <c r="BA42" i="9" s="1"/>
  <c r="AW42" i="9"/>
  <c r="AT42" i="9"/>
  <c r="AO42" i="9"/>
  <c r="AL42" i="9" s="1"/>
  <c r="AG42" i="9"/>
  <c r="AD42" i="9" s="1"/>
  <c r="Z42" i="9"/>
  <c r="W42" i="9"/>
  <c r="S42" i="9"/>
  <c r="BQ41" i="9"/>
  <c r="BM41" i="9"/>
  <c r="BI41" i="9"/>
  <c r="BD41" i="9"/>
  <c r="BA41" i="9" s="1"/>
  <c r="AW41" i="9"/>
  <c r="AT41" i="9"/>
  <c r="AO41" i="9"/>
  <c r="AL41" i="9" s="1"/>
  <c r="AG41" i="9"/>
  <c r="AD41" i="9" s="1"/>
  <c r="Z41" i="9"/>
  <c r="W41" i="9"/>
  <c r="S41" i="9"/>
  <c r="BQ40" i="9"/>
  <c r="BM40" i="9"/>
  <c r="BI40" i="9"/>
  <c r="BD40" i="9"/>
  <c r="AW40" i="9"/>
  <c r="AT40" i="9"/>
  <c r="AO40" i="9"/>
  <c r="AL40" i="9" s="1"/>
  <c r="AG40" i="9"/>
  <c r="AD40" i="9" s="1"/>
  <c r="Z40" i="9"/>
  <c r="W40" i="9"/>
  <c r="S40" i="9"/>
  <c r="BQ39" i="9"/>
  <c r="BM39" i="9"/>
  <c r="BI39" i="9"/>
  <c r="BD39" i="9"/>
  <c r="AW39" i="9"/>
  <c r="AT39" i="9"/>
  <c r="AO39" i="9"/>
  <c r="AL39" i="9" s="1"/>
  <c r="AG39" i="9"/>
  <c r="AD39" i="9" s="1"/>
  <c r="Z39" i="9"/>
  <c r="W39" i="9"/>
  <c r="S39" i="9"/>
  <c r="AZ38" i="9"/>
  <c r="AY38" i="9"/>
  <c r="AY32" i="9" s="1"/>
  <c r="AX38" i="9"/>
  <c r="AX32" i="9" s="1"/>
  <c r="AV38" i="9"/>
  <c r="AU38" i="9"/>
  <c r="AU32" i="9" s="1"/>
  <c r="AS38" i="9"/>
  <c r="AQ38" i="9"/>
  <c r="AP38" i="9"/>
  <c r="AP32" i="9" s="1"/>
  <c r="AN38" i="9"/>
  <c r="AM38" i="9"/>
  <c r="AM32" i="9" s="1"/>
  <c r="AJ38" i="9"/>
  <c r="AI38" i="9"/>
  <c r="AH38" i="9"/>
  <c r="AF38" i="9"/>
  <c r="AE38" i="9"/>
  <c r="AB38" i="9"/>
  <c r="AA38" i="9"/>
  <c r="Y38" i="9"/>
  <c r="X38" i="9"/>
  <c r="V38" i="9"/>
  <c r="U38" i="9"/>
  <c r="T38" i="9"/>
  <c r="R38" i="9"/>
  <c r="Q38" i="9"/>
  <c r="P38" i="9"/>
  <c r="O38" i="9"/>
  <c r="N38" i="9"/>
  <c r="M38" i="9"/>
  <c r="BQ37" i="9"/>
  <c r="BM37" i="9"/>
  <c r="BI37" i="9"/>
  <c r="BD37" i="9"/>
  <c r="BA37" i="9" s="1"/>
  <c r="AW37" i="9"/>
  <c r="AT37" i="9"/>
  <c r="AO37" i="9"/>
  <c r="AL37" i="9" s="1"/>
  <c r="AG37" i="9"/>
  <c r="AD37" i="9" s="1"/>
  <c r="Z37" i="9"/>
  <c r="W37" i="9"/>
  <c r="S37" i="9"/>
  <c r="BQ36" i="9"/>
  <c r="BM36" i="9"/>
  <c r="BI36" i="9"/>
  <c r="BD36" i="9"/>
  <c r="BA36" i="9" s="1"/>
  <c r="AW36" i="9"/>
  <c r="AT36" i="9"/>
  <c r="AO36" i="9"/>
  <c r="AL36" i="9" s="1"/>
  <c r="AG36" i="9"/>
  <c r="AD36" i="9" s="1"/>
  <c r="Z36" i="9"/>
  <c r="W36" i="9"/>
  <c r="S36" i="9"/>
  <c r="BQ35" i="9"/>
  <c r="BM35" i="9"/>
  <c r="BI35" i="9"/>
  <c r="BD35" i="9"/>
  <c r="AW35" i="9"/>
  <c r="AT35" i="9"/>
  <c r="AO35" i="9"/>
  <c r="AL35" i="9" s="1"/>
  <c r="AG35" i="9"/>
  <c r="AD35" i="9" s="1"/>
  <c r="Z35" i="9"/>
  <c r="W35" i="9"/>
  <c r="S35" i="9"/>
  <c r="BQ34" i="9"/>
  <c r="BM34" i="9"/>
  <c r="BI34" i="9"/>
  <c r="BD34" i="9"/>
  <c r="AW34" i="9"/>
  <c r="AT34" i="9"/>
  <c r="AO34" i="9"/>
  <c r="AG34" i="9"/>
  <c r="Z34" i="9"/>
  <c r="W34" i="9"/>
  <c r="S34" i="9"/>
  <c r="CB33" i="9"/>
  <c r="CA33" i="9"/>
  <c r="BY33" i="9"/>
  <c r="BX33" i="9"/>
  <c r="M33" i="9"/>
  <c r="BQ15" i="9"/>
  <c r="BM15" i="9"/>
  <c r="BI15" i="9"/>
  <c r="BD15" i="9"/>
  <c r="AW15" i="9"/>
  <c r="AT15" i="9"/>
  <c r="AO15" i="9"/>
  <c r="AG15" i="9"/>
  <c r="Z15" i="9"/>
  <c r="W15" i="9"/>
  <c r="S15" i="9"/>
  <c r="S14" i="9" s="1"/>
  <c r="Z103" i="9" l="1"/>
  <c r="BI90" i="9"/>
  <c r="BD14" i="9"/>
  <c r="BI14" i="9"/>
  <c r="BI33" i="9"/>
  <c r="BM78" i="9"/>
  <c r="BI38" i="9"/>
  <c r="BD33" i="9"/>
  <c r="BQ38" i="9"/>
  <c r="BA39" i="9"/>
  <c r="BD38" i="9"/>
  <c r="BM33" i="9"/>
  <c r="BM38" i="9"/>
  <c r="BQ33" i="9"/>
  <c r="BD78" i="9"/>
  <c r="BD44" i="9"/>
  <c r="BI78" i="9"/>
  <c r="BM44" i="9"/>
  <c r="BQ78" i="9"/>
  <c r="BQ44" i="9"/>
  <c r="BA89" i="9"/>
  <c r="BA88" i="9" s="1"/>
  <c r="BD88" i="9"/>
  <c r="BD90" i="9"/>
  <c r="BM14" i="9"/>
  <c r="BQ14" i="9"/>
  <c r="BI44" i="9"/>
  <c r="BM90" i="9"/>
  <c r="BQ90" i="9"/>
  <c r="AO94" i="9"/>
  <c r="AL94" i="9" s="1"/>
  <c r="AR90" i="9"/>
  <c r="AR87" i="9" s="1"/>
  <c r="AS44" i="9"/>
  <c r="AS32" i="9" s="1"/>
  <c r="Z94" i="9"/>
  <c r="Z90" i="9" s="1"/>
  <c r="AB90" i="9"/>
  <c r="AG94" i="9"/>
  <c r="AD94" i="9" s="1"/>
  <c r="AJ90" i="9"/>
  <c r="AW44" i="9"/>
  <c r="AT44" i="9"/>
  <c r="S44" i="9"/>
  <c r="W106" i="9"/>
  <c r="AW14" i="9"/>
  <c r="S90" i="9"/>
  <c r="AD91" i="9"/>
  <c r="AL91" i="9"/>
  <c r="AT90" i="9"/>
  <c r="AW90" i="9"/>
  <c r="BA91" i="9"/>
  <c r="AO51" i="9"/>
  <c r="AL51" i="9" s="1"/>
  <c r="Z56" i="9"/>
  <c r="AT14" i="9"/>
  <c r="AG67" i="9"/>
  <c r="AD67" i="9" s="1"/>
  <c r="AJ78" i="9"/>
  <c r="AJ32" i="9" s="1"/>
  <c r="AI32" i="9"/>
  <c r="AR78" i="9"/>
  <c r="AQ32" i="9"/>
  <c r="O32" i="9"/>
  <c r="P32" i="9"/>
  <c r="R32" i="9"/>
  <c r="AD45" i="9"/>
  <c r="BA45" i="9"/>
  <c r="AV32" i="9"/>
  <c r="AB14" i="9"/>
  <c r="AJ14" i="9"/>
  <c r="AR14" i="9"/>
  <c r="BD103" i="9"/>
  <c r="P87" i="9"/>
  <c r="AI87" i="9"/>
  <c r="BC31" i="9"/>
  <c r="BC13" i="9" s="1"/>
  <c r="BS31" i="9"/>
  <c r="BS13" i="9" s="1"/>
  <c r="AT106" i="9"/>
  <c r="AW106" i="9"/>
  <c r="S26" i="10"/>
  <c r="S13" i="10" s="1"/>
  <c r="AT103" i="9"/>
  <c r="BM103" i="9"/>
  <c r="S103" i="9"/>
  <c r="BI103" i="9"/>
  <c r="AG103" i="9"/>
  <c r="AO103" i="9"/>
  <c r="AW103" i="9"/>
  <c r="BQ103" i="9"/>
  <c r="W103" i="9"/>
  <c r="BF31" i="9"/>
  <c r="BF13" i="9" s="1"/>
  <c r="BU31" i="9"/>
  <c r="BU13" i="9" s="1"/>
  <c r="AA87" i="9"/>
  <c r="R87" i="9"/>
  <c r="AM87" i="9"/>
  <c r="AM31" i="9" s="1"/>
  <c r="V87" i="9"/>
  <c r="U87" i="9"/>
  <c r="AS87" i="9"/>
  <c r="U32" i="9"/>
  <c r="X32" i="9"/>
  <c r="AW99" i="9"/>
  <c r="N32" i="9"/>
  <c r="N31" i="9" s="1"/>
  <c r="T87" i="9"/>
  <c r="AQ87" i="9"/>
  <c r="BH31" i="9"/>
  <c r="BH13" i="9" s="1"/>
  <c r="Y87" i="9"/>
  <c r="AC87" i="9"/>
  <c r="AY87" i="9"/>
  <c r="AY31" i="9" s="1"/>
  <c r="BO31" i="9"/>
  <c r="BO13" i="9" s="1"/>
  <c r="BJ31" i="9"/>
  <c r="BJ13" i="9" s="1"/>
  <c r="AE87" i="9"/>
  <c r="BE31" i="9"/>
  <c r="BE13" i="9" s="1"/>
  <c r="BT31" i="9"/>
  <c r="BT13" i="9" s="1"/>
  <c r="BR31" i="9"/>
  <c r="BR13" i="9" s="1"/>
  <c r="BB31" i="9"/>
  <c r="BB13" i="9" s="1"/>
  <c r="Q32" i="9"/>
  <c r="AU87" i="9"/>
  <c r="AU31" i="9" s="1"/>
  <c r="BK31" i="9"/>
  <c r="BK13" i="9" s="1"/>
  <c r="O87" i="9"/>
  <c r="BN31" i="9"/>
  <c r="BN13" i="9" s="1"/>
  <c r="M32" i="9"/>
  <c r="M31" i="9" s="1"/>
  <c r="AA32" i="9"/>
  <c r="AZ87" i="9"/>
  <c r="BP31" i="9"/>
  <c r="BP13" i="9" s="1"/>
  <c r="Q87" i="9"/>
  <c r="AE32" i="9"/>
  <c r="AK87" i="9"/>
  <c r="AN87" i="9"/>
  <c r="X87" i="9"/>
  <c r="S99" i="9"/>
  <c r="BG31" i="9"/>
  <c r="BG13" i="9" s="1"/>
  <c r="T32" i="9"/>
  <c r="W99" i="9"/>
  <c r="AV87" i="9"/>
  <c r="BL31" i="9"/>
  <c r="BL13" i="9" s="1"/>
  <c r="AX87" i="9"/>
  <c r="AX31" i="9" s="1"/>
  <c r="AF87" i="9"/>
  <c r="BM99" i="9"/>
  <c r="BQ99" i="9"/>
  <c r="BI99" i="9"/>
  <c r="BI87" i="9" s="1"/>
  <c r="BA100" i="9"/>
  <c r="BD99" i="9"/>
  <c r="Z99" i="9"/>
  <c r="AD100" i="9"/>
  <c r="AG99" i="9"/>
  <c r="AL100" i="9"/>
  <c r="AO99" i="9"/>
  <c r="AT99" i="9"/>
  <c r="Z84" i="9"/>
  <c r="AB78" i="9"/>
  <c r="AB32" i="9" s="1"/>
  <c r="AD79" i="9"/>
  <c r="AT78" i="9"/>
  <c r="AL79" i="9"/>
  <c r="AW78" i="9"/>
  <c r="BA79" i="9"/>
  <c r="BA78" i="9" s="1"/>
  <c r="S78" i="9"/>
  <c r="AG77" i="9"/>
  <c r="AD77" i="9" s="1"/>
  <c r="Z77" i="9"/>
  <c r="BA15" i="9"/>
  <c r="BA14" i="9" s="1"/>
  <c r="AK38" i="9"/>
  <c r="AL15" i="9"/>
  <c r="S33" i="9"/>
  <c r="AD104" i="9"/>
  <c r="AD103" i="9" s="1"/>
  <c r="W33" i="9"/>
  <c r="Z33" i="9"/>
  <c r="AL34" i="9"/>
  <c r="AL33" i="9" s="1"/>
  <c r="AO33" i="9"/>
  <c r="BA104" i="9"/>
  <c r="AD34" i="9"/>
  <c r="AD33" i="9" s="1"/>
  <c r="AG33" i="9"/>
  <c r="AT33" i="9"/>
  <c r="AW33" i="9"/>
  <c r="BA34" i="9"/>
  <c r="AD96" i="9"/>
  <c r="AL96" i="9"/>
  <c r="BA96" i="9"/>
  <c r="Z19" i="9"/>
  <c r="Z14" i="9" s="1"/>
  <c r="AG19" i="9"/>
  <c r="AD19" i="9" s="1"/>
  <c r="AO19" i="9"/>
  <c r="AL19" i="9" s="1"/>
  <c r="BA70" i="9"/>
  <c r="AD70" i="9"/>
  <c r="AL70" i="9"/>
  <c r="AG95" i="9"/>
  <c r="AD95" i="9" s="1"/>
  <c r="AC38" i="9"/>
  <c r="W19" i="9"/>
  <c r="W95" i="9"/>
  <c r="W21" i="9"/>
  <c r="W94" i="9"/>
  <c r="AO95" i="9"/>
  <c r="AL95" i="9" s="1"/>
  <c r="AW38" i="9"/>
  <c r="AP87" i="9"/>
  <c r="AP31" i="9" s="1"/>
  <c r="W26" i="9"/>
  <c r="BA55" i="9"/>
  <c r="S38" i="9"/>
  <c r="Z38" i="9"/>
  <c r="AD38" i="9"/>
  <c r="AD15" i="9"/>
  <c r="AG38" i="9"/>
  <c r="AT38" i="9"/>
  <c r="AL38" i="9"/>
  <c r="AD89" i="9"/>
  <c r="AD88" i="9" s="1"/>
  <c r="AG88" i="9"/>
  <c r="W43" i="9"/>
  <c r="W38" i="9" s="1"/>
  <c r="BA35" i="9"/>
  <c r="AH32" i="9"/>
  <c r="AG56" i="9"/>
  <c r="AD56" i="9" s="1"/>
  <c r="AO89" i="9"/>
  <c r="AL104" i="9"/>
  <c r="AL103" i="9" s="1"/>
  <c r="AD72" i="9"/>
  <c r="AO77" i="9"/>
  <c r="AO78" i="9" s="1"/>
  <c r="AO38" i="9"/>
  <c r="BA40" i="9"/>
  <c r="AL45" i="9"/>
  <c r="AL80" i="9"/>
  <c r="AB88" i="9"/>
  <c r="BA92" i="9"/>
  <c r="BA101" i="9"/>
  <c r="AR38" i="9"/>
  <c r="W84" i="9"/>
  <c r="W89" i="9"/>
  <c r="W88" i="9" s="1"/>
  <c r="W77" i="9"/>
  <c r="AH87" i="9"/>
  <c r="BA105" i="9"/>
  <c r="W56" i="9"/>
  <c r="W24" i="9"/>
  <c r="AJ88" i="9"/>
  <c r="BD32" i="9" l="1"/>
  <c r="BQ32" i="9"/>
  <c r="AR32" i="9"/>
  <c r="AR31" i="9" s="1"/>
  <c r="BM32" i="9"/>
  <c r="BI32" i="9"/>
  <c r="BI31" i="9" s="1"/>
  <c r="BI13" i="9" s="1"/>
  <c r="BQ87" i="9"/>
  <c r="BM87" i="9"/>
  <c r="BM31" i="9" s="1"/>
  <c r="BM13" i="9" s="1"/>
  <c r="BA33" i="9"/>
  <c r="BD87" i="9"/>
  <c r="BA38" i="9"/>
  <c r="BA44" i="9"/>
  <c r="BA90" i="9"/>
  <c r="Z44" i="9"/>
  <c r="W44" i="9"/>
  <c r="W90" i="9"/>
  <c r="W87" i="9" s="1"/>
  <c r="P31" i="9"/>
  <c r="AG44" i="9"/>
  <c r="AI31" i="9"/>
  <c r="AD44" i="9"/>
  <c r="AO44" i="9"/>
  <c r="AO32" i="9" s="1"/>
  <c r="AQ31" i="9"/>
  <c r="AO90" i="9"/>
  <c r="AL90" i="9"/>
  <c r="AG90" i="9"/>
  <c r="AG87" i="9" s="1"/>
  <c r="AD90" i="9"/>
  <c r="AN32" i="9"/>
  <c r="AN31" i="9" s="1"/>
  <c r="O31" i="9"/>
  <c r="AF32" i="9"/>
  <c r="AF31" i="9" s="1"/>
  <c r="AC32" i="9"/>
  <c r="AC31" i="9" s="1"/>
  <c r="AV31" i="9"/>
  <c r="AZ32" i="9"/>
  <c r="AZ31" i="9" s="1"/>
  <c r="Y32" i="9"/>
  <c r="Y31" i="9" s="1"/>
  <c r="R31" i="9"/>
  <c r="V32" i="9"/>
  <c r="V31" i="9" s="1"/>
  <c r="AE31" i="9"/>
  <c r="AS31" i="9"/>
  <c r="T31" i="9"/>
  <c r="U31" i="9"/>
  <c r="W14" i="9"/>
  <c r="AH31" i="9"/>
  <c r="AG14" i="9"/>
  <c r="AD14" i="9"/>
  <c r="BA103" i="9"/>
  <c r="AO14" i="9"/>
  <c r="Q31" i="9"/>
  <c r="AL14" i="9"/>
  <c r="AA31" i="9"/>
  <c r="X31" i="9"/>
  <c r="AW87" i="9"/>
  <c r="AJ87" i="9"/>
  <c r="AJ31" i="9" s="1"/>
  <c r="AT87" i="9"/>
  <c r="BQ31" i="9"/>
  <c r="BQ13" i="9" s="1"/>
  <c r="S87" i="9"/>
  <c r="AB87" i="9"/>
  <c r="AB31" i="9" s="1"/>
  <c r="Z87" i="9"/>
  <c r="BD31" i="9"/>
  <c r="BD13" i="9" s="1"/>
  <c r="AW32" i="9"/>
  <c r="AT32" i="9"/>
  <c r="S32" i="9"/>
  <c r="Z78" i="9"/>
  <c r="Z32" i="9" s="1"/>
  <c r="AL99" i="9"/>
  <c r="AD99" i="9"/>
  <c r="BA99" i="9"/>
  <c r="W78" i="9"/>
  <c r="AG78" i="9"/>
  <c r="AD78" i="9"/>
  <c r="AL77" i="9"/>
  <c r="AL78" i="9" s="1"/>
  <c r="AO88" i="9"/>
  <c r="AL89" i="9"/>
  <c r="AL88" i="9" s="1"/>
  <c r="BA32" i="9" l="1"/>
  <c r="BA87" i="9"/>
  <c r="BA31" i="9" s="1"/>
  <c r="BA13" i="9" s="1"/>
  <c r="AL44" i="9"/>
  <c r="AL32" i="9" s="1"/>
  <c r="W32" i="9"/>
  <c r="W31" i="9" s="1"/>
  <c r="AD87" i="9"/>
  <c r="AD32" i="9"/>
  <c r="AK32" i="9"/>
  <c r="AK31" i="9" s="1"/>
  <c r="AT31" i="9"/>
  <c r="AW31" i="9"/>
  <c r="Z31" i="9"/>
  <c r="S31" i="9"/>
  <c r="AG32" i="9"/>
  <c r="AG31" i="9" s="1"/>
  <c r="AL87" i="9"/>
  <c r="AO87" i="9"/>
  <c r="AO31" i="9" s="1"/>
  <c r="Q13" i="9"/>
  <c r="R13" i="9"/>
  <c r="AD31" i="9" l="1"/>
  <c r="AL31" i="9"/>
  <c r="H15" i="8"/>
  <c r="D15" i="8"/>
  <c r="J14" i="8"/>
  <c r="J13" i="8" s="1"/>
  <c r="I14" i="8"/>
  <c r="I13" i="8" s="1"/>
  <c r="F14" i="8"/>
  <c r="F13" i="8" s="1"/>
  <c r="E14" i="8"/>
  <c r="E13" i="8" s="1"/>
  <c r="D14" i="8" l="1"/>
  <c r="D13" i="8" s="1"/>
  <c r="C15" i="8"/>
  <c r="H14" i="8"/>
  <c r="H13" i="8" s="1"/>
  <c r="G15" i="8"/>
  <c r="G14" i="8" s="1"/>
  <c r="G13" i="8" s="1"/>
  <c r="E12" i="8"/>
  <c r="I12" i="8"/>
  <c r="F12" i="8"/>
  <c r="J12" i="8"/>
  <c r="C14" i="8" l="1"/>
  <c r="C13" i="8" s="1"/>
  <c r="D12" i="8"/>
  <c r="G12" i="8"/>
  <c r="H12" i="8"/>
  <c r="C12" i="8" l="1"/>
  <c r="AW102" i="7"/>
  <c r="AW101" i="7" s="1"/>
  <c r="AL102" i="7"/>
  <c r="AL101" i="7" s="1"/>
  <c r="AG102" i="7"/>
  <c r="AG101" i="7" s="1"/>
  <c r="AA102" i="7"/>
  <c r="AA101" i="7" s="1"/>
  <c r="BX15" i="7"/>
  <c r="AY14" i="7"/>
  <c r="BX98" i="7"/>
  <c r="AW98" i="7"/>
  <c r="AG98" i="7"/>
  <c r="AD98" i="7" s="1"/>
  <c r="Z98" i="7"/>
  <c r="BX97" i="7"/>
  <c r="AW97" i="7"/>
  <c r="AO97" i="7"/>
  <c r="AL97" i="7" s="1"/>
  <c r="AG97" i="7"/>
  <c r="AD97" i="7" s="1"/>
  <c r="Z97" i="7"/>
  <c r="BX96" i="7"/>
  <c r="AW96" i="7"/>
  <c r="AO96" i="7"/>
  <c r="AG96" i="7"/>
  <c r="Z96" i="7"/>
  <c r="M96" i="7"/>
  <c r="BX95" i="7"/>
  <c r="AW95" i="7"/>
  <c r="AO95" i="7"/>
  <c r="AL95" i="7" s="1"/>
  <c r="AG95" i="7"/>
  <c r="AD95" i="7" s="1"/>
  <c r="Z95" i="7"/>
  <c r="P95" i="7"/>
  <c r="M95" i="7" s="1"/>
  <c r="BX94" i="7"/>
  <c r="BD94" i="7"/>
  <c r="BA94" i="7" s="1"/>
  <c r="BA93" i="7" s="1"/>
  <c r="BA92" i="7" s="1"/>
  <c r="AW94" i="7"/>
  <c r="AT93" i="7" s="1"/>
  <c r="AT92" i="7" s="1"/>
  <c r="AL94" i="7"/>
  <c r="AG94" i="7"/>
  <c r="AD94" i="7" s="1"/>
  <c r="Z94" i="7"/>
  <c r="M94" i="7"/>
  <c r="BZ93" i="7"/>
  <c r="BY93" i="7"/>
  <c r="BY92" i="7" s="1"/>
  <c r="BU93" i="7"/>
  <c r="BU92" i="7" s="1"/>
  <c r="BT93" i="7"/>
  <c r="BT92" i="7" s="1"/>
  <c r="BS93" i="7"/>
  <c r="BS92" i="7" s="1"/>
  <c r="BR93" i="7"/>
  <c r="BR92" i="7" s="1"/>
  <c r="BQ93" i="7"/>
  <c r="BQ92" i="7" s="1"/>
  <c r="BP93" i="7"/>
  <c r="BP92" i="7" s="1"/>
  <c r="BO93" i="7"/>
  <c r="BO92" i="7" s="1"/>
  <c r="BN93" i="7"/>
  <c r="BN92" i="7" s="1"/>
  <c r="BM93" i="7"/>
  <c r="BM92" i="7" s="1"/>
  <c r="BL93" i="7"/>
  <c r="BL92" i="7" s="1"/>
  <c r="BK93" i="7"/>
  <c r="BK92" i="7" s="1"/>
  <c r="BJ93" i="7"/>
  <c r="BJ92" i="7" s="1"/>
  <c r="BI93" i="7"/>
  <c r="BI92" i="7" s="1"/>
  <c r="BH93" i="7"/>
  <c r="BH92" i="7" s="1"/>
  <c r="BG93" i="7"/>
  <c r="BG92" i="7" s="1"/>
  <c r="BF93" i="7"/>
  <c r="BF92" i="7" s="1"/>
  <c r="BE93" i="7"/>
  <c r="BE92" i="7" s="1"/>
  <c r="BC93" i="7"/>
  <c r="BC92" i="7" s="1"/>
  <c r="BB93" i="7"/>
  <c r="BB92" i="7" s="1"/>
  <c r="AZ93" i="7"/>
  <c r="AZ92" i="7" s="1"/>
  <c r="AY93" i="7"/>
  <c r="AY92" i="7" s="1"/>
  <c r="AX93" i="7"/>
  <c r="AX92" i="7" s="1"/>
  <c r="AV93" i="7"/>
  <c r="AV92" i="7" s="1"/>
  <c r="AU93" i="7"/>
  <c r="AU92" i="7" s="1"/>
  <c r="AS93" i="7"/>
  <c r="AS92" i="7" s="1"/>
  <c r="AR93" i="7"/>
  <c r="AR92" i="7" s="1"/>
  <c r="AQ93" i="7"/>
  <c r="AQ92" i="7" s="1"/>
  <c r="AP93" i="7"/>
  <c r="AP92" i="7" s="1"/>
  <c r="AN93" i="7"/>
  <c r="AN92" i="7" s="1"/>
  <c r="AM93" i="7"/>
  <c r="AM92" i="7" s="1"/>
  <c r="AK93" i="7"/>
  <c r="AK92" i="7" s="1"/>
  <c r="AJ93" i="7"/>
  <c r="AJ92" i="7" s="1"/>
  <c r="AI93" i="7"/>
  <c r="AI92" i="7" s="1"/>
  <c r="AH93" i="7"/>
  <c r="AH92" i="7" s="1"/>
  <c r="AF93" i="7"/>
  <c r="AF92" i="7" s="1"/>
  <c r="AE93" i="7"/>
  <c r="AE92" i="7" s="1"/>
  <c r="AC93" i="7"/>
  <c r="AC92" i="7" s="1"/>
  <c r="AB93" i="7"/>
  <c r="AB92" i="7" s="1"/>
  <c r="AA93" i="7"/>
  <c r="AA92" i="7" s="1"/>
  <c r="Y93" i="7"/>
  <c r="Y92" i="7" s="1"/>
  <c r="X93" i="7"/>
  <c r="X92" i="7" s="1"/>
  <c r="V93" i="7"/>
  <c r="V92" i="7" s="1"/>
  <c r="U93" i="7"/>
  <c r="U92" i="7" s="1"/>
  <c r="T93" i="7"/>
  <c r="T92" i="7" s="1"/>
  <c r="S93" i="7"/>
  <c r="S92" i="7" s="1"/>
  <c r="R93" i="7"/>
  <c r="R92" i="7" s="1"/>
  <c r="Q93" i="7"/>
  <c r="Q92" i="7" s="1"/>
  <c r="O93" i="7"/>
  <c r="O92" i="7" s="1"/>
  <c r="N93" i="7"/>
  <c r="N92" i="7" s="1"/>
  <c r="BX91" i="7"/>
  <c r="AW91" i="7"/>
  <c r="AO91" i="7"/>
  <c r="AL91" i="7" s="1"/>
  <c r="AG91" i="7"/>
  <c r="AD91" i="7" s="1"/>
  <c r="Z91" i="7"/>
  <c r="S91" i="7"/>
  <c r="P91" i="7" s="1"/>
  <c r="P88" i="7" s="1"/>
  <c r="P87" i="7" s="1"/>
  <c r="C91" i="7"/>
  <c r="C95" i="7" s="1"/>
  <c r="BX90" i="7"/>
  <c r="AW90" i="7"/>
  <c r="AO90" i="7"/>
  <c r="AL90" i="7" s="1"/>
  <c r="AG90" i="7"/>
  <c r="AD90" i="7" s="1"/>
  <c r="Z90" i="7"/>
  <c r="S90" i="7"/>
  <c r="M90" i="7"/>
  <c r="M88" i="7" s="1"/>
  <c r="M87" i="7" s="1"/>
  <c r="BX89" i="7"/>
  <c r="AW89" i="7"/>
  <c r="Z89" i="7"/>
  <c r="CA88" i="7"/>
  <c r="CA87" i="7" s="1"/>
  <c r="BZ88" i="7"/>
  <c r="BZ87" i="7" s="1"/>
  <c r="BY88" i="7"/>
  <c r="BY87" i="7" s="1"/>
  <c r="BU88" i="7"/>
  <c r="BU87" i="7" s="1"/>
  <c r="BT88" i="7"/>
  <c r="BT87" i="7" s="1"/>
  <c r="BS88" i="7"/>
  <c r="BS87" i="7" s="1"/>
  <c r="BR88" i="7"/>
  <c r="BR87" i="7" s="1"/>
  <c r="BQ88" i="7"/>
  <c r="BQ87" i="7" s="1"/>
  <c r="BP88" i="7"/>
  <c r="BP87" i="7" s="1"/>
  <c r="BO88" i="7"/>
  <c r="BO87" i="7" s="1"/>
  <c r="BN88" i="7"/>
  <c r="BN87" i="7" s="1"/>
  <c r="BM88" i="7"/>
  <c r="BM87" i="7" s="1"/>
  <c r="BL88" i="7"/>
  <c r="BL87" i="7" s="1"/>
  <c r="BK88" i="7"/>
  <c r="BK87" i="7" s="1"/>
  <c r="BJ88" i="7"/>
  <c r="BJ87" i="7" s="1"/>
  <c r="BI88" i="7"/>
  <c r="BI87" i="7" s="1"/>
  <c r="BH88" i="7"/>
  <c r="BH87" i="7" s="1"/>
  <c r="BG88" i="7"/>
  <c r="BG87" i="7" s="1"/>
  <c r="BF88" i="7"/>
  <c r="BF87" i="7" s="1"/>
  <c r="BE88" i="7"/>
  <c r="BE87" i="7" s="1"/>
  <c r="BD88" i="7"/>
  <c r="BD87" i="7" s="1"/>
  <c r="BC88" i="7"/>
  <c r="BC87" i="7" s="1"/>
  <c r="BB88" i="7"/>
  <c r="BB87" i="7" s="1"/>
  <c r="BA88" i="7"/>
  <c r="BA87" i="7" s="1"/>
  <c r="AZ88" i="7"/>
  <c r="AZ87" i="7" s="1"/>
  <c r="AY88" i="7"/>
  <c r="AY87" i="7" s="1"/>
  <c r="AX88" i="7"/>
  <c r="AX87" i="7" s="1"/>
  <c r="AV88" i="7"/>
  <c r="AV87" i="7" s="1"/>
  <c r="AU88" i="7"/>
  <c r="AU87" i="7" s="1"/>
  <c r="AT88" i="7"/>
  <c r="AT87" i="7" s="1"/>
  <c r="AS88" i="7"/>
  <c r="AS87" i="7" s="1"/>
  <c r="AR88" i="7"/>
  <c r="AR87" i="7" s="1"/>
  <c r="AQ88" i="7"/>
  <c r="AQ87" i="7" s="1"/>
  <c r="AP88" i="7"/>
  <c r="AP87" i="7" s="1"/>
  <c r="AN88" i="7"/>
  <c r="AN87" i="7" s="1"/>
  <c r="AM88" i="7"/>
  <c r="AM87" i="7" s="1"/>
  <c r="AK88" i="7"/>
  <c r="AK87" i="7" s="1"/>
  <c r="AJ88" i="7"/>
  <c r="AJ87" i="7" s="1"/>
  <c r="AI88" i="7"/>
  <c r="AI87" i="7" s="1"/>
  <c r="AH88" i="7"/>
  <c r="AH87" i="7" s="1"/>
  <c r="AF88" i="7"/>
  <c r="AF87" i="7" s="1"/>
  <c r="AE88" i="7"/>
  <c r="AE87" i="7" s="1"/>
  <c r="AC88" i="7"/>
  <c r="AC87" i="7" s="1"/>
  <c r="AB88" i="7"/>
  <c r="AB87" i="7" s="1"/>
  <c r="AA88" i="7"/>
  <c r="Y88" i="7"/>
  <c r="Y87" i="7" s="1"/>
  <c r="X88" i="7"/>
  <c r="X87" i="7" s="1"/>
  <c r="V88" i="7"/>
  <c r="V87" i="7" s="1"/>
  <c r="U88" i="7"/>
  <c r="U87" i="7" s="1"/>
  <c r="T88" i="7"/>
  <c r="T87" i="7" s="1"/>
  <c r="R88" i="7"/>
  <c r="R87" i="7" s="1"/>
  <c r="Q88" i="7"/>
  <c r="Q87" i="7" s="1"/>
  <c r="O88" i="7"/>
  <c r="O87" i="7" s="1"/>
  <c r="N88" i="7"/>
  <c r="N87" i="7" s="1"/>
  <c r="BX86" i="7"/>
  <c r="AW86" i="7"/>
  <c r="AG86" i="7"/>
  <c r="AD86" i="7" s="1"/>
  <c r="Z86" i="7"/>
  <c r="BX85" i="7"/>
  <c r="AW85" i="7"/>
  <c r="AG85" i="7"/>
  <c r="AD85" i="7" s="1"/>
  <c r="Z85" i="7"/>
  <c r="M85" i="7"/>
  <c r="BX84" i="7"/>
  <c r="AW84" i="7"/>
  <c r="AG84" i="7"/>
  <c r="AD84" i="7" s="1"/>
  <c r="Z84" i="7"/>
  <c r="M84" i="7"/>
  <c r="BX83" i="7"/>
  <c r="AW83" i="7"/>
  <c r="AG83" i="7"/>
  <c r="AD83" i="7" s="1"/>
  <c r="Z83" i="7"/>
  <c r="M83" i="7"/>
  <c r="BX82" i="7"/>
  <c r="AW82" i="7"/>
  <c r="AO82" i="7"/>
  <c r="AL82" i="7" s="1"/>
  <c r="AG82" i="7"/>
  <c r="AD82" i="7" s="1"/>
  <c r="Z82" i="7"/>
  <c r="BX81" i="7"/>
  <c r="AW81" i="7"/>
  <c r="AO81" i="7"/>
  <c r="AL81" i="7" s="1"/>
  <c r="AG81" i="7"/>
  <c r="AD81" i="7" s="1"/>
  <c r="Z81" i="7"/>
  <c r="S81" i="7"/>
  <c r="P81" i="7" s="1"/>
  <c r="C81" i="7"/>
  <c r="BX80" i="7"/>
  <c r="AW80" i="7"/>
  <c r="AO80" i="7"/>
  <c r="AL80" i="7" s="1"/>
  <c r="AG80" i="7"/>
  <c r="AD80" i="7" s="1"/>
  <c r="Z80" i="7"/>
  <c r="S80" i="7"/>
  <c r="M80" i="7"/>
  <c r="BX79" i="7"/>
  <c r="AW79" i="7"/>
  <c r="AO79" i="7"/>
  <c r="AL79" i="7" s="1"/>
  <c r="AG79" i="7"/>
  <c r="AD79" i="7" s="1"/>
  <c r="Z79" i="7"/>
  <c r="S79" i="7"/>
  <c r="BX78" i="7"/>
  <c r="BD78" i="7"/>
  <c r="BA78" i="7" s="1"/>
  <c r="AW78" i="7"/>
  <c r="AO78" i="7"/>
  <c r="AL78" i="7" s="1"/>
  <c r="AH78" i="7"/>
  <c r="AG78" i="7" s="1"/>
  <c r="AD78" i="7" s="1"/>
  <c r="Z78" i="7"/>
  <c r="M78" i="7"/>
  <c r="BX77" i="7"/>
  <c r="BD77" i="7"/>
  <c r="BA77" i="7" s="1"/>
  <c r="AW77" i="7"/>
  <c r="AO77" i="7"/>
  <c r="AL77" i="7" s="1"/>
  <c r="AH77" i="7"/>
  <c r="AG77" i="7" s="1"/>
  <c r="Z77" i="7"/>
  <c r="M77" i="7"/>
  <c r="BX76" i="7"/>
  <c r="BD76" i="7"/>
  <c r="BA76" i="7" s="1"/>
  <c r="AW76" i="7"/>
  <c r="AL76" i="7"/>
  <c r="AG76" i="7"/>
  <c r="AD76" i="7" s="1"/>
  <c r="Z76" i="7"/>
  <c r="M76" i="7"/>
  <c r="BZ75" i="7"/>
  <c r="BZ74" i="7" s="1"/>
  <c r="BY75" i="7"/>
  <c r="BY74" i="7" s="1"/>
  <c r="BU75" i="7"/>
  <c r="BU74" i="7" s="1"/>
  <c r="BT75" i="7"/>
  <c r="BT74" i="7" s="1"/>
  <c r="BS75" i="7"/>
  <c r="BS74" i="7" s="1"/>
  <c r="BR75" i="7"/>
  <c r="BR74" i="7" s="1"/>
  <c r="BQ75" i="7"/>
  <c r="BQ74" i="7" s="1"/>
  <c r="BP75" i="7"/>
  <c r="BP74" i="7" s="1"/>
  <c r="BO75" i="7"/>
  <c r="BO74" i="7" s="1"/>
  <c r="BN75" i="7"/>
  <c r="BN74" i="7" s="1"/>
  <c r="BM75" i="7"/>
  <c r="BM74" i="7" s="1"/>
  <c r="BL75" i="7"/>
  <c r="BL74" i="7" s="1"/>
  <c r="BK75" i="7"/>
  <c r="BK74" i="7" s="1"/>
  <c r="BJ75" i="7"/>
  <c r="BJ74" i="7" s="1"/>
  <c r="BI75" i="7"/>
  <c r="BI74" i="7" s="1"/>
  <c r="BH75" i="7"/>
  <c r="BH74" i="7" s="1"/>
  <c r="BG75" i="7"/>
  <c r="BG74" i="7" s="1"/>
  <c r="BF75" i="7"/>
  <c r="BF74" i="7" s="1"/>
  <c r="BE75" i="7"/>
  <c r="BE74" i="7" s="1"/>
  <c r="BC75" i="7"/>
  <c r="BC74" i="7" s="1"/>
  <c r="BB75" i="7"/>
  <c r="BB74" i="7" s="1"/>
  <c r="AZ75" i="7"/>
  <c r="AZ74" i="7" s="1"/>
  <c r="AY75" i="7"/>
  <c r="AY74" i="7" s="1"/>
  <c r="AX75" i="7"/>
  <c r="AX74" i="7" s="1"/>
  <c r="AV75" i="7"/>
  <c r="AV74" i="7" s="1"/>
  <c r="AU75" i="7"/>
  <c r="AU74" i="7" s="1"/>
  <c r="AS75" i="7"/>
  <c r="AS74" i="7" s="1"/>
  <c r="AR75" i="7"/>
  <c r="AR74" i="7" s="1"/>
  <c r="AQ75" i="7"/>
  <c r="AQ74" i="7" s="1"/>
  <c r="AP75" i="7"/>
  <c r="AP74" i="7" s="1"/>
  <c r="AN75" i="7"/>
  <c r="AN74" i="7" s="1"/>
  <c r="AM75" i="7"/>
  <c r="AM74" i="7" s="1"/>
  <c r="AK75" i="7"/>
  <c r="AK74" i="7" s="1"/>
  <c r="AJ75" i="7"/>
  <c r="AJ74" i="7" s="1"/>
  <c r="AI75" i="7"/>
  <c r="AI74" i="7" s="1"/>
  <c r="AF75" i="7"/>
  <c r="AF74" i="7" s="1"/>
  <c r="AE75" i="7"/>
  <c r="AE74" i="7" s="1"/>
  <c r="AC75" i="7"/>
  <c r="AC74" i="7" s="1"/>
  <c r="AB75" i="7"/>
  <c r="AB74" i="7" s="1"/>
  <c r="AA75" i="7"/>
  <c r="Y75" i="7"/>
  <c r="Y74" i="7" s="1"/>
  <c r="X75" i="7"/>
  <c r="X74" i="7" s="1"/>
  <c r="V75" i="7"/>
  <c r="V74" i="7" s="1"/>
  <c r="U75" i="7"/>
  <c r="U74" i="7" s="1"/>
  <c r="T75" i="7"/>
  <c r="T74" i="7" s="1"/>
  <c r="R75" i="7"/>
  <c r="R74" i="7" s="1"/>
  <c r="Q75" i="7"/>
  <c r="Q74" i="7" s="1"/>
  <c r="O75" i="7"/>
  <c r="O74" i="7" s="1"/>
  <c r="N75" i="7"/>
  <c r="N74" i="7" s="1"/>
  <c r="BX73" i="7"/>
  <c r="BD73" i="7"/>
  <c r="BA73" i="7" s="1"/>
  <c r="AW73" i="7"/>
  <c r="AO73" i="7"/>
  <c r="AL73" i="7" s="1"/>
  <c r="AH73" i="7"/>
  <c r="AH70" i="7" s="1"/>
  <c r="AH69" i="7" s="1"/>
  <c r="Z73" i="7"/>
  <c r="M73" i="7"/>
  <c r="BX72" i="7"/>
  <c r="BD72" i="7"/>
  <c r="BA72" i="7" s="1"/>
  <c r="AW72" i="7"/>
  <c r="AO72" i="7"/>
  <c r="AL72" i="7" s="1"/>
  <c r="AG72" i="7"/>
  <c r="AD72" i="7" s="1"/>
  <c r="Z72" i="7"/>
  <c r="M72" i="7"/>
  <c r="BX71" i="7"/>
  <c r="BD71" i="7"/>
  <c r="BA71" i="7" s="1"/>
  <c r="AW71" i="7"/>
  <c r="AO71" i="7"/>
  <c r="AL71" i="7" s="1"/>
  <c r="AG71" i="7"/>
  <c r="Z71" i="7"/>
  <c r="M71" i="7"/>
  <c r="BY70" i="7"/>
  <c r="BY69" i="7" s="1"/>
  <c r="BT70" i="7"/>
  <c r="BT69" i="7" s="1"/>
  <c r="BS70" i="7"/>
  <c r="BS69" i="7" s="1"/>
  <c r="BR70" i="7"/>
  <c r="BR69" i="7" s="1"/>
  <c r="BQ70" i="7"/>
  <c r="BQ69" i="7" s="1"/>
  <c r="BP70" i="7"/>
  <c r="BP69" i="7" s="1"/>
  <c r="BO70" i="7"/>
  <c r="BO69" i="7" s="1"/>
  <c r="BN70" i="7"/>
  <c r="BN69" i="7" s="1"/>
  <c r="BM70" i="7"/>
  <c r="BM69" i="7" s="1"/>
  <c r="BL70" i="7"/>
  <c r="BL69" i="7" s="1"/>
  <c r="BK70" i="7"/>
  <c r="BK69" i="7" s="1"/>
  <c r="BJ70" i="7"/>
  <c r="BJ69" i="7" s="1"/>
  <c r="BI70" i="7"/>
  <c r="BI69" i="7" s="1"/>
  <c r="BH70" i="7"/>
  <c r="BH69" i="7" s="1"/>
  <c r="BG70" i="7"/>
  <c r="BG69" i="7" s="1"/>
  <c r="BF70" i="7"/>
  <c r="BF69" i="7" s="1"/>
  <c r="BE70" i="7"/>
  <c r="BE69" i="7" s="1"/>
  <c r="BC70" i="7"/>
  <c r="BC69" i="7" s="1"/>
  <c r="BB70" i="7"/>
  <c r="BB69" i="7" s="1"/>
  <c r="AZ70" i="7"/>
  <c r="AZ69" i="7" s="1"/>
  <c r="AY70" i="7"/>
  <c r="AY69" i="7" s="1"/>
  <c r="AX70" i="7"/>
  <c r="AX69" i="7" s="1"/>
  <c r="AV70" i="7"/>
  <c r="AV69" i="7" s="1"/>
  <c r="AU70" i="7"/>
  <c r="AU69" i="7" s="1"/>
  <c r="AS70" i="7"/>
  <c r="AS69" i="7" s="1"/>
  <c r="AR70" i="7"/>
  <c r="AR69" i="7" s="1"/>
  <c r="AQ70" i="7"/>
  <c r="AQ69" i="7" s="1"/>
  <c r="AP70" i="7"/>
  <c r="AP69" i="7" s="1"/>
  <c r="AN70" i="7"/>
  <c r="AN69" i="7" s="1"/>
  <c r="AM70" i="7"/>
  <c r="AM69" i="7" s="1"/>
  <c r="AK70" i="7"/>
  <c r="AK69" i="7" s="1"/>
  <c r="AJ70" i="7"/>
  <c r="AJ69" i="7" s="1"/>
  <c r="AI70" i="7"/>
  <c r="AI69" i="7" s="1"/>
  <c r="AF70" i="7"/>
  <c r="AF69" i="7" s="1"/>
  <c r="AE70" i="7"/>
  <c r="AE69" i="7" s="1"/>
  <c r="AC70" i="7"/>
  <c r="AC69" i="7" s="1"/>
  <c r="AB70" i="7"/>
  <c r="AB69" i="7" s="1"/>
  <c r="AA70" i="7"/>
  <c r="AA69" i="7" s="1"/>
  <c r="Y70" i="7"/>
  <c r="Y69" i="7" s="1"/>
  <c r="X70" i="7"/>
  <c r="X69" i="7" s="1"/>
  <c r="V70" i="7"/>
  <c r="V69" i="7" s="1"/>
  <c r="U70" i="7"/>
  <c r="U69" i="7" s="1"/>
  <c r="T70" i="7"/>
  <c r="T69" i="7" s="1"/>
  <c r="S70" i="7"/>
  <c r="S69" i="7" s="1"/>
  <c r="R70" i="7"/>
  <c r="R69" i="7" s="1"/>
  <c r="Q70" i="7"/>
  <c r="Q69" i="7" s="1"/>
  <c r="P70" i="7"/>
  <c r="P69" i="7" s="1"/>
  <c r="O70" i="7"/>
  <c r="O69" i="7" s="1"/>
  <c r="N70" i="7"/>
  <c r="N69" i="7" s="1"/>
  <c r="BX68" i="7"/>
  <c r="BS68" i="7"/>
  <c r="BQ68" i="7" s="1"/>
  <c r="AW68" i="7"/>
  <c r="Z68" i="7"/>
  <c r="M68" i="7"/>
  <c r="BX67" i="7"/>
  <c r="AW67" i="7"/>
  <c r="Z67" i="7"/>
  <c r="M67" i="7"/>
  <c r="BX66" i="7"/>
  <c r="BQ66" i="7"/>
  <c r="AW66" i="7"/>
  <c r="Z66" i="7"/>
  <c r="P66" i="7"/>
  <c r="P33" i="7" s="1"/>
  <c r="BX65" i="7"/>
  <c r="AW65" i="7"/>
  <c r="Z65" i="7"/>
  <c r="BX64" i="7"/>
  <c r="AZ64" i="7"/>
  <c r="AZ34" i="7" s="1"/>
  <c r="AC64" i="7"/>
  <c r="BX63" i="7"/>
  <c r="AW63" i="7"/>
  <c r="AG63" i="7"/>
  <c r="AD63" i="7" s="1"/>
  <c r="Z63" i="7"/>
  <c r="BX62" i="7"/>
  <c r="AW62" i="7"/>
  <c r="AG62" i="7"/>
  <c r="AD62" i="7" s="1"/>
  <c r="Z62" i="7"/>
  <c r="BX61" i="7"/>
  <c r="AW61" i="7"/>
  <c r="AG61" i="7"/>
  <c r="AD61" i="7" s="1"/>
  <c r="Z61" i="7"/>
  <c r="BX60" i="7"/>
  <c r="AW60" i="7"/>
  <c r="AG60" i="7"/>
  <c r="AD60" i="7" s="1"/>
  <c r="Z60" i="7"/>
  <c r="BX59" i="7"/>
  <c r="AW59" i="7"/>
  <c r="AG59" i="7"/>
  <c r="AD59" i="7" s="1"/>
  <c r="Z59" i="7"/>
  <c r="M59" i="7"/>
  <c r="BX58" i="7"/>
  <c r="AW58" i="7"/>
  <c r="AG58" i="7"/>
  <c r="AD58" i="7" s="1"/>
  <c r="Z58" i="7"/>
  <c r="M58" i="7"/>
  <c r="BX57" i="7"/>
  <c r="AW57" i="7"/>
  <c r="AG57" i="7"/>
  <c r="AD57" i="7" s="1"/>
  <c r="Z57" i="7"/>
  <c r="M57" i="7"/>
  <c r="BX56" i="7"/>
  <c r="AW56" i="7"/>
  <c r="AG56" i="7"/>
  <c r="AD56" i="7" s="1"/>
  <c r="Z56" i="7"/>
  <c r="BX55" i="7"/>
  <c r="AW55" i="7"/>
  <c r="AG55" i="7"/>
  <c r="AD55" i="7" s="1"/>
  <c r="Z55" i="7"/>
  <c r="BX54" i="7"/>
  <c r="AW54" i="7"/>
  <c r="AO54" i="7"/>
  <c r="AL54" i="7" s="1"/>
  <c r="AG54" i="7"/>
  <c r="AD54" i="7" s="1"/>
  <c r="Z54" i="7"/>
  <c r="BX53" i="7"/>
  <c r="AW53" i="7"/>
  <c r="AO53" i="7"/>
  <c r="AL53" i="7" s="1"/>
  <c r="AG53" i="7"/>
  <c r="AD53" i="7" s="1"/>
  <c r="Z53" i="7"/>
  <c r="BX52" i="7"/>
  <c r="AW52" i="7"/>
  <c r="AO52" i="7"/>
  <c r="AL52" i="7" s="1"/>
  <c r="AG52" i="7"/>
  <c r="AD52" i="7" s="1"/>
  <c r="AB52" i="7"/>
  <c r="W52" i="7" s="1"/>
  <c r="BX51" i="7"/>
  <c r="AW51" i="7"/>
  <c r="AO51" i="7"/>
  <c r="AL51" i="7" s="1"/>
  <c r="AG51" i="7"/>
  <c r="AD51" i="7" s="1"/>
  <c r="Z51" i="7"/>
  <c r="M51" i="7"/>
  <c r="BX50" i="7"/>
  <c r="AW50" i="7"/>
  <c r="AO50" i="7"/>
  <c r="AL50" i="7" s="1"/>
  <c r="AG50" i="7"/>
  <c r="AD50" i="7" s="1"/>
  <c r="Z50" i="7"/>
  <c r="M50" i="7"/>
  <c r="BX49" i="7"/>
  <c r="AW49" i="7"/>
  <c r="AO49" i="7"/>
  <c r="AL49" i="7" s="1"/>
  <c r="AG49" i="7"/>
  <c r="AD49" i="7" s="1"/>
  <c r="Z49" i="7"/>
  <c r="S49" i="7"/>
  <c r="M49" i="7"/>
  <c r="BX48" i="7"/>
  <c r="AW48" i="7"/>
  <c r="AO48" i="7"/>
  <c r="AL48" i="7" s="1"/>
  <c r="AG48" i="7"/>
  <c r="AD48" i="7" s="1"/>
  <c r="Z48" i="7"/>
  <c r="S48" i="7"/>
  <c r="M48" i="7"/>
  <c r="BX47" i="7"/>
  <c r="AW47" i="7"/>
  <c r="AO47" i="7"/>
  <c r="AL47" i="7" s="1"/>
  <c r="AG47" i="7"/>
  <c r="AD47" i="7" s="1"/>
  <c r="Z47" i="7"/>
  <c r="S47" i="7"/>
  <c r="BX46" i="7"/>
  <c r="AW46" i="7"/>
  <c r="AO46" i="7"/>
  <c r="AG46" i="7"/>
  <c r="AD46" i="7" s="1"/>
  <c r="Z46" i="7"/>
  <c r="S46" i="7"/>
  <c r="BX45" i="7"/>
  <c r="AW45" i="7"/>
  <c r="Z45" i="7"/>
  <c r="BX44" i="7"/>
  <c r="AW44" i="7"/>
  <c r="Z44" i="7"/>
  <c r="BX43" i="7"/>
  <c r="AW43" i="7"/>
  <c r="AC43" i="7"/>
  <c r="AB43" i="7"/>
  <c r="AB33" i="7" s="1"/>
  <c r="BX42" i="7"/>
  <c r="AW42" i="7"/>
  <c r="AC42" i="7"/>
  <c r="W42" i="7" s="1"/>
  <c r="M42" i="7"/>
  <c r="BX41" i="7"/>
  <c r="BA41" i="7"/>
  <c r="AW41" i="7"/>
  <c r="Z41" i="7"/>
  <c r="BX40" i="7"/>
  <c r="BA40" i="7"/>
  <c r="AW40" i="7"/>
  <c r="Z40" i="7"/>
  <c r="BX39" i="7"/>
  <c r="BA39" i="7"/>
  <c r="AW39" i="7"/>
  <c r="Z39" i="7"/>
  <c r="BX38" i="7"/>
  <c r="BA38" i="7"/>
  <c r="AW38" i="7"/>
  <c r="Z38" i="7"/>
  <c r="BX37" i="7"/>
  <c r="BA37" i="7"/>
  <c r="AW37" i="7"/>
  <c r="Z37" i="7"/>
  <c r="BX36" i="7"/>
  <c r="AW36" i="7"/>
  <c r="Z36" i="7"/>
  <c r="BX35" i="7"/>
  <c r="AW35" i="7"/>
  <c r="Z35" i="7"/>
  <c r="BY34" i="7"/>
  <c r="BU34" i="7"/>
  <c r="BT34" i="7"/>
  <c r="BR34" i="7"/>
  <c r="BP34" i="7"/>
  <c r="BO34" i="7"/>
  <c r="BN34" i="7"/>
  <c r="BM34" i="7"/>
  <c r="BL34" i="7"/>
  <c r="BK34" i="7"/>
  <c r="BJ34" i="7"/>
  <c r="BI34" i="7"/>
  <c r="BH34" i="7"/>
  <c r="BG34" i="7"/>
  <c r="BF34" i="7"/>
  <c r="BE34" i="7"/>
  <c r="BD34" i="7"/>
  <c r="BC34" i="7"/>
  <c r="BB34" i="7"/>
  <c r="AY34" i="7"/>
  <c r="AX34" i="7"/>
  <c r="AV34" i="7"/>
  <c r="AU34" i="7"/>
  <c r="AS34" i="7"/>
  <c r="AR34" i="7"/>
  <c r="AQ34" i="7"/>
  <c r="AP34" i="7"/>
  <c r="AN34" i="7"/>
  <c r="AM34" i="7"/>
  <c r="AK34" i="7"/>
  <c r="AJ34" i="7"/>
  <c r="AI34" i="7"/>
  <c r="AH34" i="7"/>
  <c r="AF34" i="7"/>
  <c r="AE34" i="7"/>
  <c r="AA34" i="7"/>
  <c r="Y34" i="7"/>
  <c r="X34" i="7"/>
  <c r="V34" i="7"/>
  <c r="U34" i="7"/>
  <c r="T34" i="7"/>
  <c r="R34" i="7"/>
  <c r="Q34" i="7"/>
  <c r="O34" i="7"/>
  <c r="N34" i="7"/>
  <c r="BY33" i="7"/>
  <c r="BU33" i="7"/>
  <c r="BT33" i="7"/>
  <c r="BR33" i="7"/>
  <c r="BP33" i="7"/>
  <c r="BO33" i="7"/>
  <c r="BN33" i="7"/>
  <c r="BM33" i="7"/>
  <c r="BL33" i="7"/>
  <c r="BK33" i="7"/>
  <c r="BJ33" i="7"/>
  <c r="BI33" i="7"/>
  <c r="BH33" i="7"/>
  <c r="BG33" i="7"/>
  <c r="BF33" i="7"/>
  <c r="BE33" i="7"/>
  <c r="BD33" i="7"/>
  <c r="BC33" i="7"/>
  <c r="BB33" i="7"/>
  <c r="AY33" i="7"/>
  <c r="AX33" i="7"/>
  <c r="AV33" i="7"/>
  <c r="AU33" i="7"/>
  <c r="AS33" i="7"/>
  <c r="AR33" i="7"/>
  <c r="AQ33" i="7"/>
  <c r="AP33" i="7"/>
  <c r="AN33" i="7"/>
  <c r="AM33" i="7"/>
  <c r="AK33" i="7"/>
  <c r="AJ33" i="7"/>
  <c r="AI33" i="7"/>
  <c r="AH33" i="7"/>
  <c r="AF33" i="7"/>
  <c r="AE33" i="7"/>
  <c r="AA33" i="7"/>
  <c r="Y33" i="7"/>
  <c r="X33" i="7"/>
  <c r="V33" i="7"/>
  <c r="U33" i="7"/>
  <c r="T33" i="7"/>
  <c r="R33" i="7"/>
  <c r="Q33" i="7"/>
  <c r="O33" i="7"/>
  <c r="N33" i="7"/>
  <c r="BX32" i="7"/>
  <c r="AW32" i="7"/>
  <c r="AG32" i="7"/>
  <c r="AD32" i="7" s="1"/>
  <c r="Z32" i="7"/>
  <c r="BX31" i="7"/>
  <c r="AW31" i="7"/>
  <c r="AG31" i="7"/>
  <c r="AD31" i="7" s="1"/>
  <c r="Z31" i="7"/>
  <c r="M31" i="7"/>
  <c r="BX30" i="7"/>
  <c r="AW30" i="7"/>
  <c r="AG30" i="7"/>
  <c r="AD30" i="7" s="1"/>
  <c r="Z30" i="7"/>
  <c r="M30" i="7"/>
  <c r="BX29" i="7"/>
  <c r="BD29" i="7"/>
  <c r="BA29" i="7" s="1"/>
  <c r="BA18" i="7" s="1"/>
  <c r="BA17" i="7" s="1"/>
  <c r="AW29" i="7"/>
  <c r="Z29" i="7"/>
  <c r="M29" i="7"/>
  <c r="BX28" i="7"/>
  <c r="AW28" i="7"/>
  <c r="AO28" i="7"/>
  <c r="AG28" i="7"/>
  <c r="AD28" i="7" s="1"/>
  <c r="Z28" i="7"/>
  <c r="M28" i="7"/>
  <c r="BX27" i="7"/>
  <c r="AW27" i="7"/>
  <c r="AO27" i="7"/>
  <c r="AG27" i="7"/>
  <c r="AD27" i="7" s="1"/>
  <c r="Z27" i="7"/>
  <c r="M27" i="7"/>
  <c r="BX26" i="7"/>
  <c r="AW26" i="7"/>
  <c r="AO26" i="7"/>
  <c r="AL26" i="7" s="1"/>
  <c r="AG26" i="7"/>
  <c r="AD26" i="7" s="1"/>
  <c r="Z26" i="7"/>
  <c r="BX25" i="7"/>
  <c r="AW25" i="7"/>
  <c r="AO25" i="7"/>
  <c r="AL25" i="7" s="1"/>
  <c r="AG25" i="7"/>
  <c r="AD25" i="7" s="1"/>
  <c r="Z25" i="7"/>
  <c r="M25" i="7"/>
  <c r="BX24" i="7"/>
  <c r="AW24" i="7"/>
  <c r="AO24" i="7"/>
  <c r="AL24" i="7" s="1"/>
  <c r="AG24" i="7"/>
  <c r="AD24" i="7" s="1"/>
  <c r="Z24" i="7"/>
  <c r="M24" i="7"/>
  <c r="BX23" i="7"/>
  <c r="AW23" i="7"/>
  <c r="AO23" i="7"/>
  <c r="AL23" i="7" s="1"/>
  <c r="AG23" i="7"/>
  <c r="AD23" i="7" s="1"/>
  <c r="Z23" i="7"/>
  <c r="S23" i="7"/>
  <c r="S18" i="7" s="1"/>
  <c r="S17" i="7" s="1"/>
  <c r="M23" i="7"/>
  <c r="BX22" i="7"/>
  <c r="AW22" i="7"/>
  <c r="AO22" i="7"/>
  <c r="AL22" i="7" s="1"/>
  <c r="AH22" i="7"/>
  <c r="Z22" i="7"/>
  <c r="M22" i="7"/>
  <c r="BX21" i="7"/>
  <c r="AW21" i="7"/>
  <c r="AO21" i="7"/>
  <c r="AL21" i="7" s="1"/>
  <c r="AH21" i="7"/>
  <c r="AG21" i="7" s="1"/>
  <c r="Z21" i="7"/>
  <c r="M21" i="7"/>
  <c r="BX20" i="7"/>
  <c r="AW20" i="7"/>
  <c r="AC20" i="7"/>
  <c r="AC18" i="7" s="1"/>
  <c r="AC17" i="7" s="1"/>
  <c r="BX19" i="7"/>
  <c r="AW19" i="7"/>
  <c r="Z19" i="7"/>
  <c r="BY18" i="7"/>
  <c r="BY17" i="7" s="1"/>
  <c r="BU18" i="7"/>
  <c r="BU17" i="7" s="1"/>
  <c r="BT18" i="7"/>
  <c r="BT17" i="7" s="1"/>
  <c r="BS18" i="7"/>
  <c r="BS17" i="7" s="1"/>
  <c r="BR18" i="7"/>
  <c r="BR17" i="7" s="1"/>
  <c r="BQ18" i="7"/>
  <c r="BQ17" i="7" s="1"/>
  <c r="BP18" i="7"/>
  <c r="BP17" i="7" s="1"/>
  <c r="BO18" i="7"/>
  <c r="BO17" i="7" s="1"/>
  <c r="BN18" i="7"/>
  <c r="BN17" i="7" s="1"/>
  <c r="BM18" i="7"/>
  <c r="BM17" i="7" s="1"/>
  <c r="BL18" i="7"/>
  <c r="BL17" i="7" s="1"/>
  <c r="BK18" i="7"/>
  <c r="BK17" i="7" s="1"/>
  <c r="BJ18" i="7"/>
  <c r="BJ17" i="7" s="1"/>
  <c r="BI18" i="7"/>
  <c r="BI17" i="7" s="1"/>
  <c r="BH18" i="7"/>
  <c r="BH17" i="7" s="1"/>
  <c r="BG18" i="7"/>
  <c r="BG17" i="7" s="1"/>
  <c r="BF18" i="7"/>
  <c r="BF17" i="7" s="1"/>
  <c r="BE18" i="7"/>
  <c r="BE17" i="7" s="1"/>
  <c r="BC18" i="7"/>
  <c r="BC17" i="7" s="1"/>
  <c r="BB18" i="7"/>
  <c r="BB17" i="7" s="1"/>
  <c r="AZ18" i="7"/>
  <c r="AZ17" i="7" s="1"/>
  <c r="AY18" i="7"/>
  <c r="AY17" i="7" s="1"/>
  <c r="AX18" i="7"/>
  <c r="AX17" i="7" s="1"/>
  <c r="AV18" i="7"/>
  <c r="AV17" i="7" s="1"/>
  <c r="AU18" i="7"/>
  <c r="AU17" i="7" s="1"/>
  <c r="AS18" i="7"/>
  <c r="AS17" i="7" s="1"/>
  <c r="AR18" i="7"/>
  <c r="AR17" i="7" s="1"/>
  <c r="AQ18" i="7"/>
  <c r="AQ17" i="7" s="1"/>
  <c r="AP18" i="7"/>
  <c r="AP17" i="7" s="1"/>
  <c r="AN18" i="7"/>
  <c r="AN17" i="7" s="1"/>
  <c r="AM18" i="7"/>
  <c r="AM17" i="7" s="1"/>
  <c r="AK18" i="7"/>
  <c r="AK17" i="7" s="1"/>
  <c r="AJ18" i="7"/>
  <c r="AJ17" i="7" s="1"/>
  <c r="AI18" i="7"/>
  <c r="AI17" i="7" s="1"/>
  <c r="AF18" i="7"/>
  <c r="AF17" i="7" s="1"/>
  <c r="AE18" i="7"/>
  <c r="AE17" i="7" s="1"/>
  <c r="AB18" i="7"/>
  <c r="AB17" i="7" s="1"/>
  <c r="AA18" i="7"/>
  <c r="AA17" i="7" s="1"/>
  <c r="Y18" i="7"/>
  <c r="Y17" i="7" s="1"/>
  <c r="X18" i="7"/>
  <c r="X17" i="7" s="1"/>
  <c r="V18" i="7"/>
  <c r="V17" i="7" s="1"/>
  <c r="U18" i="7"/>
  <c r="U17" i="7" s="1"/>
  <c r="T18" i="7"/>
  <c r="T17" i="7" s="1"/>
  <c r="R18" i="7"/>
  <c r="R17" i="7" s="1"/>
  <c r="Q18" i="7"/>
  <c r="Q17" i="7" s="1"/>
  <c r="P18" i="7"/>
  <c r="P17" i="7" s="1"/>
  <c r="O18" i="7"/>
  <c r="O17" i="7" s="1"/>
  <c r="N18" i="7"/>
  <c r="N17" i="7" s="1"/>
  <c r="G18" i="7"/>
  <c r="G17" i="7" s="1"/>
  <c r="D18" i="7"/>
  <c r="D17" i="7" s="1"/>
  <c r="BX14" i="7"/>
  <c r="AY16" i="7" l="1"/>
  <c r="AB16" i="7"/>
  <c r="BF16" i="7"/>
  <c r="T16" i="7"/>
  <c r="T13" i="7" s="1"/>
  <c r="U16" i="7"/>
  <c r="U13" i="7" s="1"/>
  <c r="AR16" i="7"/>
  <c r="BR16" i="7"/>
  <c r="BR13" i="7" s="1"/>
  <c r="AK16" i="7"/>
  <c r="AK13" i="7" s="1"/>
  <c r="N16" i="7"/>
  <c r="N13" i="7" s="1"/>
  <c r="AE16" i="7"/>
  <c r="AE13" i="7" s="1"/>
  <c r="AI16" i="7"/>
  <c r="AI13" i="7" s="1"/>
  <c r="BE16" i="7"/>
  <c r="BE13" i="7" s="1"/>
  <c r="BU16" i="7"/>
  <c r="BU13" i="7" s="1"/>
  <c r="BH16" i="7"/>
  <c r="BH13" i="7" s="1"/>
  <c r="BI16" i="7"/>
  <c r="BI13" i="7" s="1"/>
  <c r="AP16" i="7"/>
  <c r="AP13" i="7" s="1"/>
  <c r="BJ16" i="7"/>
  <c r="BJ13" i="7" s="1"/>
  <c r="BK16" i="7"/>
  <c r="BK13" i="7" s="1"/>
  <c r="AS16" i="7"/>
  <c r="AS13" i="7" s="1"/>
  <c r="BM16" i="7"/>
  <c r="BM13" i="7" s="1"/>
  <c r="V16" i="7"/>
  <c r="V13" i="7" s="1"/>
  <c r="AU16" i="7"/>
  <c r="AU13" i="7" s="1"/>
  <c r="AV16" i="7"/>
  <c r="AV13" i="7" s="1"/>
  <c r="BO16" i="7"/>
  <c r="BO13" i="7" s="1"/>
  <c r="Q16" i="7"/>
  <c r="Q13" i="7" s="1"/>
  <c r="R16" i="7"/>
  <c r="R13" i="7" s="1"/>
  <c r="AN16" i="7"/>
  <c r="AN13" i="7" s="1"/>
  <c r="X16" i="7"/>
  <c r="X13" i="7" s="1"/>
  <c r="AQ16" i="7"/>
  <c r="AQ13" i="7" s="1"/>
  <c r="BG16" i="7"/>
  <c r="BG13" i="7" s="1"/>
  <c r="BT16" i="7"/>
  <c r="BT13" i="7" s="1"/>
  <c r="Y16" i="7"/>
  <c r="Y13" i="7" s="1"/>
  <c r="O16" i="7"/>
  <c r="O13" i="7" s="1"/>
  <c r="AF16" i="7"/>
  <c r="AF13" i="7" s="1"/>
  <c r="AX16" i="7"/>
  <c r="AX13" i="7" s="1"/>
  <c r="BL16" i="7"/>
  <c r="BL13" i="7" s="1"/>
  <c r="BN16" i="7"/>
  <c r="BN13" i="7" s="1"/>
  <c r="AJ16" i="7"/>
  <c r="AJ13" i="7" s="1"/>
  <c r="BB16" i="7"/>
  <c r="BB13" i="7" s="1"/>
  <c r="AM16" i="7"/>
  <c r="AM13" i="7" s="1"/>
  <c r="BC16" i="7"/>
  <c r="BC13" i="7" s="1"/>
  <c r="BP16" i="7"/>
  <c r="BP13" i="7" s="1"/>
  <c r="AD102" i="7"/>
  <c r="AD101" i="7" s="1"/>
  <c r="AG73" i="7"/>
  <c r="AD73" i="7" s="1"/>
  <c r="AH75" i="7"/>
  <c r="AH74" i="7" s="1"/>
  <c r="BS34" i="7"/>
  <c r="AC33" i="7"/>
  <c r="AC16" i="7" s="1"/>
  <c r="Z43" i="7"/>
  <c r="W43" i="7"/>
  <c r="Z52" i="7"/>
  <c r="Z20" i="7"/>
  <c r="Z18" i="7" s="1"/>
  <c r="Z17" i="7" s="1"/>
  <c r="W20" i="7"/>
  <c r="W18" i="7" s="1"/>
  <c r="W17" i="7" s="1"/>
  <c r="AB34" i="7"/>
  <c r="Z64" i="7"/>
  <c r="W64" i="7"/>
  <c r="BD18" i="7"/>
  <c r="BD17" i="7" s="1"/>
  <c r="AZ33" i="7"/>
  <c r="AZ16" i="7" s="1"/>
  <c r="Z42" i="7"/>
  <c r="BS33" i="7"/>
  <c r="BX33" i="7"/>
  <c r="BX102" i="7"/>
  <c r="W102" i="7"/>
  <c r="W101" i="7" s="1"/>
  <c r="BX88" i="7"/>
  <c r="AL70" i="7"/>
  <c r="AL69" i="7" s="1"/>
  <c r="AW88" i="7"/>
  <c r="AW87" i="7" s="1"/>
  <c r="AH18" i="7"/>
  <c r="AH17" i="7" s="1"/>
  <c r="BQ33" i="7"/>
  <c r="AW15" i="7"/>
  <c r="AW14" i="7" s="1"/>
  <c r="AT15" i="7"/>
  <c r="AT14" i="7" s="1"/>
  <c r="AW64" i="7"/>
  <c r="AW33" i="7" s="1"/>
  <c r="AT64" i="7"/>
  <c r="AT33" i="7" s="1"/>
  <c r="S88" i="7"/>
  <c r="S87" i="7" s="1"/>
  <c r="BX69" i="7"/>
  <c r="AO88" i="7"/>
  <c r="AO87" i="7" s="1"/>
  <c r="M70" i="7"/>
  <c r="M69" i="7" s="1"/>
  <c r="BA75" i="7"/>
  <c r="BA74" i="7" s="1"/>
  <c r="AO33" i="7"/>
  <c r="S75" i="7"/>
  <c r="S74" i="7" s="1"/>
  <c r="W70" i="7"/>
  <c r="W69" i="7" s="1"/>
  <c r="P34" i="7"/>
  <c r="BQ34" i="7"/>
  <c r="AG93" i="7"/>
  <c r="AG92" i="7" s="1"/>
  <c r="Z93" i="7"/>
  <c r="Z92" i="7" s="1"/>
  <c r="AO18" i="7"/>
  <c r="AO17" i="7" s="1"/>
  <c r="BX75" i="7"/>
  <c r="S33" i="7"/>
  <c r="AA74" i="7"/>
  <c r="BX74" i="7" s="1"/>
  <c r="M33" i="7"/>
  <c r="Z70" i="7"/>
  <c r="Z69" i="7" s="1"/>
  <c r="AO70" i="7"/>
  <c r="AO69" i="7" s="1"/>
  <c r="AR13" i="7"/>
  <c r="S34" i="7"/>
  <c r="P93" i="7"/>
  <c r="P92" i="7" s="1"/>
  <c r="AB13" i="7"/>
  <c r="Z75" i="7"/>
  <c r="Z74" i="7" s="1"/>
  <c r="AO75" i="7"/>
  <c r="AO74" i="7" s="1"/>
  <c r="BF13" i="7"/>
  <c r="AW75" i="7"/>
  <c r="AW74" i="7" s="1"/>
  <c r="Z88" i="7"/>
  <c r="Z87" i="7" s="1"/>
  <c r="AL18" i="7"/>
  <c r="AL17" i="7" s="1"/>
  <c r="BX70" i="7"/>
  <c r="AW18" i="7"/>
  <c r="AW17" i="7" s="1"/>
  <c r="AG33" i="7"/>
  <c r="AW70" i="7"/>
  <c r="AW69" i="7" s="1"/>
  <c r="AG88" i="7"/>
  <c r="AG87" i="7" s="1"/>
  <c r="M93" i="7"/>
  <c r="M92" i="7" s="1"/>
  <c r="AO93" i="7"/>
  <c r="AO92" i="7" s="1"/>
  <c r="BY16" i="7"/>
  <c r="BA34" i="7"/>
  <c r="M34" i="7"/>
  <c r="AD88" i="7"/>
  <c r="AD87" i="7" s="1"/>
  <c r="AW93" i="7"/>
  <c r="AW92" i="7" s="1"/>
  <c r="M18" i="7"/>
  <c r="M17" i="7" s="1"/>
  <c r="BX34" i="7"/>
  <c r="AA87" i="7"/>
  <c r="BX87" i="7" s="1"/>
  <c r="AL88" i="7"/>
  <c r="AL87" i="7" s="1"/>
  <c r="AY13" i="7"/>
  <c r="D16" i="7"/>
  <c r="AG75" i="7"/>
  <c r="AG74" i="7" s="1"/>
  <c r="BX93" i="7"/>
  <c r="BA33" i="7"/>
  <c r="AD33" i="7"/>
  <c r="AD34" i="7"/>
  <c r="M81" i="7"/>
  <c r="M75" i="7" s="1"/>
  <c r="M74" i="7" s="1"/>
  <c r="P75" i="7"/>
  <c r="P74" i="7" s="1"/>
  <c r="AT18" i="7"/>
  <c r="AT17" i="7" s="1"/>
  <c r="AT70" i="7"/>
  <c r="AT69" i="7" s="1"/>
  <c r="W75" i="7"/>
  <c r="W74" i="7" s="1"/>
  <c r="AL75" i="7"/>
  <c r="AL74" i="7" s="1"/>
  <c r="BX17" i="7"/>
  <c r="G16" i="7"/>
  <c r="BA70" i="7"/>
  <c r="BA69" i="7" s="1"/>
  <c r="BX18" i="7"/>
  <c r="AD21" i="7"/>
  <c r="AG22" i="7"/>
  <c r="AD22" i="7" s="1"/>
  <c r="AL46" i="7"/>
  <c r="W93" i="7"/>
  <c r="W92" i="7" s="1"/>
  <c r="AD96" i="7"/>
  <c r="AD93" i="7" s="1"/>
  <c r="AD92" i="7" s="1"/>
  <c r="AC34" i="7"/>
  <c r="AO34" i="7"/>
  <c r="BD93" i="7"/>
  <c r="BD92" i="7" s="1"/>
  <c r="AL96" i="7"/>
  <c r="AL93" i="7" s="1"/>
  <c r="AL92" i="7" s="1"/>
  <c r="AD71" i="7"/>
  <c r="AD77" i="7"/>
  <c r="AD75" i="7" s="1"/>
  <c r="AD74" i="7" s="1"/>
  <c r="W88" i="7"/>
  <c r="W87" i="7" s="1"/>
  <c r="BD75" i="7"/>
  <c r="BD74" i="7" s="1"/>
  <c r="BZ92" i="7"/>
  <c r="BZ16" i="7" s="1"/>
  <c r="BD70" i="7"/>
  <c r="BD69" i="7" s="1"/>
  <c r="AG34" i="7"/>
  <c r="AT75" i="7"/>
  <c r="AT74" i="7" s="1"/>
  <c r="P16" i="7" l="1"/>
  <c r="BA16" i="7"/>
  <c r="BA13" i="7" s="1"/>
  <c r="S16" i="7"/>
  <c r="M16" i="7"/>
  <c r="M13" i="7" s="1"/>
  <c r="AT16" i="7"/>
  <c r="AC13" i="7"/>
  <c r="BS16" i="7"/>
  <c r="BS13" i="7" s="1"/>
  <c r="AZ13" i="7"/>
  <c r="BD16" i="7"/>
  <c r="BD13" i="7" s="1"/>
  <c r="AW16" i="7"/>
  <c r="AW13" i="7" s="1"/>
  <c r="BQ16" i="7"/>
  <c r="BQ13" i="7" s="1"/>
  <c r="AH16" i="7"/>
  <c r="AH13" i="7" s="1"/>
  <c r="AO16" i="7"/>
  <c r="AO13" i="7" s="1"/>
  <c r="AA16" i="7"/>
  <c r="AA13" i="7" s="1"/>
  <c r="W33" i="7"/>
  <c r="BY13" i="7"/>
  <c r="BZ13" i="7"/>
  <c r="W34" i="7"/>
  <c r="AG70" i="7"/>
  <c r="AG69" i="7" s="1"/>
  <c r="AD70" i="7"/>
  <c r="AD69" i="7" s="1"/>
  <c r="P13" i="7"/>
  <c r="Z33" i="7"/>
  <c r="Z34" i="7"/>
  <c r="AW34" i="7"/>
  <c r="AT34" i="7"/>
  <c r="S13" i="7"/>
  <c r="AL34" i="7"/>
  <c r="AL33" i="7"/>
  <c r="AD18" i="7"/>
  <c r="AD17" i="7" s="1"/>
  <c r="AT13" i="7"/>
  <c r="BX92" i="7"/>
  <c r="AG18" i="7"/>
  <c r="AG17" i="7" s="1"/>
  <c r="AL16" i="7" l="1"/>
  <c r="AL13" i="7" s="1"/>
  <c r="AG16" i="7"/>
  <c r="AG13" i="7" s="1"/>
  <c r="AD16" i="7"/>
  <c r="AD13" i="7" s="1"/>
  <c r="W16" i="7"/>
  <c r="W13" i="7" s="1"/>
  <c r="Z16" i="7"/>
  <c r="Z13" i="7" s="1"/>
  <c r="BX16" i="7"/>
  <c r="BX13" i="7" l="1"/>
  <c r="M13" i="9"/>
  <c r="T13" i="9"/>
  <c r="Y13" i="9"/>
  <c r="AG13" i="9"/>
  <c r="AC13" i="9"/>
  <c r="Z13" i="9"/>
  <c r="X13" i="9"/>
  <c r="AT13" i="9"/>
  <c r="P13" i="9"/>
  <c r="AM13" i="9"/>
  <c r="AJ13" i="9"/>
  <c r="O13" i="9"/>
  <c r="AK13" i="9"/>
  <c r="AU13" i="9"/>
  <c r="AZ13" i="9"/>
  <c r="AW13" i="9"/>
  <c r="N13" i="9"/>
  <c r="AL13" i="9"/>
  <c r="AV13" i="9"/>
  <c r="AX13" i="9"/>
  <c r="U13" i="9"/>
  <c r="AA13" i="9"/>
  <c r="AH13" i="9"/>
  <c r="AQ13" i="9"/>
  <c r="AD13" i="9"/>
  <c r="AS13" i="9"/>
  <c r="AP13" i="9"/>
  <c r="AR13" i="9"/>
  <c r="S13" i="9"/>
  <c r="AB13" i="9"/>
  <c r="W13" i="9"/>
  <c r="AE13" i="9"/>
  <c r="AI13" i="9"/>
  <c r="AN13" i="9"/>
  <c r="AF13" i="9"/>
  <c r="AY13" i="9"/>
  <c r="V13" i="9"/>
  <c r="AO13" i="9"/>
  <c r="BX101" i="7"/>
  <c r="BY101" i="7"/>
  <c r="CA38" i="9"/>
  <c r="BX38" i="9"/>
  <c r="BZ101" i="7"/>
  <c r="BX90" i="9"/>
  <c r="CA90" i="9"/>
  <c r="CB38" i="9"/>
  <c r="BX44" i="9"/>
  <c r="BX88" i="9"/>
  <c r="BX13" i="9"/>
  <c r="BX99" i="9"/>
  <c r="CA44" i="9"/>
  <c r="CA88" i="9"/>
  <c r="CA13" i="9"/>
  <c r="CA99" i="9"/>
  <c r="CB90" i="9"/>
  <c r="BY90" i="9"/>
  <c r="BY38" i="9"/>
  <c r="CB44" i="9"/>
  <c r="CB88" i="9"/>
  <c r="CB13" i="9"/>
  <c r="CB99" i="9"/>
  <c r="BY44" i="9"/>
  <c r="BY88" i="9"/>
  <c r="BY13" i="9"/>
  <c r="BY99" i="9"/>
</calcChain>
</file>

<file path=xl/comments1.xml><?xml version="1.0" encoding="utf-8"?>
<comments xmlns="http://schemas.openxmlformats.org/spreadsheetml/2006/main">
  <authors>
    <author>Le Ngoc Anh Dung</author>
  </authors>
  <commentList>
    <comment ref="AH50" authorId="0" shapeId="0">
      <text>
        <r>
          <rPr>
            <b/>
            <sz val="9"/>
            <color indexed="81"/>
            <rFont val="Tahoma"/>
            <family val="2"/>
          </rPr>
          <t>Le Ngoc Anh Dung:</t>
        </r>
        <r>
          <rPr>
            <sz val="9"/>
            <color indexed="81"/>
            <rFont val="Tahoma"/>
            <family val="2"/>
          </rPr>
          <t xml:space="preserve">
dc ở nq27</t>
        </r>
      </text>
    </comment>
    <comment ref="AH82" authorId="0" shapeId="0">
      <text>
        <r>
          <rPr>
            <b/>
            <sz val="9"/>
            <color indexed="81"/>
            <rFont val="Tahoma"/>
            <family val="2"/>
          </rPr>
          <t>Le Ngoc Anh Dung:</t>
        </r>
        <r>
          <rPr>
            <sz val="9"/>
            <color indexed="81"/>
            <rFont val="Tahoma"/>
            <family val="2"/>
          </rPr>
          <t xml:space="preserve">
dc ở nq27</t>
        </r>
      </text>
    </comment>
  </commentList>
</comments>
</file>

<file path=xl/comments2.xml><?xml version="1.0" encoding="utf-8"?>
<comments xmlns="http://schemas.openxmlformats.org/spreadsheetml/2006/main">
  <authors>
    <author>Le Ngoc Anh Dung</author>
  </authors>
  <commentList>
    <comment ref="AG27" authorId="0" shapeId="0">
      <text>
        <r>
          <rPr>
            <b/>
            <sz val="9"/>
            <color indexed="81"/>
            <rFont val="Tahoma"/>
            <family val="2"/>
          </rPr>
          <t>Le Ngoc Anh Dung:</t>
        </r>
        <r>
          <rPr>
            <sz val="9"/>
            <color indexed="81"/>
            <rFont val="Tahoma"/>
            <family val="2"/>
          </rPr>
          <t xml:space="preserve">
trùng với 442 ở trên</t>
        </r>
      </text>
    </comment>
  </commentList>
</comments>
</file>

<file path=xl/comments3.xml><?xml version="1.0" encoding="utf-8"?>
<comments xmlns="http://schemas.openxmlformats.org/spreadsheetml/2006/main">
  <authors>
    <author>ADMIN</author>
  </authors>
  <commentList>
    <comment ref="AD13" authorId="0" shapeId="0">
      <text>
        <r>
          <rPr>
            <sz val="14"/>
            <color indexed="81"/>
            <rFont val="Times New Roman"/>
            <family val="1"/>
          </rPr>
          <t>NQ19: 478.163,5</t>
        </r>
        <r>
          <rPr>
            <sz val="9"/>
            <color indexed="81"/>
            <rFont val="Tahoma"/>
            <family val="2"/>
          </rPr>
          <t xml:space="preserve">
</t>
        </r>
      </text>
    </comment>
    <comment ref="AE13" authorId="0" shapeId="0">
      <text>
        <r>
          <rPr>
            <sz val="14"/>
            <color indexed="81"/>
            <rFont val="Times New Roman"/>
            <family val="1"/>
          </rPr>
          <t>Tăng thu: 91.875
Hợp tác xã: 1.350
Nguồn cân đối khác: 12.744</t>
        </r>
      </text>
    </comment>
  </commentList>
</comments>
</file>

<file path=xl/sharedStrings.xml><?xml version="1.0" encoding="utf-8"?>
<sst xmlns="http://schemas.openxmlformats.org/spreadsheetml/2006/main" count="14129" uniqueCount="3703">
  <si>
    <t>Ghi chú</t>
  </si>
  <si>
    <t>Trong đó:</t>
  </si>
  <si>
    <t>Tổng số</t>
  </si>
  <si>
    <t>Huyện Đăk Tô</t>
  </si>
  <si>
    <t>Huyện Ngọc Hồi</t>
  </si>
  <si>
    <t>Huyện Kon Rẫy</t>
  </si>
  <si>
    <t>Kế hoạch vốn năm 2025</t>
  </si>
  <si>
    <t>TỔNG SỐ</t>
  </si>
  <si>
    <t>Vốn tỉnh phân cấp</t>
  </si>
  <si>
    <t>Chưa phân bổ</t>
  </si>
  <si>
    <t>B</t>
  </si>
  <si>
    <t>A</t>
  </si>
  <si>
    <t>I</t>
  </si>
  <si>
    <t>II</t>
  </si>
  <si>
    <t>III</t>
  </si>
  <si>
    <t>KẾ HOẠCH ĐẦU TƯ CÔNG TRUNG HẠN GIAI ĐOẠN 2021-2025 VÀ KẾ HOẠCH ĐẦU TƯ CÔNG NĂM 2025</t>
  </si>
  <si>
    <t>TT</t>
  </si>
  <si>
    <t xml:space="preserve">Chủ đầu tư theo quyết định đầu tư/quyết định giao chủ đầu tư </t>
  </si>
  <si>
    <t>Nhóm dự án (A, B, C)</t>
  </si>
  <si>
    <t>Ngành, lĩnh vực</t>
  </si>
  <si>
    <t>Mã dự án đầu tư</t>
  </si>
  <si>
    <t>Địa điểm thực hiện theo quyết định đầu tư</t>
  </si>
  <si>
    <t>Địa điểm thực hiện theo dự kiến địa giới hành chính mới</t>
  </si>
  <si>
    <t>Dự kiến thời gian khởi công và hoàn thành</t>
  </si>
  <si>
    <t>Năm đầu tiên bắt đầu bố trí vốn thực hiện dự án (không tính vốn CBĐT)</t>
  </si>
  <si>
    <t>QĐ phê duyệt quyết toán</t>
  </si>
  <si>
    <t>Lũy kế vốn đã bố trí đến hết năm 2020</t>
  </si>
  <si>
    <t xml:space="preserve">Kế hoạch trung hạn giai đoạn 2021-2025 </t>
  </si>
  <si>
    <t>Kế hoạch các năm trước kéo dài sang năm 2025</t>
  </si>
  <si>
    <t>Tổng số (các nguồn vốn)</t>
  </si>
  <si>
    <t>Số vốn ngân sách huyện các năm trước kéo dài sang năm 2025</t>
  </si>
  <si>
    <t>Chủ trương đầu tư</t>
  </si>
  <si>
    <t>Quyết định đầu tư</t>
  </si>
  <si>
    <t>TMĐT</t>
  </si>
  <si>
    <t>NSTW</t>
  </si>
  <si>
    <t>NST</t>
  </si>
  <si>
    <t>Ngân sách huyện</t>
  </si>
  <si>
    <t>Vốn từ nguồn thu tiền sử dụng đất</t>
  </si>
  <si>
    <t>Vốn khác (tăng thu, TKC…)</t>
  </si>
  <si>
    <t>NSH</t>
  </si>
  <si>
    <t>Ngân sách tỉnh</t>
  </si>
  <si>
    <t>NSH (tổng số)</t>
  </si>
  <si>
    <t>Trong đó</t>
  </si>
  <si>
    <t>Vốn đất huyện</t>
  </si>
  <si>
    <t>*</t>
  </si>
  <si>
    <t>-</t>
  </si>
  <si>
    <t>Bố trí trả nợ quyết toán</t>
  </si>
  <si>
    <t>Dự án chuyển từ giai đoạn 2016-2020 sang</t>
  </si>
  <si>
    <t>Giao thông</t>
  </si>
  <si>
    <t>C</t>
  </si>
  <si>
    <t>2019-2021</t>
  </si>
  <si>
    <t>Dự án khởi công giai đoạn 2021-2025</t>
  </si>
  <si>
    <t>2022-2024</t>
  </si>
  <si>
    <t>2024-2026</t>
  </si>
  <si>
    <t>2023-2025</t>
  </si>
  <si>
    <t>Giáo dục</t>
  </si>
  <si>
    <t>2023-2024</t>
  </si>
  <si>
    <t>Dự án bố trí vốn CBĐT (chưa bố trí vốn thực hiện)</t>
  </si>
  <si>
    <t>DỰ ÁN DO CẤP XÃ (CŨ) LÀM CHỦ ĐẦU TƯ CHUYỂN VỀ CẤP XÃ (MỚI)</t>
  </si>
  <si>
    <t>IV</t>
  </si>
  <si>
    <t>V</t>
  </si>
  <si>
    <t>VI</t>
  </si>
  <si>
    <t>D</t>
  </si>
  <si>
    <t>KHV đã giao từ năm 2021-2024</t>
  </si>
  <si>
    <t>Năm 2025</t>
  </si>
  <si>
    <t>Kế hoạch (sau điều chỉnh lần cuối)</t>
  </si>
  <si>
    <t>Giải ngân</t>
  </si>
  <si>
    <t>Ngân sách trung ương (NSTW)</t>
  </si>
  <si>
    <t>Phòng KT&amp;HT</t>
  </si>
  <si>
    <t>2020-2021</t>
  </si>
  <si>
    <t>2019-2022</t>
  </si>
  <si>
    <t>2021-2023</t>
  </si>
  <si>
    <t>UBND huyện</t>
  </si>
  <si>
    <t>2021-2022</t>
  </si>
  <si>
    <t>2020-2023</t>
  </si>
  <si>
    <t>2021-2025</t>
  </si>
  <si>
    <t>2022-2023</t>
  </si>
  <si>
    <t>Phòng Nông nghiệp và Môi trường</t>
  </si>
  <si>
    <t>Văn hóa</t>
  </si>
  <si>
    <t xml:space="preserve">Ngân sách tỉnh </t>
  </si>
  <si>
    <t>2019-2020</t>
  </si>
  <si>
    <t>2020-2022</t>
  </si>
  <si>
    <t>Hạ tầng kỹ thuật</t>
  </si>
  <si>
    <t>2022-2025</t>
  </si>
  <si>
    <t>2024-2025</t>
  </si>
  <si>
    <t>Ngân sách cấp huyện</t>
  </si>
  <si>
    <t>Đơn vị bàn giao: UBND huyện Đăk Glei (trước sắp xếp)</t>
  </si>
  <si>
    <t>Nhu cầu vốn giai đoạn 2026-2030</t>
  </si>
  <si>
    <t>Đề xuất tạm dừng thực hiện</t>
  </si>
  <si>
    <t>Giải ngân đến ngày 30/6/2025</t>
  </si>
  <si>
    <t>2021-2025+</t>
  </si>
  <si>
    <t xml:space="preserve">Ngân sách huyện </t>
  </si>
  <si>
    <t>Tiền thu sử dụng đất</t>
  </si>
  <si>
    <t>NSX</t>
  </si>
  <si>
    <t>Vốn tỉnh phân cấp theo tiêu chí (*)</t>
  </si>
  <si>
    <t>Vốn XSKT phân cấp lồng ghép NTM</t>
  </si>
  <si>
    <t>2025+</t>
  </si>
  <si>
    <t>UBND xã Ngọc Linh</t>
  </si>
  <si>
    <t>Đầu tư CSHT vùng ATK Kon Tum - Đăk Glei: Tiểu dư án 2: Đường GT từ làng Mô Bo đi làng Tu Chiêu A xã Mường Hoong và đường GT từ làng Lê Vân đi làng Tân Rát 2 xã Ngọc Linh</t>
  </si>
  <si>
    <t>Ban QLDA - ĐTXD huyện Đăk Glei</t>
  </si>
  <si>
    <t>Xã Mường Hoong, xã Ngọc Linh</t>
  </si>
  <si>
    <t>278; 31/10/2016</t>
  </si>
  <si>
    <t>39; 17/05/2024</t>
  </si>
  <si>
    <t>Xã Ngọc Linh</t>
  </si>
  <si>
    <t>Trụ sở làm việc Đảng ủy, HĐND-UBND xã Ngọc Linh</t>
  </si>
  <si>
    <t>Dân dụng</t>
  </si>
  <si>
    <t>01; 29/01/2021</t>
  </si>
  <si>
    <t>167; 28/10/2024</t>
  </si>
  <si>
    <t>Đã QTDAHT</t>
  </si>
  <si>
    <t xml:space="preserve">Trường PTDTBT THCS Ngọc Linh  </t>
  </si>
  <si>
    <t>2495; 15/12/2020</t>
  </si>
  <si>
    <t>95'; 17/03/2022</t>
  </si>
  <si>
    <t xml:space="preserve"> Trường Tiểu học Mường Hoong ( điểm trường chính)</t>
  </si>
  <si>
    <t>Xã Mường Hoong</t>
  </si>
  <si>
    <t>934;22/10/2021</t>
  </si>
  <si>
    <t>325; 12/09/2022</t>
  </si>
  <si>
    <t>Cầu tràn thôn cung Rang xã Ngọc Linh</t>
  </si>
  <si>
    <t>873,
14/11/2023</t>
  </si>
  <si>
    <t>181; 25/07/2024</t>
  </si>
  <si>
    <t>Hỗ trợ phát triển sản xuất Hợp tác xã nông nghiệp và dược liệu Mường Hoong</t>
  </si>
  <si>
    <t>UBND xã Mường Hoong</t>
  </si>
  <si>
    <t>975;
11/12/2023</t>
  </si>
  <si>
    <t>Hỗ trợ phát triển sản xuất hợp tác xã nông lâm nghiệp và dược liệu Ngọc Linh</t>
  </si>
  <si>
    <t>986;
11/12/2023</t>
  </si>
  <si>
    <t>Trường PTDTBT THCS xã Ngọc Linh</t>
  </si>
  <si>
    <t>Hạ tầng</t>
  </si>
  <si>
    <t>Đường GTNT từ đường Ngọc Hoàng-Măng Bút đi thôn Đăk Nai xã Ngọc Linh</t>
  </si>
  <si>
    <t>575; 29/5/2024</t>
  </si>
  <si>
    <t>765; 10/06/2025</t>
  </si>
  <si>
    <t>Sửa chữa đường giao thông từ thôn Làng Mới đi thôn Ngọc Nang xã Mường Hoong</t>
  </si>
  <si>
    <t>576; 29/5/2024</t>
  </si>
  <si>
    <t>766; 10/06/2025</t>
  </si>
  <si>
    <t>126; 24/1/2025</t>
  </si>
  <si>
    <t>Đường GTNT từ nhà A Đĩa đến nhà A Tiếp thôn Đăk Bể xã Mường Hoong</t>
  </si>
  <si>
    <t xml:space="preserve">7967366 </t>
  </si>
  <si>
    <t>253; 22/7/2020</t>
  </si>
  <si>
    <t>Nước sinh hoạt thôn Cung Rang xã Ngọc Linh</t>
  </si>
  <si>
    <t>thuỷ lợi</t>
  </si>
  <si>
    <t>7978762</t>
  </si>
  <si>
    <t>BQL dự án đầu tư xây dựng</t>
  </si>
  <si>
    <t>UBND xã Đăk Pék</t>
  </si>
  <si>
    <t>Trường THCS Đăk Pék</t>
  </si>
  <si>
    <t>Xã Đăk Pék</t>
  </si>
  <si>
    <t>139; 08/06/2023</t>
  </si>
  <si>
    <t>Nhà làm việc khối Đảng, Mặt trận Tổ quốc và các tổ chức chính trị xã hội</t>
  </si>
  <si>
    <t>TT Đăk Glei</t>
  </si>
  <si>
    <t>34;
18/12/2023</t>
  </si>
  <si>
    <t>1005; 24/6/2025</t>
  </si>
  <si>
    <t>xã Đăk Pék</t>
  </si>
  <si>
    <t>Đường giao thông Võ Thị Sáu - Lê Hữu Trác thị trấn Đăk Glei</t>
  </si>
  <si>
    <t>332;26/3/2025</t>
  </si>
  <si>
    <t>Đang thực hiện dở dang</t>
  </si>
  <si>
    <t>Đường giao thông từ Trường Mầm non đi vào trụ sở UBND xã Đăk Pék</t>
  </si>
  <si>
    <t>311; 26/3/2025</t>
  </si>
  <si>
    <t>Đường giao thông đi thôn Dên Prông, xã Đăk Pék</t>
  </si>
  <si>
    <t>331; 26/3/2025</t>
  </si>
  <si>
    <t>Đường vào bãi rác thôn Đăk Tung thị trấn Đăk Glei</t>
  </si>
  <si>
    <t>343; 26/3/2025</t>
  </si>
  <si>
    <t>Trường Tiểu học và THCS Lý Tự Trọng</t>
  </si>
  <si>
    <t>131; 14/02/2025</t>
  </si>
  <si>
    <t>San ủi mặt bằng khu trung tâm huyện</t>
  </si>
  <si>
    <t>344; 14/4/2021</t>
  </si>
  <si>
    <t>1213; 24/10/2024</t>
  </si>
  <si>
    <t>Dự án khai thác qũy đất để đầu tư phát triển kết cấu hạ tầng huyện Đăk Glei</t>
  </si>
  <si>
    <t>Xã Đăk Pék, TT Đăk Glei</t>
  </si>
  <si>
    <t>1029; 01/12/2021</t>
  </si>
  <si>
    <t>606; 30/05/2025</t>
  </si>
  <si>
    <t>Trường Tiểu học thị trấn Đăk Glei</t>
  </si>
  <si>
    <t>380;05/5/2021</t>
  </si>
  <si>
    <t>770; 30/12/2022</t>
  </si>
  <si>
    <t>Nhà làm việc chính Huyện ủy</t>
  </si>
  <si>
    <t>31; 07/12/2020</t>
  </si>
  <si>
    <t>Đường và cầu BTCT qua sông Pô Kô thị trấn Đăk Glei</t>
  </si>
  <si>
    <t>CT giao thông cấp III</t>
  </si>
  <si>
    <t>1227,
30/10/2017</t>
  </si>
  <si>
    <t>140, 19/03/2021</t>
  </si>
  <si>
    <t>Nâng cấp cải tạo Đài truyền thanh truyền hình huyện Đăk Glei</t>
  </si>
  <si>
    <t>381; 05/5/2021</t>
  </si>
  <si>
    <t>317; 31/08/2022</t>
  </si>
  <si>
    <t>Cầu treo sắt thôn Đăk Dung đi thôn Đông Sông</t>
  </si>
  <si>
    <t>196;31/07/2024</t>
  </si>
  <si>
    <t>Nắn dòng suối gần nhà rông thôn Đăk Đoát xã Đăk Pék</t>
  </si>
  <si>
    <t>Hỗ trợ phát triển sản xuất Hợp tác xã sản xuất và thương mại dịch vụ cung ứng dược liệu Thuận Tài thị trấn Đăk Glei.</t>
  </si>
  <si>
    <t>UBND thị trấn Đăk Glei</t>
  </si>
  <si>
    <t>1326;
01/11/2024</t>
  </si>
  <si>
    <t>Hỗ trợ phát triển sản xuất Hợp tác xã Thương mại và Dịch vụ Đăk Glei xã Đăk Pék</t>
  </si>
  <si>
    <t>1327;
04/11/2024</t>
  </si>
  <si>
    <t>Đường vào trung tâm huyện Đăk Glei (giai đoạn 1)</t>
  </si>
  <si>
    <t>2021-2024</t>
  </si>
  <si>
    <t>Cổng hàng rào Trung tâm chính trị</t>
  </si>
  <si>
    <t>2496; 15/12/2020</t>
  </si>
  <si>
    <t>909; 01/10/2021</t>
  </si>
  <si>
    <t>Trường TH THCS Lý Tự Trọng</t>
  </si>
  <si>
    <t>Dự án: Hỗ trợ trồng rừng sản xuất trên đất trống, đồi núi, đất bạc màu trên địa bàn huyện năm 2021</t>
  </si>
  <si>
    <t>Phòng NN&amp;PTNT</t>
  </si>
  <si>
    <t>Đăk Long, Đăk Môn, Đăk Pek, Xốp, Đăk Plô, Ngọc Linh</t>
  </si>
  <si>
    <t>Dự án: Hỗ trợ trồng rừng sản xuất trên đất trống, đồi núi, đất bạc màu trên địa bàn huyện năm 2021 (bổ sung)</t>
  </si>
  <si>
    <t>Dự án hỗ trợ trồng rừng sản xuất trên đất trống, đồi núi, đá bạc màu trên địa bàn huyện Đăk Glei năm 2022</t>
  </si>
  <si>
    <t>Phòng Nông nghiệp và PTNT huyện</t>
  </si>
  <si>
    <t>465; 27/9/2022</t>
  </si>
  <si>
    <t>Khắc phục, sửa chữa tuyến đường DH.83 từ thị trấn Đăk Glei đi xã Đăk Nhoong</t>
  </si>
  <si>
    <t>UBND xã Đăk Pek</t>
  </si>
  <si>
    <t>TT Đăk Glei, xã Đăk Nhoong</t>
  </si>
  <si>
    <t xml:space="preserve">7972275 </t>
  </si>
  <si>
    <t>Xã Đăk Pék, xã Đăk Plô</t>
  </si>
  <si>
    <t>Sửa chữa Cầu tràn đi sản xuất thôn Đăk Tung thị trấn Đăk Glei</t>
  </si>
  <si>
    <t>7969315</t>
  </si>
  <si>
    <t>Nâng cấp, cải tạo Đài truyền thanh - truyền hình huyện Đăk Glei</t>
  </si>
  <si>
    <t>2021- 2022</t>
  </si>
  <si>
    <t>Cổng tường rào Trung tâm Chính trị huyện</t>
  </si>
  <si>
    <t>Trụ sở làm việc Đảng ủy - HĐND- UBND Thị trấn Đăk Glei</t>
  </si>
  <si>
    <t>155; 02/7/2024</t>
  </si>
  <si>
    <t>Sửa chữa đường giao thông nội thị từ ngã ba đường Hùng Vương đi trung tâm chợ thị trấn Đăk Glei</t>
  </si>
  <si>
    <t>Phòng KTHT</t>
  </si>
  <si>
    <t>726; 22/7/2024</t>
  </si>
  <si>
    <t>Sửa chữa tuyến đường Trường tiểu học Kim Đồng xã Đăk Pék</t>
  </si>
  <si>
    <t>132-14/2/2025</t>
  </si>
  <si>
    <t>Cải tạo khuôn viên trụ sở HĐND-UBND huyện</t>
  </si>
  <si>
    <t>Văn phòng HĐND-UBND</t>
  </si>
  <si>
    <t>8138294</t>
  </si>
  <si>
    <t>129-12/2/2025</t>
  </si>
  <si>
    <t>Cầu 16/5 thị trấn Đăk Glei huyện Đăk Glei</t>
  </si>
  <si>
    <t>1066; 15/11/2021</t>
  </si>
  <si>
    <t>Bãi xử lý rác thải huyện Đăk Glei</t>
  </si>
  <si>
    <t>13;
18/11/2019</t>
  </si>
  <si>
    <t>Đường từ trung tâm thị trấn Đăk Glei đến trung tâm xã Xốp</t>
  </si>
  <si>
    <t>21;
29/4/2021</t>
  </si>
  <si>
    <t>UBND xã Xốp</t>
  </si>
  <si>
    <t>Trường tiểu học-THCS xã Đăk Choong (HM: Sửa chữa và làm mới cổng, hàng rào và sân bê tông tại điểm trường thôn Kon Riêng)</t>
  </si>
  <si>
    <t>Xã Đăk Choong</t>
  </si>
  <si>
    <t>980; 11/12/2023</t>
  </si>
  <si>
    <t>1212; 24/10/2024</t>
  </si>
  <si>
    <t xml:space="preserve"> Xã Xốp </t>
  </si>
  <si>
    <t>Trường mầm non xã Đăk Choong (HM: Sửa chữa 11 phòng học và các hạng mục phụ trợ tại các điểm trường chính, làm mái che tại điểm trường thôn Đăk Mi)</t>
  </si>
  <si>
    <t xml:space="preserve"> Xã Đăk Choong</t>
  </si>
  <si>
    <t>981; 11/12/2023</t>
  </si>
  <si>
    <t>1527; 05/12/2024</t>
  </si>
  <si>
    <t xml:space="preserve"> Xã Xốp</t>
  </si>
  <si>
    <t xml:space="preserve"> Trường TH&amp;THCS xã Xốp </t>
  </si>
  <si>
    <t>Xã Xốp</t>
  </si>
  <si>
    <t>839; 05/9/2021</t>
  </si>
  <si>
    <t>114; 15/05/2023</t>
  </si>
  <si>
    <t>UBND xã Đăk Plô</t>
  </si>
  <si>
    <t xml:space="preserve"> Trường TH và THCS Đăk Nhoong</t>
  </si>
  <si>
    <t>Xã Đăk Nhoong</t>
  </si>
  <si>
    <t>839;05/9/2021</t>
  </si>
  <si>
    <t>Xã Đăk Plô</t>
  </si>
  <si>
    <t xml:space="preserve">Trường TH - THCS xã Đăk Plô
 </t>
  </si>
  <si>
    <t xml:space="preserve"> xã Đăk Plô</t>
  </si>
  <si>
    <t>839; 05/9/2022</t>
  </si>
  <si>
    <t>857; 07/11/2023</t>
  </si>
  <si>
    <t xml:space="preserve">Trường TH-THCS xã Đăk Man </t>
  </si>
  <si>
    <t xml:space="preserve">Xã Đăk Man </t>
  </si>
  <si>
    <t>839; 05/9/2023</t>
  </si>
  <si>
    <t>614; 14/11/2022</t>
  </si>
  <si>
    <t xml:space="preserve"> Xã Đăk Plô</t>
  </si>
  <si>
    <t>Tuyến đường từ xã Đăk Nhoong đi xã Đăk Plô</t>
  </si>
  <si>
    <t>xã Đăk Plô</t>
  </si>
  <si>
    <t>Cầu BTCT lý trình: Km12+150 thuộc tuyến đường DH 83- Đăk Nhoong</t>
  </si>
  <si>
    <t>Trường Mầm non xã Đăk Plô</t>
  </si>
  <si>
    <t>839;
5/9/2021</t>
  </si>
  <si>
    <t>1523; 05/12/2024</t>
  </si>
  <si>
    <t>Trường TH THCS xã Đăk Nhoong</t>
  </si>
  <si>
    <t>Khắc phục, sửa chữa Cống qua đường D100 (Lý trình: Km4+200) tuyến đường ĐH.83 từ thị trấn đi Đăk Nhoong</t>
  </si>
  <si>
    <t>Phòng Kinh tế và Hạ tầng</t>
  </si>
  <si>
    <t>7976426</t>
  </si>
  <si>
    <t>Khắc phục, sửa chữa đường giao thông từ Trung tâm xã Đăk Plô đi vào Đồn Biên phòng Sông Thanh</t>
  </si>
  <si>
    <t>UBND xã ĐăkPlô</t>
  </si>
  <si>
    <t>7975474</t>
  </si>
  <si>
    <t xml:space="preserve">Khắc phục, sửa chữa đường giao thông xã Đăk Nhoong đi xã Đăk Plô </t>
  </si>
  <si>
    <t>7975458</t>
  </si>
  <si>
    <t>Sửa chữa tuyến đường  từ trung tâm xã Đăk Plô vào đồn Biên phòng Sông Thanh (Đồn 663)</t>
  </si>
  <si>
    <t>2022- 2023</t>
  </si>
  <si>
    <t>05; 18/01/2022</t>
  </si>
  <si>
    <t>UBND xã Đăk Long</t>
  </si>
  <si>
    <t xml:space="preserve">Trường Phổ thông DTBT THCS xã Đăk Long </t>
  </si>
  <si>
    <t>Xã Đăk Long</t>
  </si>
  <si>
    <t>483; 29/09/2022</t>
  </si>
  <si>
    <t>Đường đi khu sản xuất Đăk Bong-Đăk La thôn Đăk ak, xã Đăk Long</t>
  </si>
  <si>
    <t xml:space="preserve">Trường PTDTBT THCS xã Đăk Long </t>
  </si>
  <si>
    <t>2497;15/12/2020</t>
  </si>
  <si>
    <t>UBND xã Đăk Môn</t>
  </si>
  <si>
    <t xml:space="preserve">Trường Tiểu học xã Đăk Môn </t>
  </si>
  <si>
    <t xml:space="preserve">Xã Đăk Môn </t>
  </si>
  <si>
    <t>1521;05/12/2024</t>
  </si>
  <si>
    <t>772; 11/06/2025</t>
  </si>
  <si>
    <t>Trường THCS xã Đăk Kroong</t>
  </si>
  <si>
    <t>1078; 15/12/2021</t>
  </si>
  <si>
    <t>856; 07/11/2023</t>
  </si>
  <si>
    <t>Hỗ trợ phát triển sản xuất Hợp tác xã nông nghiệp xã Đăk Kroong</t>
  </si>
  <si>
    <t>UBND xã Đăk Kroong</t>
  </si>
  <si>
    <t>985;
11/12/2023</t>
  </si>
  <si>
    <t>Đường GTNT nội thôn Nú Vai từ nhà rông ra đường HCM (giai đoạn 3)</t>
  </si>
  <si>
    <t>2497; 15/12/2021</t>
  </si>
  <si>
    <t>244; 12/07/2022</t>
  </si>
  <si>
    <t>Đường GTNT nội thôn Nú Vai từ nhà rông ra đường Hồ Chí Minh (giai đoạn 3)</t>
  </si>
  <si>
    <t>Xã Đăk Kroong</t>
  </si>
  <si>
    <t>2021- 2023</t>
  </si>
  <si>
    <t>2497; 15/12/2020</t>
  </si>
  <si>
    <t>Xã Đăk Môn</t>
  </si>
  <si>
    <t>Trong đó (*)</t>
  </si>
  <si>
    <t>Danh mục dự án</t>
  </si>
  <si>
    <t>Nhu cầu 2026-2030</t>
  </si>
  <si>
    <t xml:space="preserve">Vốn tỉnh phân cấp </t>
  </si>
  <si>
    <t>Nguồn thu tiền sử dụng đất</t>
  </si>
  <si>
    <t xml:space="preserve">Tổng số </t>
  </si>
  <si>
    <t>Đề xuất cắt KH từ nguồn đất</t>
  </si>
  <si>
    <t>KH 2021-2025 nguồn thu tiền sử dụng đất sau điều chỉnh</t>
  </si>
  <si>
    <t>Tăng/giảm</t>
  </si>
  <si>
    <t>KH 2025 nguồn thu tiền sử dụng đất sau điều chỉnh</t>
  </si>
  <si>
    <t>Xã Đăk Hà</t>
  </si>
  <si>
    <t>UBND xã Đăk Hà</t>
  </si>
  <si>
    <t>2024-</t>
  </si>
  <si>
    <t>Trường THCS xã Đăk Tờ Kan</t>
  </si>
  <si>
    <t>UBND huyện Ia H'Drai</t>
  </si>
  <si>
    <t>Đơn vị bàn giao: UBND huyện Ia H'Drai (trước sắp xếp)</t>
  </si>
  <si>
    <t xml:space="preserve">Danh mục dự án </t>
  </si>
  <si>
    <t>Kế hoạch trung hạn giai đoạn 2021-2025</t>
  </si>
  <si>
    <t>Nhu cầu vốn 2026-2030</t>
  </si>
  <si>
    <t>Công trình đề xuất dừng</t>
  </si>
  <si>
    <t>Trả lời</t>
  </si>
  <si>
    <t>Ủy thác sang Ngân hàng Chính sách xã hội để cho vay</t>
  </si>
  <si>
    <t>UBND xã Ia Tơi</t>
  </si>
  <si>
    <t>Dự án hoàn thành dự án Đầu tư xây dựng các tuyến đường ĐĐT02, ĐĐT03, ĐĐT08 - Khu trung tâm huyện Ia H’Drai</t>
  </si>
  <si>
    <t>BQL Đầu tư và Xây dựng</t>
  </si>
  <si>
    <t>Xã Ia Tơi</t>
  </si>
  <si>
    <t>Quyết định số 384/QĐ-UBND ngày 11/11/2022 của UBND huyện</t>
  </si>
  <si>
    <t>Dự án hoàn thành dự án Cấp nước sinh hoạt trung tâm huyện Ia H’Drai</t>
  </si>
  <si>
    <t>Dự án hoàn thành dự án Trồng cây phân tán trên địa bàn huyện Ia H’Drai</t>
  </si>
  <si>
    <t>Quyết định số 235/QĐ-UBND ngày 13/11/2023 của UBND huyện</t>
  </si>
  <si>
    <t>Dự án khai thác quỹ đất để phát triển kết cấu hạ tầng, bố trí dân cư dọc hai bên Quốc lộ 14C (Đoạn điểm dân cư số 41 - Trung tâm hành chính xã Ia Tơi)</t>
  </si>
  <si>
    <t>Đường giao thông nông thôn số 4, thôn 1 xã Ia Tơi (Giai đoạn 2)</t>
  </si>
  <si>
    <t>456; 10/9/2020</t>
  </si>
  <si>
    <t>490; 23/10/2020</t>
  </si>
  <si>
    <t>94; 21/6/2022</t>
  </si>
  <si>
    <t>Hồ chứa nước và các hạng mục phụ trợ khu dân cư phía Đông trung tâm xã Ia Tơi</t>
  </si>
  <si>
    <t>Nông nghiệp và Phát triển nông thôn</t>
  </si>
  <si>
    <t>443; 15/10/2019</t>
  </si>
  <si>
    <t xml:space="preserve">498; 30/10/2019
216; 29/5/2020 </t>
  </si>
  <si>
    <t>267; 21/9/2021</t>
  </si>
  <si>
    <t>Cầu Drai (thuộc Đường giao thông nối trung tâm hành chính huyện với đường tuần tra biên giới khu vực Hồ Le)</t>
  </si>
  <si>
    <t>840a; 11/10/2017</t>
  </si>
  <si>
    <t xml:space="preserve">670; 27/9/2018
02; 08/01/2019
192; 12/7/2021  </t>
  </si>
  <si>
    <t>426; 27/12/2021</t>
  </si>
  <si>
    <t>Dự án khai thác quỹ đất để phát triển kết cấu hạ tầng, bố trí dân cư dọc hai bên Quốc lộ 14C (Đoạn điểm dân cư số 41 – Trung tâm hành chính xã Ia Tơi)</t>
  </si>
  <si>
    <t>Giao thông, công nghiệp</t>
  </si>
  <si>
    <t>1458; 29/12/2017
223; 08/8/2021
445a; 30/12/2021</t>
  </si>
  <si>
    <t>668; 31/12/2019
509; 06/11/2020
393; 17/11/2022</t>
  </si>
  <si>
    <t>170; 24/7/2023</t>
  </si>
  <si>
    <t>Trường mầm non Tuổi Ngọc (phòng học, phòng chức năng, bếp ăn, nhà công vụ)</t>
  </si>
  <si>
    <t>128; 12/5/2021</t>
  </si>
  <si>
    <t>235; 20/8/2021</t>
  </si>
  <si>
    <t>111; 12/5/2023</t>
  </si>
  <si>
    <t>Đường ĐĐT33 (N64-N65)</t>
  </si>
  <si>
    <t>28; 03/02/2021</t>
  </si>
  <si>
    <t>123; 08/5/2021</t>
  </si>
  <si>
    <t>159; 09/9/2022</t>
  </si>
  <si>
    <t>Đường ĐĐT36 (N9-N66)</t>
  </si>
  <si>
    <t>29; 03/02/2021</t>
  </si>
  <si>
    <t>119; 06/5/2021</t>
  </si>
  <si>
    <t>160; 10/9/2022</t>
  </si>
  <si>
    <t>Đường ĐĐT37 (N7-N75)</t>
  </si>
  <si>
    <t>30; 03/02/2021</t>
  </si>
  <si>
    <t>158; 08/6/2021</t>
  </si>
  <si>
    <t>150; 04/9/2022</t>
  </si>
  <si>
    <t>Số tổng em công thiếu 870 triệu nha</t>
  </si>
  <si>
    <r>
      <t xml:space="preserve">Số này theo số phân bổ thực tế…số kế hoạch sẽ cao hơn vì giao theo tổng mức đầu tư </t>
    </r>
    <r>
      <rPr>
        <i/>
        <sz val="11"/>
        <rFont val="Calibri"/>
        <family val="2"/>
        <charset val="163"/>
        <scheme val="minor"/>
      </rPr>
      <t>( bao gồm cả dự phòng)</t>
    </r>
    <r>
      <rPr>
        <sz val="11"/>
        <rFont val="Calibri"/>
        <family val="2"/>
        <charset val="163"/>
        <scheme val="minor"/>
      </rPr>
      <t xml:space="preserve"> nên anh tổng hợp lại theo số đã giao nha </t>
    </r>
    <r>
      <rPr>
        <i/>
        <sz val="11"/>
        <rFont val="Calibri"/>
        <family val="2"/>
        <charset val="163"/>
        <scheme val="minor"/>
      </rPr>
      <t>(có kèm theo Quyết định quyết toán dự án hoàn thành)</t>
    </r>
  </si>
  <si>
    <t>Đường ĐĐT27 (N40-N53)</t>
  </si>
  <si>
    <t>132; 12/5/2021</t>
  </si>
  <si>
    <t>22; 19/01/2022</t>
  </si>
  <si>
    <t>230; 26/9/2023</t>
  </si>
  <si>
    <t>Phân cấp cân đối theo tiêu chí theo quy định tại Nghị quyết 63/2020/NQ-HĐND ngày 08/12/2020: Chuẩn bị đầu tư: 200 triệu đồng và Thực hiện dự án: 4.845 triệu đồng</t>
  </si>
  <si>
    <t>Đường ĐĐT30 (N52-N54)</t>
  </si>
  <si>
    <t>95; 24/3/2021</t>
  </si>
  <si>
    <t>198; 21/7/2021
21; 19/01/2022</t>
  </si>
  <si>
    <t>229; 26/9/2023</t>
  </si>
  <si>
    <t>Phân cấp cân đối theo tiêu chí theo quy định tại Nghị quyết 63/2020/NQ-HĐND ngày 08/12/2020: Chuẩn bị đầu tư: 200 triệu đồng và Thực hiện dự án: 3.417 triệu đồng</t>
  </si>
  <si>
    <t>Đường ĐĐT31 (N57-N54)</t>
  </si>
  <si>
    <t xml:space="preserve">131; 12/5/2021
257; 12/7/2022 </t>
  </si>
  <si>
    <t>236; 20/8/2021
282; 27/7/2022</t>
  </si>
  <si>
    <t>171; 30/5/2024</t>
  </si>
  <si>
    <t>Đường ĐĐT32 (N55-N58)</t>
  </si>
  <si>
    <t>90; 24/3/2021</t>
  </si>
  <si>
    <t>211; 30/7/2021
36; 15/02/2022</t>
  </si>
  <si>
    <t>231; 26/9/2023</t>
  </si>
  <si>
    <t>Gồm 2 nguồn: Nguồn tăng thu ngân sách huyện: 1.233 triệu Theo Quyết định số 260/QĐ-UBND ngày 12/7/2022 và Nguồn Kết dư ngân sách huyện: 215 triệu đồng Theo Quyết định số 261/QĐ-UBND ngày 12/7/2022</t>
  </si>
  <si>
    <t>Nâng cấp, sửa chữa Trung tâm Văn hóa - Thể thao - Du lịch và Truyền thông</t>
  </si>
  <si>
    <t>54; 09/3/2021
235; 04/6/2022</t>
  </si>
  <si>
    <t xml:space="preserve">125; 11/5/2021
286; 04/8/2022 </t>
  </si>
  <si>
    <t>112; 16/5/2023</t>
  </si>
  <si>
    <t>Sửa chữa trụ sở Mặt trận tổ quốc Việt Nam huyện Ia H'Drai</t>
  </si>
  <si>
    <t>48; 26/02/2021</t>
  </si>
  <si>
    <t xml:space="preserve">134; 13/5/2021 </t>
  </si>
  <si>
    <t>135; 25/5/2023</t>
  </si>
  <si>
    <t>Sửa chữa trung tâm bồi dưỡng chính trị huyện Ia H’Drai</t>
  </si>
  <si>
    <t>53; 09/3/2021</t>
  </si>
  <si>
    <t>133; 12/5/2021</t>
  </si>
  <si>
    <t>113; 16/5/2023</t>
  </si>
  <si>
    <t>Trường mầm non Hoa Mai (Phòng học, bếp ăn và hạng mục phụ trợ khác)</t>
  </si>
  <si>
    <t>113; 16/4/2021</t>
  </si>
  <si>
    <t>237; 20/8/2021
379; 29/11/2021</t>
  </si>
  <si>
    <t>136; 26/5/2023</t>
  </si>
  <si>
    <t>Trường Tiểu học - THCS Nguyễn Du, xã Ia Dom huyện Ia H’Drai (Phòng học, phòng bộ môn, thư viện, thiết bị)</t>
  </si>
  <si>
    <t>Xã Ia Dom</t>
  </si>
  <si>
    <t>202; 22/7/2021</t>
  </si>
  <si>
    <t xml:space="preserve">371; 18/11/2021
431; 15/12/2022 </t>
  </si>
  <si>
    <t>137; 26/5/2023</t>
  </si>
  <si>
    <t>Gồm 2 nguồn: Nguồn tiết kiệm, cắt giảm theo Nghị quyết 84/NQ-CP của Chính phủ: 533 triệu và Nguồn Kết dư ngân sách huyện: 150 triệu đồng
Theo Quyết định số 224/QĐ-UBND ngày 09/8/2020</t>
  </si>
  <si>
    <t xml:space="preserve">Bãi rác tập trung (Hạng mục: Đường và các công trình phụ trợ) </t>
  </si>
  <si>
    <t>299a; 26/9/2021</t>
  </si>
  <si>
    <t>77; 28/3/2022</t>
  </si>
  <si>
    <t>110; 11/5/2023</t>
  </si>
  <si>
    <t>Đầu tư đường ống cấp III trung tâm  huyện Ia H’Drai</t>
  </si>
  <si>
    <t>252; 12/7/2022</t>
  </si>
  <si>
    <t>337; 08/10/2022</t>
  </si>
  <si>
    <t>246; 07/11/2023</t>
  </si>
  <si>
    <t>Nguồn tăng thu ngân sách huyện: 2.862 triệu đồng
Theo Quyết định số 46/QĐ-UBND ngày ngày 16/3/2023 và điều chỉnh giảm tại Quyết định số 232/QĐ-UBND ngày ngày 13/11/2023</t>
  </si>
  <si>
    <t xml:space="preserve">Dự án hỗ trợ đầu tư trồng rừng sản xuất tập trung trên đất trống, đồi núi trọc, đất bạc màu trên địa bàn huyện Ia H’Drai năm 2021 </t>
  </si>
  <si>
    <t>229; 13/8/2021</t>
  </si>
  <si>
    <t>256; 15/9/2021</t>
  </si>
  <si>
    <t>147a; 26/5/2022</t>
  </si>
  <si>
    <t xml:space="preserve">Dự án trồng cây phân tán trên địa bàn huyện Ia H’Drai </t>
  </si>
  <si>
    <t>216; 03/8/2021</t>
  </si>
  <si>
    <t>253; 11/9/2021</t>
  </si>
  <si>
    <t>148a; 31/5/2022</t>
  </si>
  <si>
    <t>Chỉnh trang, di dời, đầu tư hệ thống điện chiếu sáng</t>
  </si>
  <si>
    <t xml:space="preserve">148; 31/5/2021 </t>
  </si>
  <si>
    <t>218; 03/8/2021</t>
  </si>
  <si>
    <t>428; 28/12/2021</t>
  </si>
  <si>
    <t xml:space="preserve">Nhà văn hóa thôn Ia Muung </t>
  </si>
  <si>
    <t>UBND xã Ia Dom</t>
  </si>
  <si>
    <t>76; 11/06/2021</t>
  </si>
  <si>
    <t>165; 11/06/2021</t>
  </si>
  <si>
    <t>192;07/12/2021</t>
  </si>
  <si>
    <t>Hỗ trợ phát triển hợp tác xã trên địa bàn xã Ia Dom</t>
  </si>
  <si>
    <t>247a; 27/11/2023</t>
  </si>
  <si>
    <t>257; 08/12/2023</t>
  </si>
  <si>
    <t>64; 11/3/2025</t>
  </si>
  <si>
    <t>Anh điều chỉnh lại rồi nha</t>
  </si>
  <si>
    <t>Dự án Hỗ trợ trồng rừng sản xuất tập trung trên địa bàn xã Ia Dom năm 2022</t>
  </si>
  <si>
    <t>256; 12/07/2022</t>
  </si>
  <si>
    <t>412; 30/11/2022</t>
  </si>
  <si>
    <t>Quyết định số 262/QĐ-UBND ngày 12/7/2022 của UBND huyện</t>
  </si>
  <si>
    <t>Hỗ trợ phát triển hợp tác xã trên địa bàn xã Ia Tơi</t>
  </si>
  <si>
    <t>259; 08/12/2023</t>
  </si>
  <si>
    <t>70; 17/3/2025</t>
  </si>
  <si>
    <t>Dự án hỗ trợ trồng rừng sản xuất tập trung trên địa bàn xã Ia Tơi năm 2022</t>
  </si>
  <si>
    <t>356; 25/10/2022</t>
  </si>
  <si>
    <t>Sửa chữa Hội trường trung tâm, trụ sở khối Huyện ủy, HĐND- UBND huyện Ia H'Drai</t>
  </si>
  <si>
    <t>247; 27/11/2023</t>
  </si>
  <si>
    <t>260; 11/12/2023
20; 06/12/2025</t>
  </si>
  <si>
    <t>183; 19/6/2025</t>
  </si>
  <si>
    <t>Đường giao thông từ cầu Drai đến đường Tuần tra biên giới tại khu vực Hồ Le (Đoạn Km7+316,41 - Km12+482,07)</t>
  </si>
  <si>
    <t>403; 14/5/2021</t>
  </si>
  <si>
    <t>1089; 23/11/2021
781; 27/12/2023</t>
  </si>
  <si>
    <t>05; 20/01/2025</t>
  </si>
  <si>
    <t>Đường từ thôn 1 đi thôn 9 xã Ia Tơi</t>
  </si>
  <si>
    <t>2024-2027</t>
  </si>
  <si>
    <t>390; 14/5/2021</t>
  </si>
  <si>
    <t>650; 12/11/2024</t>
  </si>
  <si>
    <t>Đường ĐĐT20 (N39-N30)</t>
  </si>
  <si>
    <t>2021-</t>
  </si>
  <si>
    <t xml:space="preserve">89; 24/3/2021 </t>
  </si>
  <si>
    <t>172; 12/6/2021</t>
  </si>
  <si>
    <t>Đường ĐĐT21 (N40-N30)</t>
  </si>
  <si>
    <t>130; 12/5/2021</t>
  </si>
  <si>
    <t>232; 13/8/2021</t>
  </si>
  <si>
    <t>Đường ĐĐT22 (N32-N33)</t>
  </si>
  <si>
    <t>87; 24/3/2021</t>
  </si>
  <si>
    <t>171; 11/6/2021</t>
  </si>
  <si>
    <t>Đường ĐĐT23 (N34-N35)</t>
  </si>
  <si>
    <t>92; 24/3/2021</t>
  </si>
  <si>
    <t>197; 21/7/2021</t>
  </si>
  <si>
    <t>Đường ĐĐT24 (N37-N36)</t>
  </si>
  <si>
    <t xml:space="preserve">91; 24/3/2021 </t>
  </si>
  <si>
    <t>199; 21/7/2021</t>
  </si>
  <si>
    <t>Trường TH-THCS Nguyễn Tất Thành (Điểm trường điểm dân cư số 64). Hạng mục: Nhà ở bán trú và các hạng mục phụ trợ khác</t>
  </si>
  <si>
    <t>2022-</t>
  </si>
  <si>
    <t>363; 27/10/2022</t>
  </si>
  <si>
    <t>459; 20/12/2022</t>
  </si>
  <si>
    <t>Đầu tư bãi đỗ xe, san lấp mặt bằng các lô đất thuộc khu Trung tâm hành chính huyện Ia H’Drai</t>
  </si>
  <si>
    <t>Hạ tầng, kỹ thuật</t>
  </si>
  <si>
    <t>14; 12/7/2022
253; 12/7/2022</t>
  </si>
  <si>
    <t>371; 05/11/2022</t>
  </si>
  <si>
    <t>Mở rộng Quốc lộ 14C (Đoạn từ ĐĐT25 đến cầu Suối Đá)</t>
  </si>
  <si>
    <t>2019-</t>
  </si>
  <si>
    <t>549; 14/11/2019</t>
  </si>
  <si>
    <t>185; 22/4/2020</t>
  </si>
  <si>
    <t>X</t>
  </si>
  <si>
    <t>Chuyển tiếp từ GĐ 2015-2020 sang</t>
  </si>
  <si>
    <t>UBND xã Ia Đal</t>
  </si>
  <si>
    <t>Thủy lợi Hồ chứa nước xã IV (Thôn 1, thôn 2, xã Ia Đal, huyện Ia H'Drai)</t>
  </si>
  <si>
    <t>BQL ĐT&amp;XD</t>
  </si>
  <si>
    <t>Xã Ia Đal</t>
  </si>
  <si>
    <t>Quyết định số 223/QĐ-UBND
 ngày 08 tháng 3 năm 2019 của Ủy
ban nhân dân tỉnh</t>
  </si>
  <si>
    <t>33/QĐ-STC ngày 02/3/2022 
của Sở Tài chính</t>
  </si>
  <si>
    <t>Hỗ trợ phát triển hợp tác xã trên địa bàn xã Ia Đal</t>
  </si>
  <si>
    <t>247a/QĐ-UBND ngày 27/11/2023 
của Ủy ban nhân dân huyện</t>
  </si>
  <si>
    <t>69/QĐ-UBND ngày 14/3/2025 của Ủy ban nhân dân huyện</t>
  </si>
  <si>
    <t>Dự án Hỗ trợ trồng rừng sản xuất tập trung trên địa bàn xã Ia Đal năm 2022</t>
  </si>
  <si>
    <t>256/QĐ-UBND ngày 12/07/2022 
của Ủy ban nhân
dân huyện</t>
  </si>
  <si>
    <t>Công trình đang lập hồ sơ quyết toán</t>
  </si>
  <si>
    <t>Trường mầm non Măng Non (bếp ăn, nhà công vụ)</t>
  </si>
  <si>
    <t>071</t>
  </si>
  <si>
    <t>Quyết định số 129/QĐ-UBND ngày 12 tháng 5 năm 2021 
của Ủy ban nhân dân huyện</t>
  </si>
  <si>
    <t>149/QĐ-UBND ngày 21/6/2023 của Ủy ban nhân dân huyện</t>
  </si>
  <si>
    <t>Trường Mầm non Măng Non xã Ia Đal. Hạng mục: Nhà học 04 phòng và các hạng mục phụ trợ khác</t>
  </si>
  <si>
    <t>Quyết định số 361/QĐ-UBND 
ngày 27 tháng 10 năm 2022 của Ủy
ban nhân dân huyện</t>
  </si>
  <si>
    <t>159/QĐ-UBND ngày 17/5/2024 của Ủy ban nhân dân huyện</t>
  </si>
  <si>
    <t>Trường TH-THCS Hùng Vương (Điểm trường trung tâm). Hạng mục: Nhà ở bán trú và các hạng mục phụ trợ khác</t>
  </si>
  <si>
    <t>072</t>
  </si>
  <si>
    <t>Quyết định số 362/QĐ-UBND ngày 27 tháng 10 năm 2022 của Ủy
ban nhân dân huyện</t>
  </si>
  <si>
    <t>320/QĐ-UBND ngày 19/8/2024 của Ủy ban nhân dân huyện</t>
  </si>
  <si>
    <t>Dự án đầu tư kết cấu hạ tầng điểm dân cư số 20, xã Ia Đal</t>
  </si>
  <si>
    <t>Quyết định số 236/QĐ-UBND ngày 24/6/2019 
của Ủy ban nhân dân huyện</t>
  </si>
  <si>
    <t>Công trình đã thực hiện xong bước chuẩn bị đầu tư</t>
  </si>
  <si>
    <t>Đường giao thông từ Trung tâm xã Ia Đal đến tiếp giáp Dự án đường từ cầu Drai đường Tuần tra biên giới tại khu vực Hồ Le</t>
  </si>
  <si>
    <t>411; 14/5/2021 
của UBND tỉnh</t>
  </si>
  <si>
    <t xml:space="preserve">Dự án chưa được bố trí vốn </t>
  </si>
  <si>
    <t>Phân khai tại Quyết định riêng của các CTMTQG</t>
  </si>
  <si>
    <t xml:space="preserve">Đối ứng các dự án thuộc CTMTQG chưa phân bổ  </t>
  </si>
  <si>
    <t>Chưa phân bổ chi tiết</t>
  </si>
  <si>
    <t>Hỗ trợ đền bù giải phóng mặt bằng các công trình</t>
  </si>
  <si>
    <t>Giao kế hoạch nhưng chưa triển khai</t>
  </si>
  <si>
    <t>Thực tế được thông báo 751trđ</t>
  </si>
  <si>
    <t>Hỗ trợ chi đo đạc, cấp giấy chứng nhận, quản lý đất đai</t>
  </si>
  <si>
    <t>Hỗ trợ từ nguồn thu tiền sử dụng đất, tiền thuê đất giao tăng thu để đầu tư cho công tác đo đạc, đăng ký đất đai, cấp giáy chứng nhận, xây dựng cơ sở dữ liệu đất đai và đăng ký biến động, chính lý hồ sơ địa chính thường xuyên</t>
  </si>
  <si>
    <t>Nhiệm vụ quy hoạch chi tiết (tỷ lệ 1/500) xây dựng vị trí mở rộng Điểm dân cư số 45 xã Ia Tơi, huyện Ia H’Drai, tỉnh Kon Tum</t>
  </si>
  <si>
    <t>Quyết định số 418/QĐ-UBND ngày 19/12/2021 của UBND huyện</t>
  </si>
  <si>
    <t>Lập đồ án quy hoạch chi tiết (tỷ lệ 1/500) Điểm dân cư nông thôn số 42 xã Ia Tơi, huyện Ia H’Drai:</t>
  </si>
  <si>
    <t>Quyết định số 68/QĐ-UBND ngày 18/3/2022 của UBND huyện</t>
  </si>
  <si>
    <t>Đánh giá hiện trạng rừng và đất lâm nghiệp phục vụ chuyển đổi mục đích sử dụng rừng sang mục đích khác: Công trình Thủy lợi Hồ chứa nước xã IV (thôn 1, thôn 2, xã Ia Đal, huyện Ia H’Drai) và công trình Hồ chứa nước số 2 trung tâm hành chính huyện</t>
  </si>
  <si>
    <t>Kinh phí thực hiện đo đạc 12 điểm dân cư do Chi nhánh 716, Binh đoàn 15 đang quản lý tại xã Ia Đal</t>
  </si>
  <si>
    <t>Cắm mốc phân lô đất ở các đồ án quy hoạch xây dựng trên địa bàn (Điểm dân cư số 46,  Xã Ia Tơi)</t>
  </si>
  <si>
    <t>Trích đo địa chính thửa đất Phục vụ công tác đấu giá Quyền sử dụng đất và giao đất có thu tiền sử dụng đất tại lô đất ONT thuộc điểm khu dân cư công nhân số 2, tại thôn 2, xã Ia Dom, huyện Ia H’Drai</t>
  </si>
  <si>
    <t>Trích đo địa chính thửa đất phục vụ công tác thu hồi, giao đất; Đánh giá hiện trạng rừng và đất lâm nghiệp phục vụ chuyển đổi mục đích sử dụng rừng sang mục đích khác xây dựng công trình: Dự án xây dựng lưới điện (thôn Chư Hem, xã Ia Đal) thuộc Tiểu dự án 2 - Cấp điện nông thôn từ lưới điện Quốc gia tỉnh Kon Tum giai đoạn 2018-2020-EU tài trợ thuộc dự án: Cấp điện nông thôn từ lưới điện quốc gia tỉnh Kon Tum (giai đoạn 2014-2020)</t>
  </si>
  <si>
    <t>Bổ sung</t>
  </si>
  <si>
    <t>Quyết định số 386/QĐ-UBND ngày 31/10/2022 của UBND huyện</t>
  </si>
  <si>
    <t xml:space="preserve"> Lập quy hoạch chi tiết (tỷ lệ 1/500) Điểm dân cư nông thôn số 66 xã Ia Tơi, huyện Ia H’Drai, tỉnh Kon Tum</t>
  </si>
  <si>
    <t>Quyết định số 43/QĐ-UBND ngày 14/3/2023 của UBND huyện</t>
  </si>
  <si>
    <t>Đã hủy 138,943494</t>
  </si>
  <si>
    <t>Kinh phí Lập kế hoạch SDĐ năm 2024</t>
  </si>
  <si>
    <t>Phòng TN&amp;MT</t>
  </si>
  <si>
    <t>Lập quy hoạch chi tiết (tỷ lệ 1/500) Điểm dân cư nông thôn số 66 xã Ia Tơi, huyện Ia H’Drai, tỉnh Kon Tum</t>
  </si>
  <si>
    <t>Quyết định số 69/QĐ-UBND ngày 24/4/2024 và Quyết định số 204/QĐ-UBND ngày 31/10/2024 của UBND huyện</t>
  </si>
  <si>
    <t>Thống kê đất đai năm 2023</t>
  </si>
  <si>
    <t>Công tác kiểm kê đất đai, lập bản đồ hiện trạng sử dụng đất năm 2024 huyện Ia H'Dreai</t>
  </si>
  <si>
    <t>Điều chỉnh quy hoạch sử dụng đất thời kỳ 2021-2030 của huyện Ia H'Drai</t>
  </si>
  <si>
    <t xml:space="preserve">Quyết định số 69/QĐ-UBND ngày 24/4/2024; Quyết định số 149/QĐ-UBND ngày 21/7/2024 và Quyết định số 204/QĐ-UBND ngày 31/10/2024 của UBND huyện </t>
  </si>
  <si>
    <t>Phân bổ tại các Thông báo số 117/TB-PTCKH ngày 09/8/2022</t>
  </si>
  <si>
    <t>Vốn của tỉnh</t>
  </si>
  <si>
    <t>Đã nộp 371,771</t>
  </si>
  <si>
    <t>Lập kế hoạch sử dụng đất năm 2024</t>
  </si>
  <si>
    <t>Phòng TNMT</t>
  </si>
  <si>
    <t>Phân bổ tại các Thông báo số 319/TB-PTCKH ngày 29/12/2023</t>
  </si>
  <si>
    <t>Kinh phí cho công tác quản lý đất
đai (thống kê đất đai, lập kế hoạch sử dụng đất giai đoạn 2021- 2030....)</t>
  </si>
  <si>
    <t>Đã nộp 254,775</t>
  </si>
  <si>
    <t xml:space="preserve">Lập kế hoạch sử dụng đất năm 2024 </t>
  </si>
  <si>
    <t>Phân bổ tại các Thông báo số 299/TB-PTCKH ngày 15/12/2023</t>
  </si>
  <si>
    <t>Điều chỉnh quy hoạch sử dụng đất thời kỳ 2021-2030 và kế hoạch sử dụng đất năm đầu của điều chỉnh quy hoạch sử dụng đất huyện Ia H'Drai</t>
  </si>
  <si>
    <t>Phân bổ tại các Thông báo số 136/TB-PTCKH ngày 28/6/2024</t>
  </si>
  <si>
    <t>Trích đo bản đồ địa chính phục vụ công tác cấp giấy chứng nhận quyền sử dụng đất và tài sản khác gắn liền với đất (đất trồng lúa) dự án xây dựng điểm dân cư số 64</t>
  </si>
  <si>
    <t>Phân bổ tại các Thông báo số 264/TB-PTCKH ngày 29/11/2024</t>
  </si>
  <si>
    <t>Công tác lập và điều chỉnh quy hoạch, kế hoạch sử dụng đất cấp huyện, thành phố giai đoạn 2021 - 2030; Công tác lập Kế hoạch sử dụng đất năm 2024 và năm 2025; Thống kê đất đai năm 2023, năm 2024 của huyện Ia H'Drai</t>
  </si>
  <si>
    <t>Phân bổ tại các Thông báo số 321/TB-PTCKH ngày 31/12/2024' Thông báo số 264/TB-PTCKH ngày 29/11/2024; Thông báo số 320/TB-PTCKH ngày 25/12/2024</t>
  </si>
  <si>
    <t>Đã nộp 176,437551</t>
  </si>
  <si>
    <t>Chi cho công tác quản lý đất đai trên địa bàn huyện (Nguồn 10% tiền sử dụng đất, tiền thuê đất địa phương giao tăng thu từ các dự án khai thác quỹ đất năm 2024)</t>
  </si>
  <si>
    <t>Phân bổ tại các Thông báo số 320/TB-PTCKH ngày 25/12/2024</t>
  </si>
  <si>
    <t>Điều chỉnh quy hoạch sử dụng đất thời kỳ 2021 - 2030 và kế hoạch sử dụng đất năm đầu của điều chỉnh quy hoạch sử dụng đất huyện Ia H’Drai</t>
  </si>
  <si>
    <t>Thông báo số 126/TB-PTCKH ngày 12/5/2025</t>
  </si>
  <si>
    <t>Sở Nông nghiệp và Môi trường</t>
  </si>
  <si>
    <t>21-25</t>
  </si>
  <si>
    <t>UBND xã Đăk Kôi</t>
  </si>
  <si>
    <t>Xây mới Hệ thống kênh mương thủy lợi thôn 1, xã Đăk Kôi</t>
  </si>
  <si>
    <t>7987878</t>
  </si>
  <si>
    <t>45,16-12-2021</t>
  </si>
  <si>
    <t>26, 22/01/2021</t>
  </si>
  <si>
    <t>629,29/12/2021</t>
  </si>
  <si>
    <t>Xã Đăk Kôi</t>
  </si>
  <si>
    <t>Sửa chữa Trường Mầm non Đăk Tơ Lung (điểm Kon Bỉ)</t>
  </si>
  <si>
    <t>Phòng Kinh tế, Hạ tầng và Đô thị</t>
  </si>
  <si>
    <t>7987879</t>
  </si>
  <si>
    <t>27- 22/01/2021</t>
  </si>
  <si>
    <t>630,29/12/2021</t>
  </si>
  <si>
    <t>Xã Đăk Tơ Lung</t>
  </si>
  <si>
    <t>Xây mới thủy lợi Nước Muối, xã Đăk Tơ Lung, huyện Kon Rẫy; hạng mục: Cụm đầu mối, kênh và công trình trên kênh</t>
  </si>
  <si>
    <t>Công trình NN&amp;PTNT, cấp IV</t>
  </si>
  <si>
    <t>440- 12/10/2020</t>
  </si>
  <si>
    <t>986,25/08/2022</t>
  </si>
  <si>
    <t>Kiểm kê đất đai và lập bản đồ hiện trạng sử dụng đất</t>
  </si>
  <si>
    <t>UBND xã Đăk Tơ Lung</t>
  </si>
  <si>
    <t>Đất đai</t>
  </si>
  <si>
    <t>7987886</t>
  </si>
  <si>
    <t>50-22/01/2020</t>
  </si>
  <si>
    <t>51,6/07/2022</t>
  </si>
  <si>
    <t>7987889</t>
  </si>
  <si>
    <t>42,13/05/2022</t>
  </si>
  <si>
    <t>Sửa chữa, khắc phục Đường từ thôn 6 đi thôn 5 xã Đăk Kôi</t>
  </si>
  <si>
    <t>Kinh tế, Hạ tầng và Đô thị</t>
  </si>
  <si>
    <t>120-2/4/2021</t>
  </si>
  <si>
    <t>987,25/08/2022</t>
  </si>
  <si>
    <t>Trường Mầm non xã Đăk Kôi (điểm chính), huyện Kon Rẫy; HM: Xây mới nhà hiệu bộ và các hạng mục phụ trợ</t>
  </si>
  <si>
    <t>68-21/02/2022</t>
  </si>
  <si>
    <t>894 ngày 25/08/2022</t>
  </si>
  <si>
    <t>Sửa chữa các công trình thủy lợi trên địa bàn xã Đăk Kôi</t>
  </si>
  <si>
    <t>935-24/9/2020</t>
  </si>
  <si>
    <t>628 ngày 21/06/2022</t>
  </si>
  <si>
    <t>Dự Trường bắn, thao trường huấn luyện Ban chỉ huy quân sự huyện Kon Rẫy. Hạng mục: Bồi thường giải phóng mặt bằng.</t>
  </si>
  <si>
    <t>Ban Chỉ huy quân sự huyện</t>
  </si>
  <si>
    <t>Quốc Phòng</t>
  </si>
  <si>
    <t>471-15/5/2023</t>
  </si>
  <si>
    <t>654,16/08/2024</t>
  </si>
  <si>
    <t>Xây mới Trụ sở làm việc Ban Chỉ huy quân sự xã Đăk Tơ Lung</t>
  </si>
  <si>
    <t>Ban quản lý dự án ĐTXD huyện</t>
  </si>
  <si>
    <t>368-10/04/2023</t>
  </si>
  <si>
    <t>1146,29/12/2023</t>
  </si>
  <si>
    <t>Xây mới Trụ sở làm việc Ban Chỉ huy quân sự xã Đăk Kôi</t>
  </si>
  <si>
    <t>367-10/04/2023</t>
  </si>
  <si>
    <t>1144,29/12/2023</t>
  </si>
  <si>
    <t>Nhà văn hóa Trung tâm xã Đăk Kôi</t>
  </si>
  <si>
    <t>403-24/04/2023</t>
  </si>
  <si>
    <t>378,10/05/2024</t>
  </si>
  <si>
    <t>Công trình cấp nước sinh hoạt thôn Kon Keng xã Đăk Tơ Lung (Giếng khoan)</t>
  </si>
  <si>
    <t>447-04/6/2024</t>
  </si>
  <si>
    <t>950,13/12/2024</t>
  </si>
  <si>
    <t>xã Đăk Tơ Lung</t>
  </si>
  <si>
    <t>Hỗ trợ máy móc (Máy sấy khô (dùng điện và dầu diesen)</t>
  </si>
  <si>
    <t>Nông nghiệp</t>
  </si>
  <si>
    <t>596-03/12/2024</t>
  </si>
  <si>
    <t>354,21/05/2025</t>
  </si>
  <si>
    <t xml:space="preserve">Hỗ trợ máy móc (Máy sấy khô (dùng điện và than, củi), máy hấp) </t>
  </si>
  <si>
    <t>609-01/08/2024</t>
  </si>
  <si>
    <t>331,16/05/2025</t>
  </si>
  <si>
    <t>Trường Mầm non xã Đăk Kôi (điểm chính), huyện Kon Rẫy. Hạng mục: Xây mới  01 nhà vệ sinh, hệ thống cấp, thoát nước và các hạng mục phụ trợ;</t>
  </si>
  <si>
    <t>40-10/02/2025</t>
  </si>
  <si>
    <t>522,27/06/2025</t>
  </si>
  <si>
    <t>Dự án tu bổ, phục hồi di tích lịch sử cách mạng căn cứ Huyện ủy H16</t>
  </si>
  <si>
    <t xml:space="preserve"> 126
18/02/2025</t>
  </si>
  <si>
    <t>UBND xã Kon Braih</t>
  </si>
  <si>
    <t>Sửa chữa nâng cấp tuyến đường ĐH21 (đoạn từ cầu bê tông thôn 6 Tân Lập đi thôn 14 xã Đăk Ruồng)</t>
  </si>
  <si>
    <t>Phòng KT&amp;HT huyện</t>
  </si>
  <si>
    <t>524a- 26/11/2020</t>
  </si>
  <si>
    <t>524, 26/11/2020</t>
  </si>
  <si>
    <t>Xã Tân Lập, xã Đăk Ruồng</t>
  </si>
  <si>
    <t>Xã Kon Braih</t>
  </si>
  <si>
    <t>Bố trí đối ứng sửa chữa nhỏ các hạng mục, hệ thống nhà vệ sinh, nước sạch của các đơn vị trường học thuộc UBND các huyện, thành phố năm 2020 (theo Quyết định số 1198/QĐ-UBND ngày 02/12/2020 của UBND tỉnh)</t>
  </si>
  <si>
    <t>Phòng Giáo dục và Đạo tạo</t>
  </si>
  <si>
    <t>Đường vào thôn 8 xã Đăk Tơ Lung</t>
  </si>
  <si>
    <t>935; 24/09/2020</t>
  </si>
  <si>
    <t>Xã Đăk Ruồng, xã Đăk Tơ Lung</t>
  </si>
  <si>
    <t>Cầu qua sông Đăk BLà tại thôn 12 xã Đăk Ruồng huyện Kon Rẫy</t>
  </si>
  <si>
    <t>623; 01/12/2021</t>
  </si>
  <si>
    <t>Xã Đăk Ruồng</t>
  </si>
  <si>
    <t>Đường vào BCH quân sự huyện</t>
  </si>
  <si>
    <t>Ban Quản lý DA ĐTXD huyện</t>
  </si>
  <si>
    <t>377; 16/09/2019</t>
  </si>
  <si>
    <t>Xây mới nhà vệ sinh trường Tiểu học Lê Quý Đôn, xã Đăk Ruồng</t>
  </si>
  <si>
    <t>25-22/01/2021</t>
  </si>
  <si>
    <t>Trường Tiểu học Tân Lập (điểm chính), huyện Kon Rẫy; hạng mục: Xây mới 04 phòng chức năng + 01 nhà đa năng và các hạng mục phụ trợ</t>
  </si>
  <si>
    <t>25, 22/01/2021</t>
  </si>
  <si>
    <t>Xã Tân Lập</t>
  </si>
  <si>
    <t>Trường Mầm non Ánh Dương (điểm chính), xã Đắk Ruồng; hạng mục: Xây mới nhà hiệu bộ</t>
  </si>
  <si>
    <t>28- 22/01/2021</t>
  </si>
  <si>
    <t>40-13/01/2020</t>
  </si>
  <si>
    <t>Cầu bê tông đi thôn 6 xã Tân Lập, huyện Kon Rẫy</t>
  </si>
  <si>
    <t>365-20/8/2020</t>
  </si>
  <si>
    <t xml:space="preserve">Trụ sở HĐND-UBND xã Đăk Ruồng Hạng mục: Nhà làm việc công an xã đội </t>
  </si>
  <si>
    <t>238-10/6/2021</t>
  </si>
  <si>
    <t>Lập quy hoạch sử dụng đất thời kỳ 2021-2030 huyện Kon Rẫy</t>
  </si>
  <si>
    <t>Kon Rẫy</t>
  </si>
  <si>
    <t>Trụ sở HĐND&amp;UBND xã Tân Lập; hạng mục: Cổng tường rào</t>
  </si>
  <si>
    <t>UBND xã Tân Lập</t>
  </si>
  <si>
    <t>582-14/12/2021</t>
  </si>
  <si>
    <t>Trường Mầm non Ánh Dương (điểm chính), xã Đăk Ruồng; hạng mục: Sửa chữa bếp ăn một chiều và các hạng mục phụ trợ</t>
  </si>
  <si>
    <t>69-21/02/2022</t>
  </si>
  <si>
    <t>Đường bê tông vào khu thể thao Trung tâm xã Đăk Tờ Re</t>
  </si>
  <si>
    <t>UBND xã Đăk Tờ Re</t>
  </si>
  <si>
    <t>252-16/11/2022</t>
  </si>
  <si>
    <t>Xã Đăk Tờ Re</t>
  </si>
  <si>
    <t>Sân thể thao Trung tâm xã Đăk Tờ Re</t>
  </si>
  <si>
    <t>1256-18/11/2022</t>
  </si>
  <si>
    <t>Trường Tiểu học Lê Quý Đôn (điểm chính) xã Đăk Ruồng, huyện Kon Rẫy; HM: Sửa chữa dãy nhà học 04 phòng, làm mới tường rào và các hạng mục phụ trợ</t>
  </si>
  <si>
    <t>72-22/02/2022</t>
  </si>
  <si>
    <t>Xây mới phòng họp Huyện ủy Kon Rẫy</t>
  </si>
  <si>
    <t>VP Huyện uỷ</t>
  </si>
  <si>
    <t>102-11/3/2022</t>
  </si>
  <si>
    <t>Xây mới Nhà làm việc Ban Chỉ huy quân sự xã Đăk Tờ Re</t>
  </si>
  <si>
    <t>774-4/8/2022</t>
  </si>
  <si>
    <t>Xây mới Nhà làm việc Ban Chỉ huy quân sự xã Tân Lập</t>
  </si>
  <si>
    <t>773-4/8/2022</t>
  </si>
  <si>
    <t>Trường Mầm non Hoạ Mi (điểm trường Thôn Đak Puih), xã Đăk Tờ Re, huyện Kon Rẫy; hạng mục: Xây mới nhà học 02 phòng và các hạng mục phụ trợ</t>
  </si>
  <si>
    <t>1033-29/9/2022</t>
  </si>
  <si>
    <t>Đo đạc, thành lập bản đồ địa chính phục vụ công tác QLNN vầ đất đai gắn với thực hiện công tác kê khai đăng ký, cấp GCNQSDĐ và XDCSDLĐC trên địa bàn xã Đăk Tờ Re, huyện Kon Rẫy</t>
  </si>
  <si>
    <t>1331-06/12/2022</t>
  </si>
  <si>
    <t>Dự án lập kế hoạch sử dụng đất năm 2023 huyện Kon Rẫy</t>
  </si>
  <si>
    <t>921-31/08/2022</t>
  </si>
  <si>
    <t>Nâng cấp, cải tạo hệ thống thoát nước, vỉa hè khu vực Quảng trường Trung tâm huyện (Kon Brai)</t>
  </si>
  <si>
    <t>640-27/6/2022</t>
  </si>
  <si>
    <t>Nâng cấp, cải tạo khuôn viên Trụ sở Huyện uỷ</t>
  </si>
  <si>
    <t>Văn phòng Huyện ủy</t>
  </si>
  <si>
    <t>644-27/6/2022</t>
  </si>
  <si>
    <t>Nâng cấp, sửa chữa Hội trường tạm UBND huyện</t>
  </si>
  <si>
    <t>638-24/6/2022</t>
  </si>
  <si>
    <t>Sửa chữa Trụ sở Huyện ủy Kon Rẫy</t>
  </si>
  <si>
    <t>634-6/7/2023</t>
  </si>
  <si>
    <t>Lập kế hoạch sử dụng đất năm 2024 huyện Kon Rẫy</t>
  </si>
  <si>
    <t>741-03/8/2023</t>
  </si>
  <si>
    <t>1331-16/12/2023</t>
  </si>
  <si>
    <t>Nâng cấp, Sửa chữa Trường mầm non Hoa Hồng, điểm thôn Thôn Đăk ơ Nglăng, xã ĐăK Tờ Re</t>
  </si>
  <si>
    <t>483-19/05/2023</t>
  </si>
  <si>
    <t>Nâng cấp vỉa hè, cạnh UBMT tổ quốc Việt Nam huyện Kon Rẫy và gia cố mái ta luy quảng trường trung tâm huyện</t>
  </si>
  <si>
    <t>484-19/05/2023</t>
  </si>
  <si>
    <t>Nước sinh hoạt: Trương Mầm non Ánh Dương xã Đăk Ruồng  và Trường Tiểu học xã Tân Lập</t>
  </si>
  <si>
    <t>486-19/05/2023</t>
  </si>
  <si>
    <t>Xã Đăk Ruồng, xã Tân Lập</t>
  </si>
  <si>
    <t>Cấp điện phục vụ Dự án trồng cây ăn quả công nghệ cao tại huyện Kon Rẫy của Công ty cổ phần Tập đoàn TH</t>
  </si>
  <si>
    <t>681-24/7/2023</t>
  </si>
  <si>
    <t xml:space="preserve"> Điện chiếu sáng công lộ thị trấn Đăk Rve, xã Tân Lập và xã Đăk Ruồng</t>
  </si>
  <si>
    <t>682-24/7/2023</t>
  </si>
  <si>
    <t>Thị trấn Đăk Rve, xã Đăk Ruồng, xã Tân Lập</t>
  </si>
  <si>
    <t>Xây dựng công trình: Cổng chào các thôn</t>
  </si>
  <si>
    <t>954-26/10/2023</t>
  </si>
  <si>
    <t>Dự án tôn tạo Di tích lịch sử cách mạng chiến thắng Kon Braih</t>
  </si>
  <si>
    <t>498; 09/11/2024</t>
  </si>
  <si>
    <t>Trường Mầm non Hoa Hồng (điểm thôn 4), xã Đăk Tờ Re, huyện Kon Rẫy; HM: Sửa chữa nhà vệ sinh, hệ thống cấp nước và các hạng mục phụ trợ</t>
  </si>
  <si>
    <t>328-15/04/2024</t>
  </si>
  <si>
    <t xml:space="preserve"> Trường Tiểu học KaPaKoLong (điểm chính), xã Đăk Tờ Re, huyện Kon Rẫy; HM: Xây mới nhà học 02 phòng và các hạng mục phụ trợ;</t>
  </si>
  <si>
    <t>330-25/04/2024</t>
  </si>
  <si>
    <t>Công trình nước sinh hoạt Kon Bưu, thôn 4, xã Tân Lập</t>
  </si>
  <si>
    <t>526-02/07/2024</t>
  </si>
  <si>
    <t>Sửa chữa Trụ sở Khối mặt trận đoàn thể huyện Kon Rẫy</t>
  </si>
  <si>
    <t>449-04/6/2024</t>
  </si>
  <si>
    <t>Điều chỉnh quy hoạch sử dụng đất thời kỳ 2021-2030 và kế hoạch sử dụng đất năm đầu của điều chỉnh quy hoạch huyện Kon Rẫy</t>
  </si>
  <si>
    <t>701-109/2024</t>
  </si>
  <si>
    <t xml:space="preserve">Hỗ trợ máy móc (Máy sao, máy vò, máy sấy khô (dùng điện),  máy hút chân không) </t>
  </si>
  <si>
    <t>UBND xã Đăk Ruồng</t>
  </si>
  <si>
    <t>607-01/08/2024</t>
  </si>
  <si>
    <t>Cải tạo, nâng cấp vỉa hè và trồng mới cây xanh trên địa bàn xã Đăk Ruồng</t>
  </si>
  <si>
    <t>581-29/7/2024</t>
  </si>
  <si>
    <t>Sửa chữa trụ sở HĐND-UBND xã Đăk Tờ Re</t>
  </si>
  <si>
    <t>497-4/11/2024</t>
  </si>
  <si>
    <t>Sửa chữa Trường Tiểu học Kim Đồng xã Đăk Tờ Re</t>
  </si>
  <si>
    <t>495-4/11/2024</t>
  </si>
  <si>
    <t>Trường Tiểu học Kim Đồng (điểm thôn 4), xã Đăk Tờ Re, huyện Kon Rẫy. Hạng mục: Làm mới sân bê tông + Hệ thống cấp nước và các hạng mục phụ trợ</t>
  </si>
  <si>
    <t>37-10/02/2025</t>
  </si>
  <si>
    <t>Sửa chữa Hội trường trung tâm huyện Kon Rẫy</t>
  </si>
  <si>
    <t>495; 04/11/2024</t>
  </si>
  <si>
    <t>Nâng cấp các tuyến đường quy hoạch dân cư (Khu Lâm viên), xã Tân Lập</t>
  </si>
  <si>
    <t>35-10/02/2025</t>
  </si>
  <si>
    <t>Kiểm kê đất đai và lập bản đồ hiện trạng sử dụng đất năm 2024 huyện Kon Rẫy, tỉnh Kon Tum</t>
  </si>
  <si>
    <t>2024</t>
  </si>
  <si>
    <t>577-16/12/2024</t>
  </si>
  <si>
    <t>Nâng cấp Đường vào Trụ sở Ban chỉ huy quân sự huyện Kon Rẫy. Hạng mục: Mặt đường và bó vỉa</t>
  </si>
  <si>
    <t>36-10/02/2025</t>
  </si>
  <si>
    <t>UBND xã ĐăkRve</t>
  </si>
  <si>
    <t>Đường giao thông từ xã Đăk Pne huyện Kon Rẫy đi huyện Kbang tỉnh Gia Lai</t>
  </si>
  <si>
    <t>2022</t>
  </si>
  <si>
    <t>466, 28/5/2021; 698, 03/8/2021; 712, 31/10/2024</t>
  </si>
  <si>
    <t>Xã Đăk Pne</t>
  </si>
  <si>
    <t>Xã ĐăkRve</t>
  </si>
  <si>
    <t>Cầu treo Kon Túc (Đăk Mơ Nam) xã Đăk Pne; hạng mục gia cố mố, trụ cầu</t>
  </si>
  <si>
    <t>513a-19/11/2020</t>
  </si>
  <si>
    <t>529,27/04/2021</t>
  </si>
  <si>
    <t>Xã Đăk Rve</t>
  </si>
  <si>
    <t>Sửa chữa, nâng cấp đường ĐH22 huyện Kon Rẫy</t>
  </si>
  <si>
    <t>622; 01/12/2021</t>
  </si>
  <si>
    <t xml:space="preserve">Công trình thủy lợi Đăk Lang, xã Đăk Pne; hạng mục: sữa chữa đập đầu mối, thay mới tuyến ống, trụ đỡ </t>
  </si>
  <si>
    <t>502a-18/11/2020</t>
  </si>
  <si>
    <t xml:space="preserve">Công trình thủy lợi Đăk Hnghe (Thôn 2, 3), xã Đăk Pne; hạng mục: sữa chữa đập đầu mối, thay mới tuyến ống, trụ đỡ </t>
  </si>
  <si>
    <t>509a-18/11/2020</t>
  </si>
  <si>
    <t>Sửa chữa, nâng cấp cơ sở cách ly tập trung phòng, chống dịch Covid-19 trên địa bàn huyện Kon Rẫy tại trụ sở Ban Chỉ huy Quân sự huyện (cũ)</t>
  </si>
  <si>
    <t>380- 08/9/2021</t>
  </si>
  <si>
    <t>Thị trấn Đăk Rve</t>
  </si>
  <si>
    <t>UBND thị trấn Đăk Rve</t>
  </si>
  <si>
    <t>323/QĐ-UBND</t>
  </si>
  <si>
    <t>UBND xã Đăk Pne</t>
  </si>
  <si>
    <t>325/QĐ-UBND</t>
  </si>
  <si>
    <t>Công trình sữa chữa đường A Vui, thị trấn ĐăK Rve</t>
  </si>
  <si>
    <t>226-02/6/2020</t>
  </si>
  <si>
    <t>Công trình sữa chữa đường Duy Tân, thị trấn ĐăK Rve</t>
  </si>
  <si>
    <t>227-02/6/2020</t>
  </si>
  <si>
    <t>Sửa chữa, khắc phục Cầu tràn thôn 3 đi thôn 4 (Kon Gộp), xã Đăk Pne</t>
  </si>
  <si>
    <t>121-02/4/2021</t>
  </si>
  <si>
    <t>Xã Đăk PNe</t>
  </si>
  <si>
    <t>Sửa chữa, khắc phục đường đi khu sản xuất Đăk Nâm, xã Đăk Pne</t>
  </si>
  <si>
    <t>100-09/03/2022</t>
  </si>
  <si>
    <t>Sửa chữa Trụ sở Đảng ủy - HĐND - UBND xã Đăk Pne, huyện Kon Rẫy</t>
  </si>
  <si>
    <t>UBND xã Đăk PNe</t>
  </si>
  <si>
    <t>1146-21/10/2022</t>
  </si>
  <si>
    <t>Sửa chữa, nâng cấp đường Võ Thị Sáu, thôn 5, thị trấn Đăk Rve</t>
  </si>
  <si>
    <t>104-15/3/2022</t>
  </si>
  <si>
    <t>Cầu giàn thép thôn 7, thị trấn Đăk Rve</t>
  </si>
  <si>
    <t>'7968717</t>
  </si>
  <si>
    <t xml:space="preserve"> 06-18/04/2022 </t>
  </si>
  <si>
    <t xml:space="preserve">Trường Mầm non 19-5 (điểm chính), huyện Kon Rẫy; </t>
  </si>
  <si>
    <t>639-27/6/2022</t>
  </si>
  <si>
    <t>1395/QĐ-UBND</t>
  </si>
  <si>
    <t xml:space="preserve">Trường Mầm non xã Đăk Pne ( điểm chính), huyện Kon Rẫy; </t>
  </si>
  <si>
    <t>642-27/6/2022</t>
  </si>
  <si>
    <t>1396/QĐ-UBND</t>
  </si>
  <si>
    <t>Sửa chữa, khắc phục thuỷ lợi Đăk Lang, xã Đăk Pne</t>
  </si>
  <si>
    <t>643-27/6/2022</t>
  </si>
  <si>
    <t>1403/QĐ-UBND</t>
  </si>
  <si>
    <t>Sửa chữa trụ sở trung tâm chính trị huyện Kon Rẫy</t>
  </si>
  <si>
    <t>482-19/05/2023</t>
  </si>
  <si>
    <t>410/QĐ-UBND</t>
  </si>
  <si>
    <t>Chỉnh trang đô thị thị trấn Đăk Rve (Khu vực sân vận động)</t>
  </si>
  <si>
    <t>480-19/05/2023</t>
  </si>
  <si>
    <t>437/QĐ-UBND</t>
  </si>
  <si>
    <t xml:space="preserve"> Hội trường nhà VH thôn 4 thị trấn Đăk Rve. </t>
  </si>
  <si>
    <t>481-19/05/2023</t>
  </si>
  <si>
    <t>438/QĐ-UBND</t>
  </si>
  <si>
    <t>Trường Mầm non 19/5, thị trấn Đăk Rve. Hạng mục: Sửa chữa nhà học (Điểm lẻ thôn 5 và thôn 7).</t>
  </si>
  <si>
    <t>881-15/9/2023</t>
  </si>
  <si>
    <t>956/QĐ-UBND</t>
  </si>
  <si>
    <t xml:space="preserve">Công trình thủy lợi Đăk Nâm, xã Đăk Pne; hạng mục: sữa chữa đập đầu mối, thay mới tuyến ống, trụ đỡ </t>
  </si>
  <si>
    <t>451-04/6/2024</t>
  </si>
  <si>
    <t>1419/QĐ-UBND</t>
  </si>
  <si>
    <t>Trường Mầm non Đăk Pne (điểm Kon Túc), huyện Kon Rẫy; HM: Làm mới sân bê tông và các hạng mục phụ trợ</t>
  </si>
  <si>
    <t>450-04/6/2024</t>
  </si>
  <si>
    <t>952/QĐ-UBND</t>
  </si>
  <si>
    <t>Sửa chữa, nâng cấp hệ thống sinh hoạt thôn 2, thôn 3 xã Đăk Pne</t>
  </si>
  <si>
    <t>452-04/6/2024</t>
  </si>
  <si>
    <t>944/QĐ-UBND</t>
  </si>
  <si>
    <t>Sửa chữa, nâng cấp hệ thống sinh hoạt thôn 4 xã Đăk Pne</t>
  </si>
  <si>
    <t>453-04/6/2024</t>
  </si>
  <si>
    <t>954/QĐ-UBND</t>
  </si>
  <si>
    <t>Trường Tiểu học Đăk Pne (điểm Kon Túc), huyện Kon Rẫy; HM: Sửa chữa cổng, tường rào</t>
  </si>
  <si>
    <t>329-25/04/2024</t>
  </si>
  <si>
    <t>942/QĐ-UBND</t>
  </si>
  <si>
    <t xml:space="preserve">Trường Mầm non 19/5, huyện Kon Rẫy; HM: Sửa chữa 03 phòng làm việc + hàng rào </t>
  </si>
  <si>
    <t>343-30/04/2024</t>
  </si>
  <si>
    <t>Sửa chữa đập thủy lợi Hố Chuối</t>
  </si>
  <si>
    <t>946/QĐ-UBND</t>
  </si>
  <si>
    <t>Xây mới Trụ sở làm việc Ban Chỉ huy quân sự xã Đăk Pne</t>
  </si>
  <si>
    <t>448-04/6/2024</t>
  </si>
  <si>
    <t>976/QĐ-UBND</t>
  </si>
  <si>
    <t xml:space="preserve">Hỗ trợ máy móc (Máy rang, máy xay cà phê; máy đóng bao bì) </t>
  </si>
  <si>
    <t>334-16/05/2024</t>
  </si>
  <si>
    <t>334/QĐ-UBND</t>
  </si>
  <si>
    <t xml:space="preserve">Hỗ trợ máy móc (Máy xay tiêu, máy đóng nắp chai nhựa, máy hút chân không) </t>
  </si>
  <si>
    <t xml:space="preserve">Hỗ trợ máy móc (Máy sấy khô (dùng điện), máy đóng nắp chai nhựa, máy hút chân không) </t>
  </si>
  <si>
    <t>610-01/08/2024</t>
  </si>
  <si>
    <t>332/QĐ-UBND</t>
  </si>
  <si>
    <t xml:space="preserve">Sửa chữa Cầu dàn sắt thôn 2 Đăk Nâm, xã Đăk Pne </t>
  </si>
  <si>
    <t>492-4/11/2024</t>
  </si>
  <si>
    <t>320/QĐ-UBND</t>
  </si>
  <si>
    <t>Nâng cấp đường Duy Tân đoạn nối tiếp vào thôn 3 thị trấn Đăk Rve</t>
  </si>
  <si>
    <t>109-24/03/2025</t>
  </si>
  <si>
    <t>Đơn vị bàn giao: UBND huyện Kon Rẫy (trước sắp xếp)</t>
  </si>
  <si>
    <t>Giải ngân đến 30/6/2025</t>
  </si>
  <si>
    <t>Chưa được thông báo</t>
  </si>
  <si>
    <t>956; 28/10/2021</t>
  </si>
  <si>
    <t>Các xã</t>
  </si>
  <si>
    <t>1095;21/12/2021</t>
  </si>
  <si>
    <t>4</t>
  </si>
  <si>
    <t>Ngân hàng CSXH huyện</t>
  </si>
  <si>
    <t>Thực nguồn 2025</t>
  </si>
  <si>
    <t>Nguồn thu tiền sử dụng đất theo dự toán trung ương giao chi thực hiện công tác quy hoạch, đo đạc, đăng ký quản lý đất đai, cấp giấy chứng nhận, xây dựng cơ sở, đăng ký biến động, chỉnh lý hồ sơ địa chính và lập quy hoạch, kế hoạch sử dụng đất…</t>
  </si>
  <si>
    <t>DỰ ÁN/NHIỆM VỤ CHUYỂN VỀ TỈNH</t>
  </si>
  <si>
    <t>2023-</t>
  </si>
  <si>
    <t>2020-</t>
  </si>
  <si>
    <t>Đường GTNT từ đường Ngọc Hoàng - Măng Bút đi thôn Kon Tuông, xã Ngọc Linh</t>
  </si>
  <si>
    <t xml:space="preserve">246-21/06/2021 </t>
  </si>
  <si>
    <t>Hỗ trợ đầu tư xây dựng nông thôn mới</t>
  </si>
  <si>
    <t xml:space="preserve">Chi thực hiện quy hoạch, đo đạc, đăng ký quản lý đất đai, cấp giấy chứng nhận, chỉnh lý hồ sơ địa chính; </t>
  </si>
  <si>
    <t>BQLDAĐTXD huyện</t>
  </si>
  <si>
    <t>DAHTPDQT</t>
  </si>
  <si>
    <t>HT</t>
  </si>
  <si>
    <t>Chưa QTDAHT</t>
  </si>
  <si>
    <t>Đã hoàn thành, chưa QT</t>
  </si>
  <si>
    <t>Đường giao thông từ làng Mô Po đi từ làng Tu Chiêu A, xã Mường Hoong và đường giao thông từ làng Lê Vân đi làng Tân Rát 2 xã Ngọc Linh, huyện Đăk Glei</t>
  </si>
  <si>
    <t>Kinh phí thực hiện công tác quy hoạch, đo đạc, đăng ký quản lý đất đai,</t>
  </si>
  <si>
    <t>Thực hiện nhiệm vụ chi đo đạc, cấp giấy chứng nhận, quản lý đất đai …</t>
  </si>
  <si>
    <t>Bao gồm giao tăng thu; thực hiện theo tiến độ nguồn thu</t>
  </si>
  <si>
    <t>Đơn vị bàn giao: UBND huyện Đăk Tô (trước sắp xếp)</t>
  </si>
  <si>
    <t>Đề xuất chủ đầu tư mới sau sắp xếp</t>
  </si>
  <si>
    <t>Lũy kế vốn đã giao từ năm 2021-2024</t>
  </si>
  <si>
    <t>Ngân sách trung ương</t>
  </si>
  <si>
    <t>NHIỆM VỤ/DỰ ÁN CHUYỂN VỀ CẤP TỈNH</t>
  </si>
  <si>
    <t>Chi Đo đạc, quản lý đất đai…</t>
  </si>
  <si>
    <t>Phòng Tài nguyên và Môi trường</t>
  </si>
  <si>
    <t>Bổ sung vốn ủy thác qua Ngân hàng Chính sách xã hội để cho vay các đối tượng theo các chương trình, đề án được cấp có thẩm quyền quyết định</t>
  </si>
  <si>
    <t>Xã Đăk Tô</t>
  </si>
  <si>
    <t>Xã Ngọk Tụ</t>
  </si>
  <si>
    <t>Trụ sở làm việc Đảng ủy, HĐND-UBND xã Đăk Rơ Nga; Hạng mục: Sửa chữa nhà làm việc và các hạng mục phụ trợ</t>
  </si>
  <si>
    <t>Ban quản lý đầu tư xây dựng huyện Đăk Tô</t>
  </si>
  <si>
    <t>UBND Xã Ngọk Tụ</t>
  </si>
  <si>
    <t>xã Đăk Rơ Nga</t>
  </si>
  <si>
    <t>xã Ngọk Tụ</t>
  </si>
  <si>
    <t>QLNN</t>
  </si>
  <si>
    <t>2021-2021</t>
  </si>
  <si>
    <t>444-03/12/2020</t>
  </si>
  <si>
    <t>482-11/12/2020</t>
  </si>
  <si>
    <t>287-07/7/2022</t>
  </si>
  <si>
    <t>Trụ sở Đảng uỷ, HĐND-UBND xã Ngọc Tụ; Hạng mục: Sửa chữa nhà làm việc và các hạng mục phụ trợ</t>
  </si>
  <si>
    <t>446-03/12/2020</t>
  </si>
  <si>
    <t>484-11/12/2020</t>
  </si>
  <si>
    <t>285-07/7/2022</t>
  </si>
  <si>
    <t>Trường THCS Ngọc Tụ; Hạng mục: Nhà học bộ môn 03 phòng các hạng mục phụ trợ</t>
  </si>
  <si>
    <t>UBND xã Ngọk Tụ</t>
  </si>
  <si>
    <t>401- 09/08/2022</t>
  </si>
  <si>
    <t>703-07/12/2023</t>
  </si>
  <si>
    <t>318- 09/06/2025</t>
  </si>
  <si>
    <t>Đường đi khu sản xuất thôn Đăk Dé, xã Đăk Rơ Nga; Hạng mục: Cống tràn và đường hai đầu cống</t>
  </si>
  <si>
    <t>UBND xã Đăk Rơ Nga</t>
  </si>
  <si>
    <t>2022-2022</t>
  </si>
  <si>
    <t>361-25/7/2022</t>
  </si>
  <si>
    <t>548-20/9/2022</t>
  </si>
  <si>
    <t>Nhà làm việc Ban chỉ huy quân sự xã Đăk Rơ Nga</t>
  </si>
  <si>
    <t>2023-2023</t>
  </si>
  <si>
    <t>401-28/8/2023</t>
  </si>
  <si>
    <t>503-17/10/2023</t>
  </si>
  <si>
    <t>Dự án thực hiện CBĐT (chưa bố trí vốn thực hiện)</t>
  </si>
  <si>
    <t>Quy hoạch chung xây dựng xã Ngọk Tụ, huyện Đăk Tô, tỉnh Kon Tum đến năm 2040</t>
  </si>
  <si>
    <t>UBND xã Ngọk Tụ</t>
  </si>
  <si>
    <t>Quy hoạch</t>
  </si>
  <si>
    <t>Quy hoạch chung xây dựng xã Đăk Rơ Nga, huyện Đăk Tô, tỉnh Kon Tum đến năm 2040</t>
  </si>
  <si>
    <t>UBND xã Đăk Rơ Nga</t>
  </si>
  <si>
    <t>Xã Đăk Rơ Nga</t>
  </si>
  <si>
    <t>Trụ sở làm việc HĐND - UBND huyện Đăk Tô; Hạng mục: Sửa chữa nhà làm việc 03 tầng và các hạng mục phụ trợ</t>
  </si>
  <si>
    <t xml:space="preserve">UBND Xã Đăk Tô </t>
  </si>
  <si>
    <t>Thị trấn Đăk Tô</t>
  </si>
  <si>
    <t xml:space="preserve">Xã Đăk Tô </t>
  </si>
  <si>
    <t>445-03/12/2020</t>
  </si>
  <si>
    <t>483-11/12/2020</t>
  </si>
  <si>
    <t>284- 5/7/2022</t>
  </si>
  <si>
    <t>Sửa chữa, nâng cấp trụ sở Phòng Tài chính- Kế hoạch huyện Đăk Tô</t>
  </si>
  <si>
    <t>447-03/12/2020</t>
  </si>
  <si>
    <t>485-11/12/2020</t>
  </si>
  <si>
    <t>650- 17/12/2021</t>
  </si>
  <si>
    <t>Trụ sở làm việc Trung tâm chính trị huyện Đăk Tô; Hạng mục: Cải tạo nhà nghỉ học viên và Hội trường B</t>
  </si>
  <si>
    <t>448-03/12/2020</t>
  </si>
  <si>
    <t>486-11/12/2020</t>
  </si>
  <si>
    <t>123- 22/03/2022</t>
  </si>
  <si>
    <t>Trụ sở làm việc Huyện ủy Đăk Tô; Hạng mục: Cải tạo sân vườn và các hạng mục phụ trợ</t>
  </si>
  <si>
    <t>449-03/12/2020</t>
  </si>
  <si>
    <t>487-11/12/2020</t>
  </si>
  <si>
    <t>286- 05/07/2022</t>
  </si>
  <si>
    <t>Đường Nguyễn Văn Trỗi (đoạn từ đường Hùng Vương đến đường Phạm Văn Đồng), thị trấn Đăk Tô, huyện Đăk Tô</t>
  </si>
  <si>
    <t>7872008</t>
  </si>
  <si>
    <t>NQ 136 - 17/7/2020</t>
  </si>
  <si>
    <t>415-27/11/2020</t>
  </si>
  <si>
    <t>Đang tạm dừng thực hiện, hết thời gian bố trí vốn</t>
  </si>
  <si>
    <t>Đường Phạm Ngọc Thạch (đoạn từ đường Hùng Vương đến đường Phạm Văn Đồng)</t>
  </si>
  <si>
    <t>7925881</t>
  </si>
  <si>
    <t>NQ 216- 30/7/2021</t>
  </si>
  <si>
    <t>708-31/12/2021; 203-29/4/2025</t>
  </si>
  <si>
    <t>Đang thực hiện</t>
  </si>
  <si>
    <t>Đường Lê Hữu Trác (đoạn từ đường Võ Thị Sáu đến đường Nguyễn Thị Minh Khai)</t>
  </si>
  <si>
    <t>7925879</t>
  </si>
  <si>
    <t>465 27/9/2021; 189-24/4/2025</t>
  </si>
  <si>
    <t>72-24/01/2022; 192-25/4/2025</t>
  </si>
  <si>
    <t>Đường Âu Cơ (đoạn từ đường Nguyễn Văn Trỗi đến đường Nguyễn Thị Minh Khai), thị trấn Đăk Tô, huyện Đăk Tô</t>
  </si>
  <si>
    <t>NQ 161-24/11/2020</t>
  </si>
  <si>
    <t>624-09/12/2021</t>
  </si>
  <si>
    <t>Đã hoàn thành, chưa quyết toán</t>
  </si>
  <si>
    <t>Trụ sở Đảng uỷ, HĐND - UBND xã Tân Cảnh; Hạng mục: Sửa chữa nhà làm việc, hội trường và các hạng mục phụ trợ</t>
  </si>
  <si>
    <t>Xã Tân Cảnh</t>
  </si>
  <si>
    <t>8119329</t>
  </si>
  <si>
    <t>2025-2025</t>
  </si>
  <si>
    <t>686- 11/12/2024</t>
  </si>
  <si>
    <t>Dự án tạm dừng</t>
  </si>
  <si>
    <t>Đường Huỳnh Thúc Kháng (đoạn từ đường Nguyễn Trãi đến đường Hồ Xuân Hương)</t>
  </si>
  <si>
    <t>7925883</t>
  </si>
  <si>
    <t>709- 31/12/2021</t>
  </si>
  <si>
    <t>Khuôn viên tượng đài Chiến thắng Đăk Tô - Tân Cảnh; Hạng mục: Xây dựng mới nhà rông văn hóa, sửa chữa tượng đài và các hạng mục phụ trợ</t>
  </si>
  <si>
    <t>7908812</t>
  </si>
  <si>
    <t>264- 26/05/2021</t>
  </si>
  <si>
    <t>336- 01/7/2021</t>
  </si>
  <si>
    <t>1098-31/12/2022</t>
  </si>
  <si>
    <t>Trường tiểu học Lê Quý Đôn; Hạng mục: Phòng học 08 phòng và các hạng mục phụ trợ</t>
  </si>
  <si>
    <t>8066029</t>
  </si>
  <si>
    <t>704-07/12/2023</t>
  </si>
  <si>
    <t>32- 09/06/2025</t>
  </si>
  <si>
    <t>Trường Trung học cơ sở Lương Thế Vinh; Hạng mục: Nhà hiệu bộ và hạng mục phụ trợ</t>
  </si>
  <si>
    <t>8121138</t>
  </si>
  <si>
    <t>690-12/12/2024</t>
  </si>
  <si>
    <t>Hệ thống chiếu sáng điện công lộ đường Âu cơ, Nguyễn Trãi; Nguyễn văn Trỗi; Đường Lê Duẩn (đoạn từ cầu sập đến tạp hóa cô Dung); Đường vào Trung tâm y tế huyện</t>
  </si>
  <si>
    <t>7925880</t>
  </si>
  <si>
    <t>459- 21/9/2021</t>
  </si>
  <si>
    <t>632- 09/12/2021</t>
  </si>
  <si>
    <t>115- 03/04/2023</t>
  </si>
  <si>
    <t>Trụ sở làm việc khối Mặt trận và các đoàn thể huyện Đăk Tô; Hạng mục: Hội trường và các hạng mục phụ trợ</t>
  </si>
  <si>
    <t>7983397</t>
  </si>
  <si>
    <t>378-27/7/2022</t>
  </si>
  <si>
    <t>946-12/12/2022</t>
  </si>
  <si>
    <t>269- 12/06/2024</t>
  </si>
  <si>
    <t>Trường Trung học cơ sở Nguyễn Du, xã Diên Bình; Hạng mục: Nhà học bộ môn 05 phòng, nhà chức năng và các hạng mục phụ trợ</t>
  </si>
  <si>
    <t>Xã Diên Bình</t>
  </si>
  <si>
    <t>7934719</t>
  </si>
  <si>
    <t>583- 26/11/2021</t>
  </si>
  <si>
    <t>620-09/12/2021</t>
  </si>
  <si>
    <t>1099- 31/12/2022</t>
  </si>
  <si>
    <t>Trường Mầm non Vành Khuyên, điểm trường trung tâm, thôn 2, xã Tân Cảnh; Hạng mục: Nhà chức năng 05 phòng; nhà vệ sinh và sân, đường nội bộ</t>
  </si>
  <si>
    <t>584- 26/11/2021</t>
  </si>
  <si>
    <t>621-09/12/2021</t>
  </si>
  <si>
    <t>1100- 31/12/2022</t>
  </si>
  <si>
    <t>Trường mầm non Pô Kô, điểm trường trung tâm thôn Kon Tu Peng, xã Pô Kô</t>
  </si>
  <si>
    <t>xã Pô Kô</t>
  </si>
  <si>
    <t>7897876</t>
  </si>
  <si>
    <t>450-02/12/2020</t>
  </si>
  <si>
    <t>488-11/12/2020</t>
  </si>
  <si>
    <t>644-17/12/2021</t>
  </si>
  <si>
    <t>Hạ tầng kỹ thuật Cụm công nghiệp phía Tây thị trấn Đăk Tô</t>
  </si>
  <si>
    <t>UBND xã Đăk Tô</t>
  </si>
  <si>
    <t>7918097</t>
  </si>
  <si>
    <t>NQ 160 23/11/2020</t>
  </si>
  <si>
    <t>383-22/7/2021</t>
  </si>
  <si>
    <t>Đường Nguyễn Thị Minh Khai (đoạn từ đường Hùng Vương đến  đường Phạm Văn Đồng) giai đoạn 1</t>
  </si>
  <si>
    <t>7925882</t>
  </si>
  <si>
    <t>NQ 16  30/7/2021; 147-08/4/2025</t>
  </si>
  <si>
    <t>622-09/12/2021 195-25/4/2025</t>
  </si>
  <si>
    <t>Hỗ trợ mua sắm máy móc, thiết bị phục vụ cho hoạt động sản xuất kinh doanh cho các Hợp tác xã trên địa bàn huyện</t>
  </si>
  <si>
    <t>764-23/12/2023</t>
  </si>
  <si>
    <t>334-02/7/2024</t>
  </si>
  <si>
    <t>Chợ xã Diên Bình, huyện Đăk Tô</t>
  </si>
  <si>
    <t>8066044</t>
  </si>
  <si>
    <t>405-10/8/2022</t>
  </si>
  <si>
    <t>719- 13/12/2023</t>
  </si>
  <si>
    <t>Chợ xã Tân Cảnh, huyện Đăk Tô</t>
  </si>
  <si>
    <t>8000922</t>
  </si>
  <si>
    <t>394-09/8/2022</t>
  </si>
  <si>
    <t>942- 12/12/2022</t>
  </si>
  <si>
    <t>268- 12/06/2024</t>
  </si>
  <si>
    <t xml:space="preserve">Tôn tạo, tu bổ, phục hồi Di tích lịch sử Khu chứng tích Kon H'ring </t>
  </si>
  <si>
    <t>179-22/4/2025</t>
  </si>
  <si>
    <t>Trường tiểu học Nguyễn Bỉnh Khiêm; Hạng mục: Nhà học 6 phòng và các hạng mục phụ trợ</t>
  </si>
  <si>
    <t>398-09/8/2022</t>
  </si>
  <si>
    <t>493-13/10/2023</t>
  </si>
  <si>
    <t>588- 28/10/2024</t>
  </si>
  <si>
    <t>Trường tiểu học Lê Văn Tám, điểm trường thôn Đăk Kang Peng 1, xã Diên Bình</t>
  </si>
  <si>
    <t>945-12/12/2022</t>
  </si>
  <si>
    <t>Kè chống sạt lở sông Đăk Tờ Kan (đoạn cầu 42) huyện Đăk Tô</t>
  </si>
  <si>
    <t xml:space="preserve">UBND huyện </t>
  </si>
  <si>
    <t>Thủy lợi</t>
  </si>
  <si>
    <t>2023-2026</t>
  </si>
  <si>
    <t>262-25/5/2023</t>
  </si>
  <si>
    <t>Dự án tỉnh quản lý</t>
  </si>
  <si>
    <t>Nâng cấp đường vào Cụm công nghiệp phía Tây thị trấn Đăk Tô</t>
  </si>
  <si>
    <t>8103650</t>
  </si>
  <si>
    <t>371- 17/7/2024</t>
  </si>
  <si>
    <t>510- 19/09/2024</t>
  </si>
  <si>
    <t>Trụ sở Đảng uỷ-HĐND-UBND -UBMTTQ Việt Nam xã Pô Kô; Hạng mục: Nhà làm việc và hạng mục phụ trợ</t>
  </si>
  <si>
    <t>8119328</t>
  </si>
  <si>
    <t>667- 10/12/2024</t>
  </si>
  <si>
    <t>Đường Nguyễn Thị Minh Khai (đoạn từ đường Trần Phú đến đường Hùng Vương); Hạng mục:  Mặt đường và hệ thống thoát nước.</t>
  </si>
  <si>
    <t>8052610</t>
  </si>
  <si>
    <t>364-16/8/2023</t>
  </si>
  <si>
    <t>502-16/10/2023</t>
  </si>
  <si>
    <t>Đường Trần Hưng Đạo (đoạn Nguyễn Văn Cừ đến Huỳnh Thúc Kháng), thị trấn Đăk Tô</t>
  </si>
  <si>
    <t>334-27/10/2020</t>
  </si>
  <si>
    <t>543-29/12/2020</t>
  </si>
  <si>
    <t>1101- 31/12/2022</t>
  </si>
  <si>
    <t>Hạ tầng khu quy hoạch xây dựng Nhà văn hóa trung tâm và sửa chữa Quảng trường huyện</t>
  </si>
  <si>
    <t>40-03/02/2021</t>
  </si>
  <si>
    <t>206-07/5/2021</t>
  </si>
  <si>
    <t>366- 25/07/2022</t>
  </si>
  <si>
    <t>Đường và hệ thống điện vào Cụm công nghiệp phía tây thị trấn Đăk Tô; Hạng mục: Nền, mặt đường, công trình thoát nước và đường dây trung áp 22KV</t>
  </si>
  <si>
    <t>293-20/8/2020</t>
  </si>
  <si>
    <t>414-27/11/2020</t>
  </si>
  <si>
    <t>1094- 31/12/2022</t>
  </si>
  <si>
    <t>Trụ sở Phòng Giáo dục và Đào tạo huyện; Hạng mục: Sửa chữa nhà làm việc và các hạng mục phụ trợ</t>
  </si>
  <si>
    <t>350- 25/07/2022</t>
  </si>
  <si>
    <t>553-20/9/2022</t>
  </si>
  <si>
    <t>195- 07/06/2023</t>
  </si>
  <si>
    <t>Điểm trưng bày, giới thiệu sản phẩm OCOP và sản phẩm đặc trưng huyện Đăk Tô</t>
  </si>
  <si>
    <t>357-25/7/2022</t>
  </si>
  <si>
    <t>551-20/9/2022</t>
  </si>
  <si>
    <t>Trụ sở Trung tâm Giáo dục Nghề nghiệp - Giáo dục thường xuyên huyện Đăk Tô; Hạng mục: Sửa chữa Hội trường và tường rào</t>
  </si>
  <si>
    <t>Trung tâm GDNN - GDTT</t>
  </si>
  <si>
    <t>352-25/7/2022</t>
  </si>
  <si>
    <t>554-20/9/2022</t>
  </si>
  <si>
    <t>Trụ sở Trung tâm Văn hóa – Thể thao – Du lịch và Truyền thông huyện Đăk Tô; Hạng mục: Xây dựng mới nhà để xe kết hợp nhà kho, kè chắn đất</t>
  </si>
  <si>
    <t>Trung tâm VH-TT-DL và TT</t>
  </si>
  <si>
    <t>355-25/7/2022</t>
  </si>
  <si>
    <t>497-31/8/2022</t>
  </si>
  <si>
    <t>Trụ sở Trung tâm dịch vụ nông nghiệp huyện Đăk Tô; Hạng mục: Tường rào</t>
  </si>
  <si>
    <t xml:space="preserve">Trung tâm dịch vụ nông nghiệp huyện </t>
  </si>
  <si>
    <t>359-25/7/2022</t>
  </si>
  <si>
    <t>580-28/9/2022</t>
  </si>
  <si>
    <t>Trụ sở Đảng uỷ -HĐND -UBND -UBMTTQ Việt Nam thị trấn Đăk Tô; Hạng mục: Nhà làm việc Bộ phận Một cửa</t>
  </si>
  <si>
    <t>351-25/7/2022</t>
  </si>
  <si>
    <t>496-31/8/2022</t>
  </si>
  <si>
    <t>194- 07/06/2023</t>
  </si>
  <si>
    <t>Hệ thống điện chiếu sáng, điện hoa khu vực Khuôn viên tượng đài chiến thắng Đăk Tô - Tân Cảnh và Quảng trường 24-4, huyện Đăk Tô</t>
  </si>
  <si>
    <t>364-25/7/2022</t>
  </si>
  <si>
    <t>648-06/10/2022</t>
  </si>
  <si>
    <t>196- 7/6/2023</t>
  </si>
  <si>
    <t>Trụ sở Đảng uỷ-HĐND-UBND-UBMTTQ Việt Nam xã Diên Bình; Hạng mục: Sửa chữa nhà làm việc Bộ phận Một cửa, sân bê tông và trang thiết bị</t>
  </si>
  <si>
    <t>UBND xã Diên Bình</t>
  </si>
  <si>
    <t>354-25/7/2022</t>
  </si>
  <si>
    <t>573-27/9/2022</t>
  </si>
  <si>
    <t>774-29/12/2023</t>
  </si>
  <si>
    <t>Trụ sở Đảng uỷ -HĐND -UBND xã Pô Kô; Hạng mục: Sửa chữa nhà làm việc</t>
  </si>
  <si>
    <t>UBND xã Pô Kô</t>
  </si>
  <si>
    <t xml:space="preserve"> xã Pô Kô</t>
  </si>
  <si>
    <t>353-25/7/2022</t>
  </si>
  <si>
    <t>636-04/10/2022</t>
  </si>
  <si>
    <t>600-02/12/2023</t>
  </si>
  <si>
    <t>Hội trường chung huyện Đăk Tô; Hạng mục: Hệ thống điện 3 pha, bổ sung thiết bị chiếu sáng, sửa chữa hệ thống điều hòa</t>
  </si>
  <si>
    <t>Văn phòng HĐND-UBND huyện</t>
  </si>
  <si>
    <t>363-25/7/2022</t>
  </si>
  <si>
    <t>644-05/10/2022</t>
  </si>
  <si>
    <t>200-07/6/2023</t>
  </si>
  <si>
    <t>Nhà làm việc Bộ phận Tiếp nhận và Trả kết quả giải quyết thủ tục hành chính huyện Đăk Tô; Hạng mục: Sửa chửa nhà làm việc và trang thiết bị</t>
  </si>
  <si>
    <t>356-25/7/2022</t>
  </si>
  <si>
    <t>649-06/10/2022</t>
  </si>
  <si>
    <t>201-07/6/2023</t>
  </si>
  <si>
    <t>Đầu tư cơ sở hạ tầng sắp xếp, bố trí dân cư trên diện tích 6,3ha của Công ty TNHH MTV cao su Kon Tum tại thôn Đăk Ri Peng 2, xã Tân Cảnh</t>
  </si>
  <si>
    <t>499-27/12/2020</t>
  </si>
  <si>
    <t>214-07/5/2021</t>
  </si>
  <si>
    <t>776-29/12/2023</t>
  </si>
  <si>
    <t>Hội trường chung huyện Đăk Tô; Hạng mục: Sân đường nội bộ và các hạng mục phụ trợ.</t>
  </si>
  <si>
    <t>367-16/8/2023</t>
  </si>
  <si>
    <t xml:space="preserve">456-  26/9/2023 </t>
  </si>
  <si>
    <t>267- 12/06/2024</t>
  </si>
  <si>
    <t>Trụ sở HĐND - UBND huyện Đăk Tô; Hạng mục: Sửa chữa nhà làm việc 02 tầng và các hạng mục phụ trợ</t>
  </si>
  <si>
    <t>391-24/8/2023</t>
  </si>
  <si>
    <t>494-13/10/2023</t>
  </si>
  <si>
    <t>271- 12/06/2024</t>
  </si>
  <si>
    <t>Xây dựng thiết lập Trang thông tin điện tử các xã, thị trấn thuộc huyện Đăk Tô</t>
  </si>
  <si>
    <t>Công nghệ thông tin</t>
  </si>
  <si>
    <t>420-12/9/2023</t>
  </si>
  <si>
    <t>516-23/10/2023</t>
  </si>
  <si>
    <t>276- 12/06/2024</t>
  </si>
  <si>
    <t>Hệ thống điện chiếu sáng công lộ đường Lê Duẫn (đoạn cầu Kon Cheo đến cầu 10T).</t>
  </si>
  <si>
    <t>2024-2024</t>
  </si>
  <si>
    <t>395-23/7/2024</t>
  </si>
  <si>
    <t>530-26/9/2024</t>
  </si>
  <si>
    <t>Nhà văn hóa đa năng xã Tân Cảnh; Hạng mục: Nhà văn hóa và các hạng mục phụ trợ</t>
  </si>
  <si>
    <t>507-18/9/2024</t>
  </si>
  <si>
    <t>556- 16/10/2024</t>
  </si>
  <si>
    <t>Đã hoàn thành, chưa quyết toán, có nhu cầu bố trí trả nợ quyết toán</t>
  </si>
  <si>
    <t>Cắm mốc giới Đồ án quy hoạch chi tiết (tỷ lệ 1/500) khu vực phía Bắc đường Trường Chinh, khối 9, thị trấn Đăk Tô, huyện Đăk Tô, tỉnh Kon Tum</t>
  </si>
  <si>
    <t>439-09/8/2024</t>
  </si>
  <si>
    <t>Đường Tôn Đức Thắng (đoạn từ đường Hùng Vương đến đường Âu Cơ), thị trấn Đăk Tô, huyện Đăk Tô</t>
  </si>
  <si>
    <t>NQ 162-24/11/2020</t>
  </si>
  <si>
    <t>Đường Lạc Long Quân (đoạn từ đường Võ Thị Sáu đến đường Nguyễn Thị Minh Khai)</t>
  </si>
  <si>
    <t>469-28/9/2021</t>
  </si>
  <si>
    <t>Đầu tư xây dựng công viên khối 9 thị trấn Đăk Tô, huyện Đăk Tô</t>
  </si>
  <si>
    <t>395-091/8/2022</t>
  </si>
  <si>
    <t>Nhà văn hóa đa năng huyện Đăk Tô</t>
  </si>
  <si>
    <t>NQ 08-18/7/2022</t>
  </si>
  <si>
    <t>Trường tiểu học Nguyễn Khuyến (điểm thôn 3 Diên Bình và Điểm trung tâm)</t>
  </si>
  <si>
    <t>Quy hoạch chung xây dựng xã Diên Bình, huyện Đăk Tô, tỉnh Kon Tum đến năm 2040</t>
  </si>
  <si>
    <t>Xã Diên Binh</t>
  </si>
  <si>
    <t>Quy hoạch chung xây dựng xã Pô Kô, huyện Đăk Tô, tỉnh Kon Tum đến năm 2040</t>
  </si>
  <si>
    <t>Quy hoạch chung xây dựng xã Tân Cảnh, huyện Đăk Tô, tỉnh Kon Tum đến năm 2040</t>
  </si>
  <si>
    <t>Xã Kon Đào</t>
  </si>
  <si>
    <t>Trường Tiều học - Trung học cơ sở xã Văn Lem; Hạng mục: Nhà hiệu bộ và các hạng mục phụ trợ</t>
  </si>
  <si>
    <t>UBND Xã Kon Đào</t>
  </si>
  <si>
    <t>Xã Văn Lem</t>
  </si>
  <si>
    <t>389- 09/08/2022</t>
  </si>
  <si>
    <t>944-12/12/2022</t>
  </si>
  <si>
    <t>273- 12/06/2024</t>
  </si>
  <si>
    <t>Trường Tiểu học Đăk Trăm; Hạng mục: Nhà vệ sinh và cổng tường rào</t>
  </si>
  <si>
    <t>Xã Đăk Trăm</t>
  </si>
  <si>
    <t>451-03/12/2020</t>
  </si>
  <si>
    <t>489-11/12/2020</t>
  </si>
  <si>
    <t>648-17/12/2021</t>
  </si>
  <si>
    <t>Trường Mần non Hoa Phượng, xã Kon Đào (điểm trường trung tâm)</t>
  </si>
  <si>
    <t>8000898</t>
  </si>
  <si>
    <t>628- 03/10/2022</t>
  </si>
  <si>
    <t>947-12/12/2022</t>
  </si>
  <si>
    <t>590- 28/10/2024</t>
  </si>
  <si>
    <t>Trường trung học cơ sở Nguyễn Trãi, xã Kon Đào; Hạng mục: Nhà hiệu bộ và các hạng mục khác</t>
  </si>
  <si>
    <t>381-05/11/2020</t>
  </si>
  <si>
    <t>490-11/12/2020</t>
  </si>
  <si>
    <t>646-17/12/2021</t>
  </si>
  <si>
    <t>Trường tiểu học Đăk Trăm; Hạng mục: Nhà hiệu bộ và các hạng mục phụ trợ</t>
  </si>
  <si>
    <t>388-09/8/2022</t>
  </si>
  <si>
    <t>943-12/12/2022</t>
  </si>
  <si>
    <t>247-12/6/2024</t>
  </si>
  <si>
    <t>Đầu tư cơ sở hạ tầng khu du lịch thác Đăk Sing</t>
  </si>
  <si>
    <t>UBND xã Kon Đào</t>
  </si>
  <si>
    <t>Du lịch</t>
  </si>
  <si>
    <t>941-12/12/2022</t>
  </si>
  <si>
    <t>Nâng cấp, mở rộng đường ĐH.51 (đường liên xã Kon Đào - Văn Lem)</t>
  </si>
  <si>
    <t>2025-2029</t>
  </si>
  <si>
    <t>36-27/01/2023</t>
  </si>
  <si>
    <t>Trụ sở Đảng uỷ - HĐND - UBND - UBMTTQ Việt Nam xã Kon Đào; Hạng mục: Nhà làm việc Bộ phận Tiếp nhận và Trả kết quả giải quyết thủ tục hành chính, các hạng mục phụ trợ</t>
  </si>
  <si>
    <t>543- 09/10/2024</t>
  </si>
  <si>
    <t>321-09/6/2025</t>
  </si>
  <si>
    <t>Trụ sở Đảng uỷ -HĐND-UBND-UBMTTQ Việt Nam xã Văn Lem; Hạng mục: Cải tạo, sửa chữa sân đường nội bộ và các hạng mục phụ trợ</t>
  </si>
  <si>
    <t>370-17/7/2024</t>
  </si>
  <si>
    <t>544-17/7/2024</t>
  </si>
  <si>
    <t>Trụ sở Đảng uỷ - HĐND - UBND -UBMTTQ Việt Nam xã Đăk Trăm; Hạng mục: Nhà làm việc Bộ phận tiếp nhận và trả kết quả giải quyết thủ tục hành chính</t>
  </si>
  <si>
    <t>469-29/9/2023</t>
  </si>
  <si>
    <t>275-12/6/2024</t>
  </si>
  <si>
    <t>Trụ sở Đảng uỷ - HĐND - UBND -UBMTTQ Việt Nam xã Kon Đào; Hạng mục: Cải tạo, sửa chữa Hội trường, mua sắm trang thiết bị và hạng mục phụ trợ</t>
  </si>
  <si>
    <t xml:space="preserve">455- 26/9/2023 </t>
  </si>
  <si>
    <t>272-12/6/2024</t>
  </si>
  <si>
    <t>Trụ sở Đảng uỷ - HĐND-UBND-UBMTTQ Việt Nam xã Văn Lem; Hạng mục: Nhà làm việc và nhà vệ sinh</t>
  </si>
  <si>
    <t>UBND xã Văn Lem</t>
  </si>
  <si>
    <t>360-25/7/2022</t>
  </si>
  <si>
    <t>550-20/9/2022</t>
  </si>
  <si>
    <t>Trụ sở Đảng uỷ - HĐND-UBND-UBMTTQ Việt Nam xã Đăk Trăm; Hạng mục: Nhà làm việc</t>
  </si>
  <si>
    <t>UBND xã Đăk Trăm</t>
  </si>
  <si>
    <t>xã Đăk Trăm</t>
  </si>
  <si>
    <t>358-25/7/2022</t>
  </si>
  <si>
    <t>574-27/9/2022</t>
  </si>
  <si>
    <t>Trường Mầm non Hoa Phượng, xã Kon Đào (Điểm trường trung tâm); Hạng mục: Đường vào trường, nhà hiệu bộ và các hạng mục phụ trợ</t>
  </si>
  <si>
    <t>481- 5/09/2024</t>
  </si>
  <si>
    <t>546- 11/10/2024</t>
  </si>
  <si>
    <t>Trụ sở làm việc Đảng ủy, HĐND, UBND, UBMTTQVN xã Đăk Trăm; Hạng mục: Sửa chữa nhà làm việc, cổng tường rào và xây kè chắn đất</t>
  </si>
  <si>
    <t>2025-</t>
  </si>
  <si>
    <t>399-09/8/2022</t>
  </si>
  <si>
    <t>Chợ xã Kon Đào, huyện Đăk Tô</t>
  </si>
  <si>
    <t>403-10/8/2022</t>
  </si>
  <si>
    <t>Quy hoạch chung xây dựng xã Kon Đào, huyện Đăk Tô, tỉnh Kon Tum đến năm 2040</t>
  </si>
  <si>
    <t>Quy hoạch chung xây dựng xã Đăk Trăm, huyện Đăk Tô, tỉnh Kon Tum đến năm 2040</t>
  </si>
  <si>
    <t>UBND xã Đăk Trăm</t>
  </si>
  <si>
    <t>Quy hoạch chung xây dựng xã Văn Lem, huyện Đăk Tô, tỉnh Kon Tum đến năm 2040</t>
  </si>
  <si>
    <t>UBND xã Văn Lem</t>
  </si>
  <si>
    <t>xã Văn Lem</t>
  </si>
  <si>
    <t>ĐỐI ỨNG THỰC HIỆN CHƯƠNG TRÌNH MỤC TIÊU QUỐC GIA</t>
  </si>
  <si>
    <t>Các chủ đầu tư</t>
  </si>
  <si>
    <t>Giao chi tiết tại Quyết định riêng của các CTMTQG</t>
  </si>
  <si>
    <t xml:space="preserve">Đã phân bổ chi tiết cho xã trong dự toán đầu năm </t>
  </si>
  <si>
    <t>Kế hoạch chưa phân bổ</t>
  </si>
  <si>
    <t>880-23/8/2019</t>
  </si>
  <si>
    <t>258-08/12/2023</t>
  </si>
  <si>
    <t>Đơn vị bàn giao: UBND thành phố Kon Tum (trước sắp xếp)</t>
  </si>
  <si>
    <t>Đơn vị tính: Triệu đồng</t>
  </si>
  <si>
    <t xml:space="preserve">Địa điểm thực hiện theo quyết định đầu tư </t>
  </si>
  <si>
    <t>Địa điểm thực hiện theo quyết định đầu tư (ghi rõ địa bàn xã cũ nào)</t>
  </si>
  <si>
    <t>Chuyển sang giai đoạn 2026-2030</t>
  </si>
  <si>
    <t>Trong đó  (*)</t>
  </si>
  <si>
    <t xml:space="preserve">Ngân sách trung ương </t>
  </si>
  <si>
    <t>Xã Măng Đen</t>
  </si>
  <si>
    <t>Sửa chữa trụ sở Huyện ủy</t>
  </si>
  <si>
    <t>UBND xã Măng Đen</t>
  </si>
  <si>
    <t>TT Măng Đen</t>
  </si>
  <si>
    <t>NQ 29, 21/12/2020</t>
  </si>
  <si>
    <t>397,  23/3/2021</t>
  </si>
  <si>
    <t>380-19/4/2023</t>
  </si>
  <si>
    <t>Nâng cấp, sửa chữa trụ sở HĐND - UBND xã Đăk Tăng</t>
  </si>
  <si>
    <t>Ban QLDA ĐTXD huyện</t>
  </si>
  <si>
    <t>7790792</t>
  </si>
  <si>
    <t>Xã Đăk Tăng</t>
  </si>
  <si>
    <t>QĐ 2224, 10/10/2019</t>
  </si>
  <si>
    <t>2395, 30/10/2019</t>
  </si>
  <si>
    <t>1737, 22/10/2020</t>
  </si>
  <si>
    <t>Cải tạo, sửa chữa khuôn viên Hội trường trung tâm huyện</t>
  </si>
  <si>
    <t>2388, 30/10/2019</t>
  </si>
  <si>
    <t>1740, 22/10/2020</t>
  </si>
  <si>
    <t>Cải tạo khuôn viên trụ sở huyện ủy</t>
  </si>
  <si>
    <t>7790662</t>
  </si>
  <si>
    <t>2391, 30/10/2019</t>
  </si>
  <si>
    <t>1741, 22/10/2020</t>
  </si>
  <si>
    <t xml:space="preserve">Cải tạo, sửa chữa khuôn viên trụ sở HĐND - UBND huyện </t>
  </si>
  <si>
    <t>7790660</t>
  </si>
  <si>
    <t>2398, 30/10/2019</t>
  </si>
  <si>
    <t>1742, 22/10/2020</t>
  </si>
  <si>
    <t>Nâng cấp đường số 6 KDC phía Bắc</t>
  </si>
  <si>
    <t>QĐ 675, 26/10/2018</t>
  </si>
  <si>
    <t>2405, 30/10/2019</t>
  </si>
  <si>
    <t>1523, 23/12/2021</t>
  </si>
  <si>
    <t>Nâng cấp đường số 11 KDC phía Bắc</t>
  </si>
  <si>
    <t>2409, 30/10/2019</t>
  </si>
  <si>
    <t>1520, 21/12/2021</t>
  </si>
  <si>
    <t>Nâng cấp đường số 7 KDC phía Bắc</t>
  </si>
  <si>
    <t>2406, 30/10/2019</t>
  </si>
  <si>
    <t>1522, 23/12/2021</t>
  </si>
  <si>
    <t>Trường PTDTBT THCS Măng Cành (Điểm trường chính)</t>
  </si>
  <si>
    <t>7900050</t>
  </si>
  <si>
    <t>Xã Măng Cành</t>
  </si>
  <si>
    <t>NQ 21, 21/12/2020</t>
  </si>
  <si>
    <t>165A, 28/01/2021</t>
  </si>
  <si>
    <t>Dự án khai thác quỹ đất phát triển kết cấu hạ tầng xã hội khu vực phía Đông Bắc đô thị Kon Plông</t>
  </si>
  <si>
    <t>NQ 03, 12/4/2018</t>
  </si>
  <si>
    <t>442, 18/7/2018</t>
  </si>
  <si>
    <t>Sửa chữa kè chắn đất, tường rào trụ sở HĐND&amp;UBND</t>
  </si>
  <si>
    <t>1427, 30/11/2021</t>
  </si>
  <si>
    <t>912, 22/8/2022</t>
  </si>
  <si>
    <t>Thủy lợi Măng Tiang thôn Kon Du xã Măng Cành</t>
  </si>
  <si>
    <t>1183, 23/10/2019</t>
  </si>
  <si>
    <t>1291, 14/11/2019</t>
  </si>
  <si>
    <t>104, 26/5/2022</t>
  </si>
  <si>
    <t>Nâng cấp bể chứa nước sạch trung tâm thị trấn Măng Đen</t>
  </si>
  <si>
    <t>Trung tâm Môi trường và Dịch vụ đô thị</t>
  </si>
  <si>
    <t>Cấp thoát nước</t>
  </si>
  <si>
    <t>178A, 29/01/2021</t>
  </si>
  <si>
    <t>1379, 19/11/2021</t>
  </si>
  <si>
    <t xml:space="preserve">Chỉnh trang đô thị (Chỉnh trang cây xanh đô thị) </t>
  </si>
  <si>
    <t>NQ 55, 17/12/2021</t>
  </si>
  <si>
    <t xml:space="preserve"> 1236, 10/11/2022</t>
  </si>
  <si>
    <t>1099, 31/11/2023</t>
  </si>
  <si>
    <t>Trồng cây xanh đô thị</t>
  </si>
  <si>
    <t>QĐ 560, 16/6/2023</t>
  </si>
  <si>
    <t>993, 19/10/2023</t>
  </si>
  <si>
    <t>756, 19/5/2025</t>
  </si>
  <si>
    <t>Đầu tư hệ thống nhà vệ sinh công cộng, thiết bị thu gom rác thải</t>
  </si>
  <si>
    <t>QĐ 559, 16/6/2023</t>
  </si>
  <si>
    <t>1000, 20/10/2023</t>
  </si>
  <si>
    <t>1329, 31/12/2024</t>
  </si>
  <si>
    <t>Sửa chữa hệ thống cấp nước tưới khu rau hoa quả xứ lạnh</t>
  </si>
  <si>
    <t>QĐ 555, 16/6/2023</t>
  </si>
  <si>
    <t>959, 9/10/2023</t>
  </si>
  <si>
    <t>792, 11/10/2024</t>
  </si>
  <si>
    <t>Sửa chữa Trung tâm Giáo dục nghề nghiệp – Giáo dục thường xuyên huyện</t>
  </si>
  <si>
    <t>8039322</t>
  </si>
  <si>
    <t>từ năm 2023</t>
  </si>
  <si>
    <t>QĐ 554, 16/6/2023</t>
  </si>
  <si>
    <t>960, 09/10/2023</t>
  </si>
  <si>
    <t>791, 11/10/2024</t>
  </si>
  <si>
    <t>Hệ thống điện công lộ đường Phạm Văn Đồng</t>
  </si>
  <si>
    <t>7930050</t>
  </si>
  <si>
    <t>NQ 37, 14/11/2022</t>
  </si>
  <si>
    <t>151, 01/3/2023</t>
  </si>
  <si>
    <t>479, 8/7/2024</t>
  </si>
  <si>
    <t>Nút giao thông Km118+250 Quốc lộ 24</t>
  </si>
  <si>
    <t>7930061</t>
  </si>
  <si>
    <t>1286, 8/11/2021</t>
  </si>
  <si>
    <t>402, 13/6/2024</t>
  </si>
  <si>
    <t>867, 27/5/2025</t>
  </si>
  <si>
    <t>Hệ thống điện chiếu sáng công cộng và điện trang trí khu trung tâm huyện</t>
  </si>
  <si>
    <t>8039321</t>
  </si>
  <si>
    <t>QĐ 556, 16/6/2023</t>
  </si>
  <si>
    <t>1094, 27/11/2023</t>
  </si>
  <si>
    <t>909, 3/6/2025</t>
  </si>
  <si>
    <t>Trang thiết bị trực tuyến Hội đồng nhân dân và Ủy ban nhân dân</t>
  </si>
  <si>
    <t>Văn phòng HĐND&amp;UBND huyện</t>
  </si>
  <si>
    <t>QĐ 546, 16/6/2023</t>
  </si>
  <si>
    <t>1131, 07/12/2023</t>
  </si>
  <si>
    <t>910, 25/11/2024</t>
  </si>
  <si>
    <t>Dự án chuẩn bị đầu tư (chưa bố trí vốn thực hiện dự án)</t>
  </si>
  <si>
    <t>Xây dựng trung tâm điều hành, xử lý tập trung đa nhiệm và hạ tầng công nghệ thông tin  phục vụ chuyển đổi số huyện Kon Plông</t>
  </si>
  <si>
    <t xml:space="preserve"> NQ 46
20/12/2022</t>
  </si>
  <si>
    <t>NQ 46,
10/12/2022</t>
  </si>
  <si>
    <t>Trụ sở thị trấn Măng Đen</t>
  </si>
  <si>
    <t>NQ 46, 16/11/2021</t>
  </si>
  <si>
    <t>NQ 46,
16/11/2021</t>
  </si>
  <si>
    <t>Nghĩa trang nhân dân huyện Kon Plông</t>
  </si>
  <si>
    <t>NQ 11, 21/7/2023</t>
  </si>
  <si>
    <t>NQ 11,
21/7/2023</t>
  </si>
  <si>
    <t>Nước sinh hoạt thôn Vi Xây</t>
  </si>
  <si>
    <t>UBND xã Đăk Tăng</t>
  </si>
  <si>
    <t>8041643</t>
  </si>
  <si>
    <t>NQ 22, 19/7/2024</t>
  </si>
  <si>
    <t>1081, 10/12/2024</t>
  </si>
  <si>
    <t>Cầu treo đi khu sản xuất cánh đồng Măng Púi thôn Đăk Pờ Rồ</t>
  </si>
  <si>
    <t>8124333</t>
  </si>
  <si>
    <t>1080, 10/12/2024</t>
  </si>
  <si>
    <t>Cầu treo đi khu sản xuất Nước La thôn Kon Xủh</t>
  </si>
  <si>
    <t>UBND TT Măng Đen</t>
  </si>
  <si>
    <t>8114839</t>
  </si>
  <si>
    <t>976, 29/11/2024</t>
  </si>
  <si>
    <t>Nâng cấp, mở rộng đường GTNT nội thôn Kon Chênh, xã Măng Cành, huyện Kon Plông</t>
  </si>
  <si>
    <t>8114849</t>
  </si>
  <si>
    <t>NQ 23, 21/10/2024</t>
  </si>
  <si>
    <t>497, 16/4/2025</t>
  </si>
  <si>
    <t xml:space="preserve"> NQ 46
16/11/2021</t>
  </si>
  <si>
    <t>NQ11,
21/7/2023</t>
  </si>
  <si>
    <t>Công viên văn hóa Măng Đen</t>
  </si>
  <si>
    <t>NQ46,
16/11/2021</t>
  </si>
  <si>
    <t xml:space="preserve">Nước sinh hoạt thôn Đắk Ne </t>
  </si>
  <si>
    <t>UBND xã Măng Cành</t>
  </si>
  <si>
    <t>8041645</t>
  </si>
  <si>
    <t>1076, 10/12/2024</t>
  </si>
  <si>
    <t>Sửa chữa Trung tâm bồi dưỡng chính trị huyện</t>
  </si>
  <si>
    <t>2021</t>
  </si>
  <si>
    <t>160A, 28/01/2021</t>
  </si>
  <si>
    <t>1644, 31/12/2021</t>
  </si>
  <si>
    <t>Cải tạo khuôn viên Trụ sở Huyện ủy (giai đoạn 2)</t>
  </si>
  <si>
    <t>161A, 28/01/2021</t>
  </si>
  <si>
    <t>1045, 25/11/2021</t>
  </si>
  <si>
    <t>Cải tạo Nhà kho lưu trữ huyện Ủy (02 tầng)</t>
  </si>
  <si>
    <t>162A, 28/01/2021</t>
  </si>
  <si>
    <t>1046, 25/11/2021</t>
  </si>
  <si>
    <t>Hệ thống thoát nước đường Nguyễn Sinh Sắc (đoạn từ đường Phan Chu Trinh đến đường Lê Hồng Phong)</t>
  </si>
  <si>
    <t>177A, 28/01/2021</t>
  </si>
  <si>
    <t>1409, 25/11/2021</t>
  </si>
  <si>
    <t>Sửa chữa trụ sở Huyện ủy (nhà làm việc chính)</t>
  </si>
  <si>
    <t>QĐ 1286, 8/11/2021</t>
  </si>
  <si>
    <t>845, 11/8/2022</t>
  </si>
  <si>
    <t>380, 14/9/2023</t>
  </si>
  <si>
    <t>Nâng cấp, Sửa chữa trụ sở Trung tâm Văn hóa-Thể thao-Du lịch và Truyền thông</t>
  </si>
  <si>
    <t>333, 12/4/2022</t>
  </si>
  <si>
    <t>381, 14/9/2023</t>
  </si>
  <si>
    <t>151,01/3/2023</t>
  </si>
  <si>
    <t>Nút giao thông Km 118 +250 Quốc lộ 24</t>
  </si>
  <si>
    <t>Nút giao thông ngã ba đường Phạm văn Đồng và Võ Nguyên Giáp</t>
  </si>
  <si>
    <t>558, 16/6/2023</t>
  </si>
  <si>
    <t>153, 22/3/2024</t>
  </si>
  <si>
    <t>Đường kết nối đường Phạm Văn Đồng với đường Nguyễn Du</t>
  </si>
  <si>
    <t>QĐ 551, 16/6/2023</t>
  </si>
  <si>
    <t>1064, 05/12/2024</t>
  </si>
  <si>
    <t>Cải tạo, chỉnh trang hồ Đăk Ke</t>
  </si>
  <si>
    <t xml:space="preserve">NQ 15, 19/7/2024 </t>
  </si>
  <si>
    <t>1070, 09/12/2024</t>
  </si>
  <si>
    <t>Đập tạo cảnh quang thác Đăk Ke</t>
  </si>
  <si>
    <t>1549, 24/12/2021</t>
  </si>
  <si>
    <t>504, 01/6/2023</t>
  </si>
  <si>
    <t>Sửa chữa nhà thi đấu thể thao huyện</t>
  </si>
  <si>
    <t>Phòng Văn hóa và Thông tin</t>
  </si>
  <si>
    <t>Thể dục thể thao</t>
  </si>
  <si>
    <t>314, 12/3/2021</t>
  </si>
  <si>
    <t>Sửa chữa, nâng cấp nghĩa trang liệt sỹ huyện</t>
  </si>
  <si>
    <t>Phòng Lao động, thương bình và xã hội</t>
  </si>
  <si>
    <t>Xã hội</t>
  </si>
  <si>
    <t>28, 12/01/2022</t>
  </si>
  <si>
    <t>164, 09/3/2023</t>
  </si>
  <si>
    <t>Hệ thống truyền thanh thông minh</t>
  </si>
  <si>
    <t>Trung tâm Văn hóa, thể thao, du lịch và truyền thông</t>
  </si>
  <si>
    <t>TT Măng Đen, xã Măng Cành, xã Hiếu và xã Pờ Ê</t>
  </si>
  <si>
    <t>541, 15/6/2023</t>
  </si>
  <si>
    <t>Nâng cấp đường số 6 khu dân cư phía Bắc</t>
  </si>
  <si>
    <t>194A, 03/02/2021</t>
  </si>
  <si>
    <t>1523-23/12/2021</t>
  </si>
  <si>
    <t>Nâng cấp đường số 7 khu dân cư phía Bắc</t>
  </si>
  <si>
    <t>195A, 03/02/2021</t>
  </si>
  <si>
    <t>1522-23/12/2021</t>
  </si>
  <si>
    <t>Nâng cấp đường số 11 khu dân cư phía Bắc</t>
  </si>
  <si>
    <t>198A, 04/02/2021</t>
  </si>
  <si>
    <t>1520-21/12/2021</t>
  </si>
  <si>
    <t>Nâng cấp đường số 7 khu TT huyện (hạng mục: Vỉa hè, thoát nước) làm hai bên</t>
  </si>
  <si>
    <t>1621, 29/12/2021</t>
  </si>
  <si>
    <t>1160-28/10/2022</t>
  </si>
  <si>
    <t>Nâng cấp đường số 8 khu TT huyện (hạng mục: Vỉa hè, thoát nước) làm hai bên</t>
  </si>
  <si>
    <t>1620, 29/12/2021</t>
  </si>
  <si>
    <t>1243-14/11/2022</t>
  </si>
  <si>
    <t>Nâng cấp đường số 8 khu dân cư phía Bắc</t>
  </si>
  <si>
    <t>199A, 04/02/2021</t>
  </si>
  <si>
    <t>21, 09/01/2023</t>
  </si>
  <si>
    <t>Nâng cấp đường số 10 khu dân cư phía Bắc</t>
  </si>
  <si>
    <t>201A, 05/02/2021</t>
  </si>
  <si>
    <t>24, 09/01/2023</t>
  </si>
  <si>
    <t>Nâng cấp đường số 13 khu dân cư phía Bắc</t>
  </si>
  <si>
    <t>200A, 05/02/2021</t>
  </si>
  <si>
    <t>22, 09/01/2023</t>
  </si>
  <si>
    <t>Đường số 6 khu dân cư phía Nam</t>
  </si>
  <si>
    <t>1615, 29/12/2021</t>
  </si>
  <si>
    <t>23, 09/01/2023</t>
  </si>
  <si>
    <t>Nhà làm việc khối mặt trận huyện</t>
  </si>
  <si>
    <t>2390A, 30/10/2019</t>
  </si>
  <si>
    <t>384, 19/4/2023</t>
  </si>
  <si>
    <t>Đầu tư cơ sở hạ tầng làng nghề Kon Năng</t>
  </si>
  <si>
    <t>Hạ tầng  kỹ thuật</t>
  </si>
  <si>
    <t>QĐ 636, 01/6/2021</t>
  </si>
  <si>
    <t>1100, 10/9/2021</t>
  </si>
  <si>
    <t>1280, 01/12/2022</t>
  </si>
  <si>
    <t>Cải tạo, chỉnh trang hồ Toong Pô</t>
  </si>
  <si>
    <t>192a, 29/01/2021</t>
  </si>
  <si>
    <t>Sửa chữa, nâng cấp trụ sở làm việc Ban Chỉ huy quân sự huyện Kon Plông</t>
  </si>
  <si>
    <t>QĐ 97, 21/01/2022</t>
  </si>
  <si>
    <t>1022, 19/9/2022</t>
  </si>
  <si>
    <t>974, 12/10/2023</t>
  </si>
  <si>
    <t>Nhà làm việc Ban chỉ huy quân sự xã Măng Cành</t>
  </si>
  <si>
    <t>832, 09/8/2022</t>
  </si>
  <si>
    <t>973, 12/10/2023</t>
  </si>
  <si>
    <t>Hệ thống điện chiếu sáng đường Nguyễn Du</t>
  </si>
  <si>
    <t>QĐ 269, 25/3/2022</t>
  </si>
  <si>
    <t>657, 11/7/2022</t>
  </si>
  <si>
    <t>425, 4/5/2023</t>
  </si>
  <si>
    <t>Lắp đặt các biển quảng cáo du lịch</t>
  </si>
  <si>
    <t>449, 12/5/2022</t>
  </si>
  <si>
    <t>1288, 28/12/2023</t>
  </si>
  <si>
    <t xml:space="preserve">Nâng cấp cụm đường khu Tây huyện Kon Plông </t>
  </si>
  <si>
    <t>36, 14/11/2022</t>
  </si>
  <si>
    <t>1521, 28/12/2022</t>
  </si>
  <si>
    <t>870, 27/5/2025</t>
  </si>
  <si>
    <t>Cải tạo, chỉnh trang khuôn viên trụ sở HĐND&amp;UBND huyện và các hạng mục phụ trợ</t>
  </si>
  <si>
    <t>8031296</t>
  </si>
  <si>
    <t>1385, 13/12/2022</t>
  </si>
  <si>
    <t>1022, 25/10/2023</t>
  </si>
  <si>
    <t>871, 27/5/2025</t>
  </si>
  <si>
    <t>Nâng cấp, mở rộng đường Trần Hưng Đạo</t>
  </si>
  <si>
    <t xml:space="preserve">NQ 48, 20/12/2022 </t>
  </si>
  <si>
    <t>542, 15/6/2023</t>
  </si>
  <si>
    <t>Sửa chữa trụ sở Ủy ban Mặt trận và các ngành đoàn thể</t>
  </si>
  <si>
    <t>8040381</t>
  </si>
  <si>
    <t>QĐ 557, 16/6/2023</t>
  </si>
  <si>
    <t>1021, 25/10/2023</t>
  </si>
  <si>
    <t>1073, 24/6/2025</t>
  </si>
  <si>
    <t>Chỉnh trang Vỉa hè, hệ thống hạ tầng kỹ thuật các tuyến đường khu trung tâm huyện (Hùng Vương, Nguyễn Huệ; Phan Đình Phùng)</t>
  </si>
  <si>
    <t>Từ năm 2025</t>
  </si>
  <si>
    <t>NQ 17, 19/7/2024</t>
  </si>
  <si>
    <t>1065, 05/12/2024</t>
  </si>
  <si>
    <t>Nâng cấp, mở rộng đường Hồ Xuân Hương</t>
  </si>
  <si>
    <t xml:space="preserve"> NQ 18, 19/7/2024</t>
  </si>
  <si>
    <t>1063, 05/12/2024</t>
  </si>
  <si>
    <t>Sửa chữa, cải tạo Hội trường trung tâm huyện và các hạng mục phụ trợ</t>
  </si>
  <si>
    <t>QĐ 782, 14/10/2024</t>
  </si>
  <si>
    <t>1062, 05/12/2024</t>
  </si>
  <si>
    <t>Trường THCS Măng Đen</t>
  </si>
  <si>
    <t>448, 11/5/2022</t>
  </si>
  <si>
    <t>967, 12/10/2023</t>
  </si>
  <si>
    <t>Trường PTDTBT THCS Măng Cành (điểm trường chính)</t>
  </si>
  <si>
    <t>1525, 22/12/2021</t>
  </si>
  <si>
    <t>Trường TH Măng Đen (Điểm trường chính)</t>
  </si>
  <si>
    <t>1169, 31/10/2022</t>
  </si>
  <si>
    <t>1016, 17/6/2025</t>
  </si>
  <si>
    <t>Đầu tư lồng bè và trang thiết bị sản xuất</t>
  </si>
  <si>
    <t>Nông nghiệp và dịch vụ nông nghiệp</t>
  </si>
  <si>
    <t>8110521</t>
  </si>
  <si>
    <t>QĐ 516, 17/7/2024</t>
  </si>
  <si>
    <t>808, 15/10/2024</t>
  </si>
  <si>
    <t>Hỗ trợ đầu tư thiết bị sản xuất rau xứ lạnh Măng Đen</t>
  </si>
  <si>
    <t>8110520</t>
  </si>
  <si>
    <t>Thị trấn Măng Đen</t>
  </si>
  <si>
    <t>QĐ 514, 17/7/2024</t>
  </si>
  <si>
    <t>784, 07/10/2024</t>
  </si>
  <si>
    <t>Chỉnh trang các tuyến đường khu trung tâm huyện khu trung tâm huyện đảm bảo giao thông (Sơn vạch kẻ đường, biển báo giao thông, lát gạch vỉa hè, xử lý nước)</t>
  </si>
  <si>
    <t>7936410</t>
  </si>
  <si>
    <t>NQ 45, 16/11/2021</t>
  </si>
  <si>
    <t>1454, 06/12/2021</t>
  </si>
  <si>
    <t>xã Măng Đen</t>
  </si>
  <si>
    <t>Sửa chữa kè chắn đất, tường rào trụ sở HĐND&amp;UBND huyện</t>
  </si>
  <si>
    <t>7939114</t>
  </si>
  <si>
    <t>909, 03/6/2025</t>
  </si>
  <si>
    <t>Chỉnh trang, sửa chữa khu tháp chuông huyện Kon Plông</t>
  </si>
  <si>
    <t>NQ 27, 21/10/2024</t>
  </si>
  <si>
    <t>1097, 13/12/2024</t>
  </si>
  <si>
    <t>1084, 26/6/2025</t>
  </si>
  <si>
    <t>Sửa  chữa  Trung  tâm  Giáo  dục  nghề  nghiệp  -  Giáo  dục thường xuyên huyện.</t>
  </si>
  <si>
    <t>Sửa chữa hệ thống cấp nước khu rau hoa quả xứ lạnh</t>
  </si>
  <si>
    <t>xã Măng Cành</t>
  </si>
  <si>
    <t>959, 09/10/2023</t>
  </si>
  <si>
    <t>Sửa chữa Trụ sở HĐND-UBND xã Măng Cành (nhà làm việc 2 tầng và nhà bếp ăn)</t>
  </si>
  <si>
    <t>QĐ 669, 15/7/2022</t>
  </si>
  <si>
    <t>889, 18/8/2022</t>
  </si>
  <si>
    <t>382, 19/4/2023</t>
  </si>
  <si>
    <t>Hốt sạt lở đường vào thác Lô Ba</t>
  </si>
  <si>
    <t xml:space="preserve">QĐ 1284A, 05/11/2021 </t>
  </si>
  <si>
    <t>1286A, 08/11/2021</t>
  </si>
  <si>
    <t>Thuỷ lợi nước Briêng thôn Kon Vơng Kia (Đập đầu mối và kênh tưới)</t>
  </si>
  <si>
    <t>Thuỷ lợi</t>
  </si>
  <si>
    <t>986, 08/9/2022</t>
  </si>
  <si>
    <t>Thuỷ lợi nước Mua thôn Kon Pring (Đập đầu mối và kênh tưới)</t>
  </si>
  <si>
    <t>985, 08/9/2022</t>
  </si>
  <si>
    <t>Đường đi khu sản xuất thôn Kon Vơng Kia</t>
  </si>
  <si>
    <t>987, 08/9/2022</t>
  </si>
  <si>
    <t>Xử lý hệ thống thoát nước các tuyến đường trung tâm huyện</t>
  </si>
  <si>
    <t>QĐ 547, 16/6/2023</t>
  </si>
  <si>
    <t>992,  19/10/2023</t>
  </si>
  <si>
    <t>Sửa chữa nhà rông văn hóa thôn Kon Pring</t>
  </si>
  <si>
    <t>QĐ 446, 11/5/2022</t>
  </si>
  <si>
    <t>1563, 31/12/2022</t>
  </si>
  <si>
    <t xml:space="preserve">Nước sinh hoạt thôn Măng Cành </t>
  </si>
  <si>
    <t>1140, 25/10/2022</t>
  </si>
  <si>
    <t>Nước sinh hoạt thôn Măng Pành (nhóm Măng Mô)</t>
  </si>
  <si>
    <t>1141, 25/10/2022</t>
  </si>
  <si>
    <t>Thiết bị</t>
  </si>
  <si>
    <t>8039325</t>
  </si>
  <si>
    <t>Chỉnh trang đô thị (chỉnh trang hệ thống điện, bảng điện tử, trụ đèn Led phục vụ tết nguyên đán)</t>
  </si>
  <si>
    <t>1600, 27/12/2021</t>
  </si>
  <si>
    <t>917, 23/8/2022</t>
  </si>
  <si>
    <t>Cải tạo, nâng cấp hệ thống cấp nước sinh hoạt thị trấn Măng Đen</t>
  </si>
  <si>
    <t>NQ 16, 19/7/2024</t>
  </si>
  <si>
    <t>802, 15/10/2024</t>
  </si>
  <si>
    <t>Trang thiết bị trực tuyến Huyện ủy</t>
  </si>
  <si>
    <t>QĐ 545, 16/6/2023</t>
  </si>
  <si>
    <t>1132, 07/12/2023</t>
  </si>
  <si>
    <t>Nâng cấp Đường GTNT nội thôn Vi Xây (Từ TL 676 đi UBND xã)</t>
  </si>
  <si>
    <t>1145, 25/10/2022</t>
  </si>
  <si>
    <t>Đường đi khu sản xuất thôn Vi Xây</t>
  </si>
  <si>
    <t>1174, 31/10/2022</t>
  </si>
  <si>
    <t xml:space="preserve">Đường đi khu sản xuất dược liệu thôn Vi Ring </t>
  </si>
  <si>
    <t>1251, 15/11/2022</t>
  </si>
  <si>
    <t>Giếng khoan làng Măng Mốc, thôn Đăk Pờ Rồ</t>
  </si>
  <si>
    <t>1144,  25/10/2022</t>
  </si>
  <si>
    <t>Đường đi khu sản xuất thôn Đăk Tăng</t>
  </si>
  <si>
    <t>QĐ 543, 16/6/2023</t>
  </si>
  <si>
    <t>1102,  30/11/2023</t>
  </si>
  <si>
    <t>Quy hoạch chung thị trấn Măng Đen, huyện Kon Plông, tỉnh Kon Tum đến năm 2035</t>
  </si>
  <si>
    <t>54, 12/5/2022</t>
  </si>
  <si>
    <t>Chỉnh trang đô thị (chỉnh trang hệ thống điện, bảng điện tử, trụ đèn Led chào mừng ngày giải phóng miền Nam 30/4 và ngày quốc tế lao động 1/5)</t>
  </si>
  <si>
    <t>Trung tâm môi trường và dịch vụ đô thị</t>
  </si>
  <si>
    <t>233, 14/03/2022</t>
  </si>
  <si>
    <t>Dự án đầu tư các xã, thị trấn</t>
  </si>
  <si>
    <t>Phòng Tài chính - Kế hoạch</t>
  </si>
  <si>
    <t>các xã, thị trấn trên địa bàn huyện</t>
  </si>
  <si>
    <t>1260, 18/11/2022</t>
  </si>
  <si>
    <t>Đường đi khu sản xuất Ri Pluông thôn Kon Chênh</t>
  </si>
  <si>
    <t>Măng Cành</t>
  </si>
  <si>
    <t>669, 15/7/2022</t>
  </si>
  <si>
    <t>Dự án hỗ trợ trồng rừng sản xuất năm 2021 trên địa bàn xã Đăk Tăng</t>
  </si>
  <si>
    <t>Lâm nghiệp</t>
  </si>
  <si>
    <t>QĐ 1221, 18/10/2021</t>
  </si>
  <si>
    <t>1243, 07/10/2021</t>
  </si>
  <si>
    <t>Dự án hỗ trợ trồng rừng sản xuất năm 2021 trên địa bàn xã Măng Cành</t>
  </si>
  <si>
    <t>1257, 01/11/2021</t>
  </si>
  <si>
    <t>Bố trí đối ứng cho các công trình được đầu tư từ nguồn vốn ngân sách Trung ương, ngân sách tỉnh</t>
  </si>
  <si>
    <t>Đường từ trung tâm huyện kết nối đường Đông Trường Sơn</t>
  </si>
  <si>
    <t xml:space="preserve">NQ 31, 9/7/2021 </t>
  </si>
  <si>
    <t>485, 24/8/2022</t>
  </si>
  <si>
    <t>Xã Kon Plông</t>
  </si>
  <si>
    <t>Nâng cấp, mở rộng trụ sở HĐND - UBND xã Ngọc Tem</t>
  </si>
  <si>
    <t>UBND xã Kon Plông</t>
  </si>
  <si>
    <t>7742921</t>
  </si>
  <si>
    <t>Xã Ngọk Tem</t>
  </si>
  <si>
    <t>2387, 30/10/2019</t>
  </si>
  <si>
    <t>1963, 17/11/2020</t>
  </si>
  <si>
    <t>Nâng cấp, mở rộng trụ sở HĐND - UBND xã Pờ Ê</t>
  </si>
  <si>
    <t>7742920</t>
  </si>
  <si>
    <t>Xã Pờ Ê</t>
  </si>
  <si>
    <t>2385, 30/10/2019</t>
  </si>
  <si>
    <t>1964, 17/11/2020</t>
  </si>
  <si>
    <t xml:space="preserve">Đường GTNT thôn Điek Nót đi thôn Điek Cua (đoạn 6), xã Ngọk Tem, huyện Kon Plông </t>
  </si>
  <si>
    <t>1287, 14/11/2019</t>
  </si>
  <si>
    <t>Trường PTDTBT THCS Pờ Ê (Trường THCS Pờ Ê)</t>
  </si>
  <si>
    <t>7930056</t>
  </si>
  <si>
    <t>844, 11/08/2022</t>
  </si>
  <si>
    <t>352, 27/5/2024</t>
  </si>
  <si>
    <t>Trường mầm non Ngọc Tem (điểm trường chính)</t>
  </si>
  <si>
    <t>7991734</t>
  </si>
  <si>
    <t>QĐ 599, 28/6/2022</t>
  </si>
  <si>
    <t>150, 01/3/2023</t>
  </si>
  <si>
    <t>1291, 29/12/2023</t>
  </si>
  <si>
    <t>Cầu tràn đường đi khu sản xuất nước Zét</t>
  </si>
  <si>
    <t>UBND xã Hiếu</t>
  </si>
  <si>
    <t>Xã Hiếu</t>
  </si>
  <si>
    <t>NQ 35, 14/11/2022</t>
  </si>
  <si>
    <t xml:space="preserve"> 1298, 05/12/2022</t>
  </si>
  <si>
    <t>1088, 12/12/2024</t>
  </si>
  <si>
    <t>Đường đi khu sản xuất cánh đồng Nước Rong</t>
  </si>
  <si>
    <t xml:space="preserve"> 1125,
19/10/2022</t>
  </si>
  <si>
    <t>1093, 13/12/2024</t>
  </si>
  <si>
    <t>Đường đi khu sản xuất Nước Zét thôn Kon Klùng</t>
  </si>
  <si>
    <t xml:space="preserve"> 1126,
19/10/2022</t>
  </si>
  <si>
    <t>1094, 13/12/2024</t>
  </si>
  <si>
    <t>Đầu tư trang thiết bị chế biến, sản xuất chè</t>
  </si>
  <si>
    <t>QĐ 517, 17/7/2024</t>
  </si>
  <si>
    <t>807, 15/10/2024</t>
  </si>
  <si>
    <t>494, 11/4/2025</t>
  </si>
  <si>
    <t>Giếng nước sinh hoạt tại các thôn (Giếng khoan)</t>
  </si>
  <si>
    <t>NQ 29, 19/10/2022</t>
  </si>
  <si>
    <t>1297, 05/12/2022</t>
  </si>
  <si>
    <t>1095, 13/12/2024</t>
  </si>
  <si>
    <t>Thủy lợi nước Tư</t>
  </si>
  <si>
    <t>NQ 81, 09/12/2023</t>
  </si>
  <si>
    <t>172, 13/03/2023</t>
  </si>
  <si>
    <t>1096, 13/12/2024</t>
  </si>
  <si>
    <t>Cầu treo đi khu sản xuất Đăk Ram</t>
  </si>
  <si>
    <t>NQ 16, 21/7/2023</t>
  </si>
  <si>
    <t>1023, 25/10/2023</t>
  </si>
  <si>
    <t>492, 11/4/2025</t>
  </si>
  <si>
    <t>Nước sinh hoạt thôn Kon Plông</t>
  </si>
  <si>
    <t>1066, 15/11/2023</t>
  </si>
  <si>
    <t>493, 11/4/2025</t>
  </si>
  <si>
    <t>Thủy lợi Nước K Ruầng</t>
  </si>
  <si>
    <t>NQ 15, 15/7/2022</t>
  </si>
  <si>
    <t>1296, 05/12/2022</t>
  </si>
  <si>
    <t>182, 12/4/2024</t>
  </si>
  <si>
    <t>Nâng cấp, cải tạo, mở rộng đường từ Quốc lộ 24 đi vào thôn Vi Ô Lắc</t>
  </si>
  <si>
    <t>1128, 19/10/2022</t>
  </si>
  <si>
    <t>181, 12/4/2024</t>
  </si>
  <si>
    <t>Thủy lợi Nước Răng thôn Vi K Tầu</t>
  </si>
  <si>
    <t>1294, 05/12/2022</t>
  </si>
  <si>
    <t>184, 12/4/2024</t>
  </si>
  <si>
    <t>Thủy lợi PReo thôn Vi K Lâng</t>
  </si>
  <si>
    <t>1292, 05/12/2022</t>
  </si>
  <si>
    <t>183, 12/4/2024</t>
  </si>
  <si>
    <t>Cầu treo Ta Nông</t>
  </si>
  <si>
    <t>UBND xã Pờ Ê</t>
  </si>
  <si>
    <t>8105072</t>
  </si>
  <si>
    <t>977, 29/11/2024</t>
  </si>
  <si>
    <t>Trường PTDTBT Tiểu học Xã Hiếu (Điểm trường chính)</t>
  </si>
  <si>
    <t>Phòng Giáo dục và Đào tạo</t>
  </si>
  <si>
    <t>8116405</t>
  </si>
  <si>
    <t>968, 27/11/2024</t>
  </si>
  <si>
    <t>Duy tu, tôn tạo di tích lịch sử Căn cứ Huyện ủy H29</t>
  </si>
  <si>
    <t>1014, 25/8/2021</t>
  </si>
  <si>
    <t>1559, 31/12/2023</t>
  </si>
  <si>
    <t>Trường PTDTBT TH Xã Hiếu (Điểm trường chính)</t>
  </si>
  <si>
    <t>558, 07/6/2022</t>
  </si>
  <si>
    <t>383, 19/04/2023</t>
  </si>
  <si>
    <t>Nhà làm việc Ban chỉ huy quân sự xã Hiếu</t>
  </si>
  <si>
    <t>828, 09/8/2022</t>
  </si>
  <si>
    <t>969, 12/10/2023</t>
  </si>
  <si>
    <t>Nhà làm việc Ban chỉ huy quân sự xã Pờ Ê</t>
  </si>
  <si>
    <t>830, 09/8/2022</t>
  </si>
  <si>
    <t>968, 12/10/2023</t>
  </si>
  <si>
    <t>2023</t>
  </si>
  <si>
    <t>QĐ 1286, 8/11/2023</t>
  </si>
  <si>
    <t>Trường mầm non xã Hiếu (điểm trường chính); hạng mục: nhà hiệu bộ và các hạng mục phụ trợ</t>
  </si>
  <si>
    <t>QĐ 552, 16/6/2023</t>
  </si>
  <si>
    <t>1117, 04/12/2023</t>
  </si>
  <si>
    <t>Trường PTDTBT THCS Pờ Ê</t>
  </si>
  <si>
    <t>Trường PTDTBT TH Ngọk Tem (Điểm trường chính).</t>
  </si>
  <si>
    <t>1408, 25/11/2024</t>
  </si>
  <si>
    <t>Trường PTDTBT THCS Ngọk Tem (Điểm trường chính) .</t>
  </si>
  <si>
    <t>1407, 25/11/2021</t>
  </si>
  <si>
    <t>Trường PTDTBT tiểu học Xã Hiếu (Điểm trường chính)</t>
  </si>
  <si>
    <t>QĐ 634, 01/6/2021</t>
  </si>
  <si>
    <t>755, 02/7/2021</t>
  </si>
  <si>
    <t>1410, 25/11/2021</t>
  </si>
  <si>
    <t>Kè chống sạt lỡ thôn Kon Plinh, xã Hiếu</t>
  </si>
  <si>
    <t>Ban QLDA</t>
  </si>
  <si>
    <t>NQ 13, 15/7/2022</t>
  </si>
  <si>
    <t>1170, 21/10/2022</t>
  </si>
  <si>
    <t>1290, 28/12/2023</t>
  </si>
  <si>
    <t>xã Kon Plông</t>
  </si>
  <si>
    <t xml:space="preserve">Nâng cấp, mở rộng đường GTNT thôn Điek Tem (nhóm 4,5) </t>
  </si>
  <si>
    <t>7975463</t>
  </si>
  <si>
    <t>1029, 20/9/2022</t>
  </si>
  <si>
    <t>943, 06/10/2023</t>
  </si>
  <si>
    <t>Nước sinh hoạt thôn Điek Tem</t>
  </si>
  <si>
    <t>7975478</t>
  </si>
  <si>
    <t>1028, 20/9/2022</t>
  </si>
  <si>
    <t>946, 06/10/2023</t>
  </si>
  <si>
    <t xml:space="preserve">Nước sinh hoạt thôn Điek Lò </t>
  </si>
  <si>
    <t>7975462</t>
  </si>
  <si>
    <t>1030, 20/9/2022</t>
  </si>
  <si>
    <t>944, 06/10/2023</t>
  </si>
  <si>
    <t>Đường đi khu sản xuất thôn Kíp Plinh</t>
  </si>
  <si>
    <t>7985616</t>
  </si>
  <si>
    <t>1173, 31/2022</t>
  </si>
  <si>
    <t>945, 06/10/2023</t>
  </si>
  <si>
    <t>Giếng nước sinh hoạt tại các thôn xã Hiếu</t>
  </si>
  <si>
    <t>7974064</t>
  </si>
  <si>
    <t>1017, 16/09/2022</t>
  </si>
  <si>
    <t>158, 08/3/2023</t>
  </si>
  <si>
    <t>7982838</t>
  </si>
  <si>
    <t>1126, 19/10/2022</t>
  </si>
  <si>
    <t>Đường đi khu sản xuất cánh đồng nước Rong.</t>
  </si>
  <si>
    <t>7982839</t>
  </si>
  <si>
    <t>1125, 19/10/2022</t>
  </si>
  <si>
    <t xml:space="preserve">Đường đi khu sản xuất nước Bờ </t>
  </si>
  <si>
    <t>7979056</t>
  </si>
  <si>
    <t>QĐ 669, 15/7/2023</t>
  </si>
  <si>
    <t>1127, 19/10/2022</t>
  </si>
  <si>
    <t>Nâng cấp, cải tạo, mở rộng đường
 từ QL 24 vào thôn Vi Ô Lắc</t>
  </si>
  <si>
    <t>7979045</t>
  </si>
  <si>
    <t>Giếng nước sinh hoạt tại 02 thôn Vi Klâng 1 và Vi Klâng 2</t>
  </si>
  <si>
    <t>7979055</t>
  </si>
  <si>
    <t>1020, 16/9/2022</t>
  </si>
  <si>
    <t>165, 09/3/2023</t>
  </si>
  <si>
    <t>Sửa chữa nhà văn hóa cộng đồng tại các thôn trên địa bàn xã Pờ Ê</t>
  </si>
  <si>
    <t>7957603</t>
  </si>
  <si>
    <t>1004, 14/9/2022</t>
  </si>
  <si>
    <t>386, 19/4/2023</t>
  </si>
  <si>
    <t>Dự án hỗ trợ trồng rừng sản xuất năm 2021 trên địa bàn xã Hiếu</t>
  </si>
  <si>
    <t>1356, 12/11/2021</t>
  </si>
  <si>
    <t>Dự án hỗ trợ trồng rừng sản xuất năm 2021 trên địa bàn xã Pờ Ê</t>
  </si>
  <si>
    <t>1466, 08/12/2021</t>
  </si>
  <si>
    <t>Dự án hỗ trợ trồng rừng sản xuất năm 2021 trên địa bàn xã Ngọc Tem</t>
  </si>
  <si>
    <t>UBND xã Ngọk Tem</t>
  </si>
  <si>
    <t>1370, 16/11/2021</t>
  </si>
  <si>
    <t>Xã Măng Bút</t>
  </si>
  <si>
    <t>Nâng cấp, sửa chữa trụ sở HĐND - UBND xã Măng Bút</t>
  </si>
  <si>
    <t>UBND xã Măng Bút</t>
  </si>
  <si>
    <t>7757331</t>
  </si>
  <si>
    <t>1738, 22/10/2020</t>
  </si>
  <si>
    <t>Nâng cấp, sửa chữa trụ sở HĐND - UBND xã Đăk Ring</t>
  </si>
  <si>
    <t>7757333</t>
  </si>
  <si>
    <t>Xã Đăk Ring</t>
  </si>
  <si>
    <t>684, 30/10/2018</t>
  </si>
  <si>
    <t>1739, 22/10/2020</t>
  </si>
  <si>
    <t>Đường GTNT thôn Măng Lây đi thôn Ngọc Ring, xã Đăk Ring, huyện Kon Plông (giai đoạn 2)</t>
  </si>
  <si>
    <t>1037, 21/9/2022</t>
  </si>
  <si>
    <t>1301, 31/12/2023</t>
  </si>
  <si>
    <t>Trường PTDTBT THCS Đăk Ring</t>
  </si>
  <si>
    <t>8022291</t>
  </si>
  <si>
    <t>998, 20/10/2023</t>
  </si>
  <si>
    <t>869, 27/5/2025</t>
  </si>
  <si>
    <t>Trường PTDTBT cấp 1,2 Măng Bút 1 (Điểm trường chính)</t>
  </si>
  <si>
    <t>7930060</t>
  </si>
  <si>
    <t>1270, 24/11/2022</t>
  </si>
  <si>
    <t>482, 8/7/2024</t>
  </si>
  <si>
    <t>Trường PTDTBT Tiểu học Đăk Nên (Điểm trường chính)</t>
  </si>
  <si>
    <t>8022290</t>
  </si>
  <si>
    <t>Xã Đăk Nên</t>
  </si>
  <si>
    <t xml:space="preserve"> 149, 01/3/2023</t>
  </si>
  <si>
    <t>1292, 29/12/2023</t>
  </si>
  <si>
    <t>Sửa chữa các phòng học, nhà vệ sinh các điểm trường trên địa bàn huyện</t>
  </si>
  <si>
    <t>8040404</t>
  </si>
  <si>
    <t>08 xã, thị trấn</t>
  </si>
  <si>
    <t>QĐ 549, 16/6/2023</t>
  </si>
  <si>
    <t>986, 18/10/2023</t>
  </si>
  <si>
    <t>819, 22/10/2024</t>
  </si>
  <si>
    <t>Trường PTDTBT Cấp 1, 2 Măng Bút 1; Trường PTDTBT Tiểu học các xã: Đăk Nên, Ngọk Tem, Đăk Ring</t>
  </si>
  <si>
    <t>Xã Măng Bút, Đăk Ring, Đăk Nên, Ngọk Tem</t>
  </si>
  <si>
    <t>1343, 
07/12/2022</t>
  </si>
  <si>
    <t>820, 22/10/2024</t>
  </si>
  <si>
    <t>Trường PTDTBT Tiểu học Ngọk Tem, Trường PTDTBT Cấp 1, 2 Măng Bút 1, Trường PTDTBT Cấp 1, 2 Măng Bút 2; Hạng mục: Khoan 05 giếng nước</t>
  </si>
  <si>
    <t>Xã Măng Bút, Ngọk Tem</t>
  </si>
  <si>
    <t>1067, 
15/11/2023</t>
  </si>
  <si>
    <t>818, 22/10/2024</t>
  </si>
  <si>
    <t>Trường PTDTBT Cấp 1, 2 Măng Bút 1 (Điểm trường chính)</t>
  </si>
  <si>
    <t>NQ 26, 21/10/2024</t>
  </si>
  <si>
    <t xml:space="preserve"> 967, 
27/11/2024</t>
  </si>
  <si>
    <t>Nâng cấp, sửa chữa nước sinh hoạt thôn Đăk Niêng</t>
  </si>
  <si>
    <t>1019, 16/9/2022</t>
  </si>
  <si>
    <t>253, 03/5/2024</t>
  </si>
  <si>
    <t>Nước sinh hoạt làng di dời thôn Đăk Lanh</t>
  </si>
  <si>
    <t>1018, 16/9/2022</t>
  </si>
  <si>
    <t>257, 03/5/2024</t>
  </si>
  <si>
    <t>Đường GTNT thôn Đăk Y Pai</t>
  </si>
  <si>
    <t>1259, 18/11/2022</t>
  </si>
  <si>
    <t>252, 03/5/2024</t>
  </si>
  <si>
    <t>Nâng cấp nước sinh hoạt thôn Đắk Y Pai</t>
  </si>
  <si>
    <t>1289, 02/12/2022</t>
  </si>
  <si>
    <t>260, 03/5/2024</t>
  </si>
  <si>
    <t>Thủy lợi Nước Chất 2 thôn Kô Chất</t>
  </si>
  <si>
    <t>1284, 02/12/2022</t>
  </si>
  <si>
    <t>256, 03/5/2024</t>
  </si>
  <si>
    <t>Cầu treo đi khu sản xuất Nước Dắt</t>
  </si>
  <si>
    <t>1305, 06/12/2022</t>
  </si>
  <si>
    <t>259, 03/5/2024</t>
  </si>
  <si>
    <t>Cầu treo đi khu sản xuất thôn Văng Loa 2</t>
  </si>
  <si>
    <t>1379, 13/12/2022</t>
  </si>
  <si>
    <t>258, 03/5/2024</t>
  </si>
  <si>
    <t>Nước sinh hoạt thôn Tu Nông làng 1</t>
  </si>
  <si>
    <t>1306, 06/12/2022</t>
  </si>
  <si>
    <t>255, 03/5/2024</t>
  </si>
  <si>
    <t>Thủy lợi Nước Chất 1 thôn Kô Chất</t>
  </si>
  <si>
    <t>1378, 13/12/2022</t>
  </si>
  <si>
    <t>254, 03/5/2024</t>
  </si>
  <si>
    <t>Đường GTNT nội thôn Làng Ngọc Hoàng thôn Đăk Chờ</t>
  </si>
  <si>
    <t>1056, 23/9/2022</t>
  </si>
  <si>
    <t>263, 04/5/2024</t>
  </si>
  <si>
    <t>Nâng cấp đường nội thôn Đăk Chờ</t>
  </si>
  <si>
    <t>1057, 23/9/2022</t>
  </si>
  <si>
    <t>264, 04/5/2024</t>
  </si>
  <si>
    <t>Cầu treo đi khu sản xuất làng Ngọc Hoàng (đoạn cuối làng)</t>
  </si>
  <si>
    <t>276, 23/3/2023</t>
  </si>
  <si>
    <t>262, 04/5/2024</t>
  </si>
  <si>
    <t>Cầu treo đi khu sản xuất Nước Rông (làng Măng Che)</t>
  </si>
  <si>
    <t>8114227</t>
  </si>
  <si>
    <t>974, 29/11/2024</t>
  </si>
  <si>
    <t>Cầu treo đi khu sản xuất thôn Đăk Chun</t>
  </si>
  <si>
    <t>8114226</t>
  </si>
  <si>
    <t>975, 29/11/2024</t>
  </si>
  <si>
    <t>Trường MN, Trường PTDTBT Tiểu học xã Hiếu; Trường PTDTBT Tiểu học Đăk Ring và Trường PTDTBT THCS Đăk Nên</t>
  </si>
  <si>
    <t>8112882</t>
  </si>
  <si>
    <t>Xã Hiếu, Đăk Ring, Đăk Nên</t>
  </si>
  <si>
    <t>1082, 10/12/2024</t>
  </si>
  <si>
    <t>8112883</t>
  </si>
  <si>
    <t>967, 27/11/2024</t>
  </si>
  <si>
    <t>Duy tu, tôn tạo di tích lịch sử Chiến thắng Măng Bút</t>
  </si>
  <si>
    <t>1398, 24/11/2021</t>
  </si>
  <si>
    <t>1161, 28/10/2022</t>
  </si>
  <si>
    <t>Nhà làm việc Ban chỉ huy quân sự xã Đăk Nên</t>
  </si>
  <si>
    <t>777, 03/8/2022</t>
  </si>
  <si>
    <t>970, 12/10/2023</t>
  </si>
  <si>
    <t>Nhà làm việc Ban chỉ huy quân sự xã Đăk Ring</t>
  </si>
  <si>
    <t>829, 09/8/2022</t>
  </si>
  <si>
    <t>972, 12/10/2023</t>
  </si>
  <si>
    <t>Nhà làm việc Ban chỉ huy quân sự xã Măng Bút</t>
  </si>
  <si>
    <t>831, 09/8/2022</t>
  </si>
  <si>
    <t>971, 12/10/2023</t>
  </si>
  <si>
    <t>Trụ Sở HĐND-UBND xã Măng Bút</t>
  </si>
  <si>
    <t>1064, 27/9/2022</t>
  </si>
  <si>
    <t>717, 10/8/2023</t>
  </si>
  <si>
    <t>Trường PTDTBT TH Đăk Nên (Điểm trường chính)</t>
  </si>
  <si>
    <t>1307, 06/12/2022</t>
  </si>
  <si>
    <t>Trường PTDTBT cấp 1, 2 Măng Bút 1 (Điểm trường chính)</t>
  </si>
  <si>
    <t>QĐ 1286, 8/11/2022</t>
  </si>
  <si>
    <t>Trường PTDTBT TH Đăk Nên (điểm trường chính)</t>
  </si>
  <si>
    <t>QĐ 1286, 8/11/2024</t>
  </si>
  <si>
    <t>149-01/3/2023</t>
  </si>
  <si>
    <t>408, 8/7/2024</t>
  </si>
  <si>
    <t>QĐ 1286, 8/11/2025</t>
  </si>
  <si>
    <t>Trường MN Măng Bút 1 (Điểm trường chính)</t>
  </si>
  <si>
    <t>557, 07/6/2022</t>
  </si>
  <si>
    <t>452, 15/5/2023</t>
  </si>
  <si>
    <t>Trường PTDTBT THCS Đăk Ring</t>
  </si>
  <si>
    <t>1308, 06/12/2022</t>
  </si>
  <si>
    <t>793, 11/10/2024</t>
  </si>
  <si>
    <t>Đầu tư trang thiết bị sản xuất</t>
  </si>
  <si>
    <t>UBND xã Đăk Nên</t>
  </si>
  <si>
    <t>8110519</t>
  </si>
  <si>
    <t>QĐ 515, 17/7/2024</t>
  </si>
  <si>
    <t>806, 15/10/2024</t>
  </si>
  <si>
    <t>QĐ 549, 16/06/2023</t>
  </si>
  <si>
    <t>Nâng cấp đường nội thôn Đắk Chờ</t>
  </si>
  <si>
    <t>UBND xã Đăk Ring</t>
  </si>
  <si>
    <t>1057, 23/09/2022</t>
  </si>
  <si>
    <t>xã Măng Bút</t>
  </si>
  <si>
    <t>Đường GTNT nội thôn làng Ngọc Hoàng thôn Đắk Chờ</t>
  </si>
  <si>
    <t>1056, 23/09/2022</t>
  </si>
  <si>
    <t>Giếng nước sinh hoạt tại khu trung tâm xã Đăk Ring</t>
  </si>
  <si>
    <t>1438, 01/12/2021</t>
  </si>
  <si>
    <t>915, 23/8/2022</t>
  </si>
  <si>
    <t>Nâng cấp, sữa chữa nước sinh hoạt thôn Đăk Niêng</t>
  </si>
  <si>
    <t xml:space="preserve">Cấp thoát nước </t>
  </si>
  <si>
    <t>Thủy lợi Nước Niêu thôn Đăk Da, xã Đăk Ring</t>
  </si>
  <si>
    <t>71, 20/01/2022</t>
  </si>
  <si>
    <t>Nước sinh hoạt làng Đăk Ngó và Làng Măng Lép thôn Đăk Chun, xã Măng Bút</t>
  </si>
  <si>
    <t>73, 20/01/2022</t>
  </si>
  <si>
    <t>Đường GTNT thôn Đắk Lúp</t>
  </si>
  <si>
    <t>1146, 25/10/2022</t>
  </si>
  <si>
    <t>Đường giao thông nội thôn Xô Luông (bao gồm thôn làng Vương cũ)</t>
  </si>
  <si>
    <t>1147, 25/10/2022</t>
  </si>
  <si>
    <t xml:space="preserve">Nâng cấp, cải tạo, sửa chữa nước sinh hoạt thôn Xô Luông </t>
  </si>
  <si>
    <t>991, 19/10/2024</t>
  </si>
  <si>
    <t>Đường GTNT nội thôn Đăk lúp đi làng Đăk bao</t>
  </si>
  <si>
    <t>Đăk Nên</t>
  </si>
  <si>
    <t>Đường đi KSX thôn Vác Y Nhông (Đoạn nối từ đường TL 676 đi làng Ngọc Chè)</t>
  </si>
  <si>
    <t>Đăk Ring</t>
  </si>
  <si>
    <t>Dự án hỗ trợ trồng rừng sản xuất năm 2021 trên địa bàn xã Đăk Ring</t>
  </si>
  <si>
    <t>1412, 25/11/2021</t>
  </si>
  <si>
    <t>Dự án hỗ trợ trồng rừng sản xuất năm 2021 trên địa bàn xã Măng Bút</t>
  </si>
  <si>
    <t>1258, 01/11/2021</t>
  </si>
  <si>
    <t>Dự án hỗ trợ trồng rừng sản xuất năm 2021 trên địa bàn xã Đăk Nên</t>
  </si>
  <si>
    <t>1390, 23/11/2021</t>
  </si>
  <si>
    <t>Đường GTNT từ trung tâm xã Măng Bút  đi thôn Đăk Y Bay (Đoạn Km 3+485,66 - Km9+450,49)</t>
  </si>
  <si>
    <t xml:space="preserve">710A, 31/10/2018 </t>
  </si>
  <si>
    <t xml:space="preserve">53, 17/01/2022 </t>
  </si>
  <si>
    <t>Kế hoạch trung hạn chưa phân bổ</t>
  </si>
  <si>
    <t>Đơn vị bàn giao: UBND huyện Sa Thầy (trước sắp xếp)</t>
  </si>
  <si>
    <t>Quyết định chủ trương đầu tư/ Quyết định đầu tư</t>
  </si>
  <si>
    <t xml:space="preserve">Lũy kế vốn đã giao từ năm 2021-2024 </t>
  </si>
  <si>
    <t>Đề xuất dừng</t>
  </si>
  <si>
    <t>Số vốn ngân sách huyện các năm trước 
kéo dài sang năm 2025</t>
  </si>
  <si>
    <t>Chi nhiệm vụ đo đạc, quản lý đất đai…</t>
  </si>
  <si>
    <t>Xã Sa Thầy</t>
  </si>
  <si>
    <t>Dự án chuyển từ từ giai đoạn 2016-2020 sang</t>
  </si>
  <si>
    <t>Trường Mầm non Hoa Hồng thị trấn Sa Thầy; Hạng mục: Nhà hiệu bộ, sân vườn và các hạng mục phụ trợ</t>
  </si>
  <si>
    <t>Ban Quản lý dự án đầu tư xây dựng</t>
  </si>
  <si>
    <t>UBND xã Sa Thầy</t>
  </si>
  <si>
    <t>Thị trấn Sa Thầy, huyện Sa Thầy</t>
  </si>
  <si>
    <t>18/NQ-HĐND, ngày 23/7/2019</t>
  </si>
  <si>
    <t>1565/QĐ-UBND, ngày 02/8/2019</t>
  </si>
  <si>
    <t>Xã Sa Thầy, tỉnh Quảng Ngãi</t>
  </si>
  <si>
    <t>Trường Tiểu học - THCS thị trấn Sa Thầy (Hạng mục: Xây dựng 10 phòng học và các hạng mục phụ trợ)</t>
  </si>
  <si>
    <t>15/NQ-HĐND, ngày 23/7/2019</t>
  </si>
  <si>
    <t>388/QĐ-UBND, ngày 06/3/2019</t>
  </si>
  <si>
    <t>Trường tiểu học-THCS Lê Quý Đôn (nhà học 08 phòng và hạng mục phụ trợ)</t>
  </si>
  <si>
    <t>05/NQ-HĐND, ngày 29/4/2020</t>
  </si>
  <si>
    <t>945/QĐ-UBND, ngày 11/5/2020</t>
  </si>
  <si>
    <t>Xây dựng trường mầm non Hoa Hồng (hạng mục nhà học 06 phòng và mở rộng diện tích theo quy hoạch)</t>
  </si>
  <si>
    <t>06/NQ-HĐND, ngày 29/4/2020</t>
  </si>
  <si>
    <t>944/QĐ-UBND, ngày 11/5/2020</t>
  </si>
  <si>
    <t>Xây dựng công viên cây xanh trước hội trường 19/5</t>
  </si>
  <si>
    <t>07/NQ-HĐND, ngày 29/4/2020</t>
  </si>
  <si>
    <t>962/QĐ-UBND, ngày 14/5/2020</t>
  </si>
  <si>
    <t>Mở rộng đường Trần Hưng Đạo (Đoạn từ đường Cù Chính Lan đến Hạt Kiểm Lâm)</t>
  </si>
  <si>
    <t>Thị trấn Sa Thầy</t>
  </si>
  <si>
    <t>42/NQ-HĐND
18/12/2020</t>
  </si>
  <si>
    <t>02/QĐ-UBND, ngày 04/1/2021</t>
  </si>
  <si>
    <t>Mở rộng đường Trần Hưng Đạo (Đoạn từ đường Bế Văn Đàn đến đường Lê Duẩn)</t>
  </si>
  <si>
    <t>43/NQ-HĐND
18/12/2020; 12/NQ-HĐND 
19/5/2021</t>
  </si>
  <si>
    <t>07/QĐ-UBND, ngày 05/1/2021</t>
  </si>
  <si>
    <t>Xây dựng trường mầm non Hoa Hồng (hạng mục nhà học 8 phòng và hạng mục phụ trợ)</t>
  </si>
  <si>
    <t>39/NQ-HĐND
18/12/2020</t>
  </si>
  <si>
    <t>2631/QĐ-UBND, ngày 29/12/2020</t>
  </si>
  <si>
    <t>Trường Tiểu học -THCS Lê Quý Đôn (Nhà ăn, bếp và hạng mục phụ trợ)</t>
  </si>
  <si>
    <t>40/NQ-HĐND
18/12/2020</t>
  </si>
  <si>
    <t>2628/QĐ-UBND, ngày 29/12/2020</t>
  </si>
  <si>
    <t>Mở rộng đường Trần Hưng Đạo (đoạn từ đường Bế Văn Đàn đến ngõ 350)</t>
  </si>
  <si>
    <t>88/NQ-HĐND
18/12/2021
 116/QĐ-UBND
27/01/2022</t>
  </si>
  <si>
    <t>116/QĐ-UBND, ngày 27/01/2022</t>
  </si>
  <si>
    <t>Nâng cấp, sửa chữa trụ sở làm việc Huyện ủy Sa Thầy và các hạng mục phụ trợ</t>
  </si>
  <si>
    <t>90/NQ-HĐND
18/12/2021</t>
  </si>
  <si>
    <t>73/QĐ-UBND, ngày 20/01/2022</t>
  </si>
  <si>
    <t>Đường giao thông từ trung tâm huyện Sa Thầy đến nhà máy thủy điện Ialy</t>
  </si>
  <si>
    <t>UBND huyện Sa Thầy</t>
  </si>
  <si>
    <t>Các xã: Ya Tăng, Ya Xiêr và thị trấn Sa Thầy</t>
  </si>
  <si>
    <t xml:space="preserve">674/QĐ-UBND, ngày 29/7/2021 </t>
  </si>
  <si>
    <t>Đang triển khai, chưa quyết toán</t>
  </si>
  <si>
    <t>Xã Ya Ly và xã Sa Thầy</t>
  </si>
  <si>
    <t>Trường TH - THCS xã Sa Sơn. Hạng mục: Nhà vệ sinh, cổng hàng rào và hạng mục phụ trợ</t>
  </si>
  <si>
    <t>Xã Sa Sơn</t>
  </si>
  <si>
    <t>99/NQ-HĐND
18/12/2021</t>
  </si>
  <si>
    <t>111/QĐ-UBND, ngày 26/01/2022</t>
  </si>
  <si>
    <t>Làm mới Giếng khoan, Sửa chữa nhà vệ sinh học sinh và nhà vệ sinh giáo viên Trường Mầm non xã Sa Nhơn</t>
  </si>
  <si>
    <t>Xã Sa Nhơn</t>
  </si>
  <si>
    <t>98/NQ-HĐND
18/12/2021</t>
  </si>
  <si>
    <t>1826/QĐ-UBND, ngày 27/11/2023</t>
  </si>
  <si>
    <t>Xây dựng trụ sở Hạt kiểm lâm (Hoán đổi trụ sở Hạt kiểm lâm cũ đã điều chuyển về cho UBND huyện quản lý)</t>
  </si>
  <si>
    <t>41/NQ-HĐND
18/12/2020</t>
  </si>
  <si>
    <t>2624/QĐ-UBND
29/12/2020</t>
  </si>
  <si>
    <t>Đầu tư kết cấu hạ tầng khu dân cư dọc tuyến đường Điện Biên Phủ và đường Trần Quốc Toản, thị trấn Sa Thầy</t>
  </si>
  <si>
    <t>01/NQ-HĐND
14/01/2021</t>
  </si>
  <si>
    <t>136/QĐ-UBND
27/01/2021</t>
  </si>
  <si>
    <t>Dự án đang triển khai, chưa Quyết toán</t>
  </si>
  <si>
    <t>Đầu tư kết cấu hạ tầng Điểm dân cư khu vực Hạt Kiểm lâm (cũ) và lân cận</t>
  </si>
  <si>
    <t>15/NQ-HĐND
12/5/2022</t>
  </si>
  <si>
    <t>1965/QĐ-UBND
13/12/2021</t>
  </si>
  <si>
    <t>Hỗ trợ thực hiện công tác giải phóng mặt bằng dự án xây dựng Trụ sở làm việc Công an huyện Sa Thầy</t>
  </si>
  <si>
    <t>511/QĐ-BCA-H01 20/01/2022; 4472/UBND-KTTH
17/12/2021</t>
  </si>
  <si>
    <t>Đường giao thông từ tỉnh lộ 674, xã Sa Sơn đi Đài tưởng niệm Chư Tan Kra và sửa chữa, tôn tạo, nâng cấp Đài tưởng niệm Chư Tan Kra</t>
  </si>
  <si>
    <t>Xã Sơn Sơn, Ya Xiêr</t>
  </si>
  <si>
    <t>54/NQ-HĐND
01/11/2023 HĐND tỉnh</t>
  </si>
  <si>
    <t>656/QĐ-UBND
27/12/2023</t>
  </si>
  <si>
    <t>Xã Sa Thầy, Ya Ly</t>
  </si>
  <si>
    <t>Mở rộng Trụ sở HĐND - UBND xã Sa Nhơn. Hạng mục: Phòng làm việc Ban chỉ huy quân sự xã</t>
  </si>
  <si>
    <t>02/NQ-HĐND 09/03/2023</t>
  </si>
  <si>
    <t>370/QĐ-UBND, ngày 30/3/2023</t>
  </si>
  <si>
    <t>Mở rộng Trụ sở HĐND - UBND xã Sa Sơn. Hạng mục: Phòng làm việc Ban chỉ huy quân sự xã</t>
  </si>
  <si>
    <t>05/NQ-HĐND 09/03/2023</t>
  </si>
  <si>
    <t>373/QĐ-UBND, ngày 30/3/2023</t>
  </si>
  <si>
    <t>Cải tạo, sửa chữa cơ sở vật chất trụ sở làm việc khối Mặt trận và Đoàn thể huyện Sa Thầy</t>
  </si>
  <si>
    <t>08/NQ-HĐND
05/04/2024</t>
  </si>
  <si>
    <t>1014/QĐ-UBND, ngày 24/5/2024</t>
  </si>
  <si>
    <t>Sửa chữa nhỏ các hạng mục, hệ thống nhà vệ sinh, cấp nước sạch các trường học trên địa bàn huyện Sa Thầy</t>
  </si>
  <si>
    <t>Phòng Giáo dục và Đào tạo huyện Sa Thầy</t>
  </si>
  <si>
    <t>11/NQ-HĐND 
19/5/2021</t>
  </si>
  <si>
    <t>1122/QĐ-UBND, ngày 14/7/2021</t>
  </si>
  <si>
    <t>Cải tạo, nâng cấp vỉa hè, hệ thống thoát nước và trồng cây xanh đường Nguyễn Trãi, thị trấn Sa Thầy, huyện Sa Thầy</t>
  </si>
  <si>
    <t>24/NQ-HĐND
13/06/2024</t>
  </si>
  <si>
    <t>1328/QĐ-UBND, ngày 03/7/2024</t>
  </si>
  <si>
    <t>Xã Sa Bình</t>
  </si>
  <si>
    <t>Trường THCS Phan Đình Phùng (Hạng mục nhà học 08 phòng và hạng mục phụ trợ)</t>
  </si>
  <si>
    <t>UBND xã Sa Bình</t>
  </si>
  <si>
    <t>Xã Hơ Moong</t>
  </si>
  <si>
    <t>89/NQ-HĐND
18/12/2021</t>
  </si>
  <si>
    <t>231/QĐ-UBND, ngày 04/03/2022</t>
  </si>
  <si>
    <t>Trường Tiểu học - THCS xã Sa Nghĩa; hạng mục: Nhà học 02 phòng</t>
  </si>
  <si>
    <t>Xã Sa Nghĩa</t>
  </si>
  <si>
    <t>10/NQ-HĐND
19/5/2021</t>
  </si>
  <si>
    <t>1028/QĐ-UBND, ngày 01/7/2021</t>
  </si>
  <si>
    <t>Sửa chữa nhà học Trường TH - THCS xã Sa Nghĩa</t>
  </si>
  <si>
    <t>93/NQ-HĐND
18/12/2021</t>
  </si>
  <si>
    <t>1897/QĐ-UBND, ngày 11/11/2022</t>
  </si>
  <si>
    <t>Trường PT DTBT THCS Hai Bà Trưng (Hạng mục: 04 phòng học và các hạng mục phụ trợ)</t>
  </si>
  <si>
    <t>44/NQ-HĐND
18/12/2020</t>
  </si>
  <si>
    <t xml:space="preserve"> 2734/QĐ-UBND, ngày 31/12/2020</t>
  </si>
  <si>
    <t>Đường đi khu sản xuất Hợp tác xã Nông nghiệp và Dịch vụ thương mại Tân Hợp</t>
  </si>
  <si>
    <t>UBND xã Hơ Moong</t>
  </si>
  <si>
    <t>35/NQ-HĐND
18/7/2024</t>
  </si>
  <si>
    <t>1798/QĐ-UBND
06/09/2024</t>
  </si>
  <si>
    <t>Mở rộng Trụ sở HĐND - UBND xã Sa Bình. Hạng mục: Phòng làm việc Ban chỉ huy quân sự xã</t>
  </si>
  <si>
    <t>02/NQ-HĐND
28/02/2022</t>
  </si>
  <si>
    <t>1988/QĐ-UBND
25/11/2022</t>
  </si>
  <si>
    <t>Mở rộng Trụ sở HĐND - UBND xã Hơ Moong. Hạng mục: Phòng làm việc Ban chỉ huy quân sự xã</t>
  </si>
  <si>
    <t>03/NQ-HĐND
28/02/2022</t>
  </si>
  <si>
    <t>397/QĐ-UBND
24/03/2022</t>
  </si>
  <si>
    <t>Phân cấp cho cấp xã (Thực hiện các dự án xây dựng nông thôn mới)</t>
  </si>
  <si>
    <t>Mở rộng Trụ sở HĐND - UBND xã Sa Nghĩa. Hạng mục: Phòng làm việc Ban chỉ huy quân sự xã</t>
  </si>
  <si>
    <t>04/NQ-HĐND 09/03/2023</t>
  </si>
  <si>
    <t>372/QĐ-UBND, ngày 30/3/2023</t>
  </si>
  <si>
    <t>Nhà Văn hóa xã Hơ Moong và các hạng mục phụ trợ</t>
  </si>
  <si>
    <t>07/NQ-HĐND
05/04/2024</t>
  </si>
  <si>
    <t>1371/QĐ-UBND, ngày 10/7/2024</t>
  </si>
  <si>
    <t>Trường Mầm non Sơn Ca; hạng mục: Xây mới 03 phòng học; khu nhà bếp và các hạng mục phụ trợ</t>
  </si>
  <si>
    <t>09/NQ-HĐND, ngày 05/4/2024</t>
  </si>
  <si>
    <t>1001/QĐ-UBND, ngày 22/5/2024</t>
  </si>
  <si>
    <t>Dự án đã hoàn thành nhưng chưa Quyết toán</t>
  </si>
  <si>
    <t>Trường Tiểu học Trần Quốc Toản; hạng mục: Xây mới nhà học hai tầng 04 phòng và các hạng mục phụ trợ</t>
  </si>
  <si>
    <t>10/NQ-HĐND, ngày 05/4/2024</t>
  </si>
  <si>
    <t>1015/QĐ-UBND, ngày 24/5/2024</t>
  </si>
  <si>
    <t>Trường Mầm non Tuổi Thơ, hạng mục: Xây mới nhà học 03 phòng và các hạng mục phụ trợ điểm trường K’Bay</t>
  </si>
  <si>
    <t>11/NQ-HĐND, ngày 05/4/2024</t>
  </si>
  <si>
    <t>1051/QĐ-UBND, ngày 28/4/2024</t>
  </si>
  <si>
    <t xml:space="preserve">Trường Tiểu học Lê Văn Tám, hạng mục: Nhà hiệu bộ và hạng mục phụ trợ </t>
  </si>
  <si>
    <t>08/NQ-HĐND 
19/5/2021</t>
  </si>
  <si>
    <t>926/QĐ-UBND, ngày 07/6/2021</t>
  </si>
  <si>
    <t>Dự án hỗ trợ trồng rừng sản xuất trên đất trống, đồi núi trọc, đất bạc màu trên địa bàn huyện Sa Thầy năm 2021</t>
  </si>
  <si>
    <t>Phòng Nông nghiệp và Phát triển nông thôn huyện Sa Thầy</t>
  </si>
  <si>
    <t xml:space="preserve">Xã Sa Bình, Hơ Moong, Ya Xiêr, Ya Tăng </t>
  </si>
  <si>
    <t>57/NQ-HĐND 
13/8/2021</t>
  </si>
  <si>
    <t>1438/QĐ-UBND, ngày 29/9/2021</t>
  </si>
  <si>
    <t>Xã Sa Bình, Ya Ly</t>
  </si>
  <si>
    <t>Đường giao thông lên khu di tích lịch sử điểm cao 1049, xã Hơ Moong, huyện Sa Thầy</t>
  </si>
  <si>
    <t>06/NQ-HĐND 09/03/2023</t>
  </si>
  <si>
    <t>317/QĐ-UBND, ngày 16/3/2023</t>
  </si>
  <si>
    <t>Xã Ya Ly</t>
  </si>
  <si>
    <t>Trường Mầm non xã Ya Xiêr. Hạng mục: Sửa chữa nhà học, xây mới cổng hàng rào và hạng mục phụ trợ điểm trường trung tâm và điểm trường thôn Thanh Xuân</t>
  </si>
  <si>
    <t>UBND xã Ya Ly</t>
  </si>
  <si>
    <t>Xã Ya Xiêr</t>
  </si>
  <si>
    <t>96/NQ-HĐND
18/12/2021</t>
  </si>
  <si>
    <t xml:space="preserve"> 1891/QĐ-UBND, ngày 31/12/2020</t>
  </si>
  <si>
    <t>Xây dựng Trường TH và THCS xã Ya Ly; hạng mục: Nhà học 02 phòng và hạng mục phụ trợ tại Điểm trường trung tâm Làng Chứ</t>
  </si>
  <si>
    <t>94/NQ-HĐND
18/12/2021</t>
  </si>
  <si>
    <t xml:space="preserve"> 1843/QĐ-UBND
30/11/2023</t>
  </si>
  <si>
    <t>Trường Mầm non Vàng Anh xã Ya Tăng. Hạng mục: Nhà phục vụ học tập 02 phòng và hạng mục phụ trợ</t>
  </si>
  <si>
    <t>Xã Ya Tăng</t>
  </si>
  <si>
    <t>95/NQ-HĐND
18/12/2021</t>
  </si>
  <si>
    <t xml:space="preserve"> 1825/QĐ-UBND
27/11/2023</t>
  </si>
  <si>
    <t>Dự án hỗ trợ trồng rừng sản xuất trên đất trống, đồi núi trọc, đất bạc màu trên địa bàn huyện Sa Thầy năm 2022</t>
  </si>
  <si>
    <t>Hơ Moong, Mô Rai, Rờ Kơi, Sa Nhơn, Ya Ly, Sa Bình, Ya Xiêr, Ya Tăng</t>
  </si>
  <si>
    <t>16/NQ-HĐND
12/5/2022</t>
  </si>
  <si>
    <t>1611/QĐ-UBND
01/08/2022</t>
  </si>
  <si>
    <t>Xã Sa Bình, Ya Ly, Mô Rai, Rờ Kơi</t>
  </si>
  <si>
    <t>Mở rộng Trụ sở HĐND - UBND xã Ya Tăng. Hạng mục: Phòng làm việc Ban chỉ huy quân sự xã</t>
  </si>
  <si>
    <t>04/NQ-HĐND
28/02/2022</t>
  </si>
  <si>
    <t>398/QĐ-UBND
24/03/2023</t>
  </si>
  <si>
    <t>Nhà Văn hóa xã Yaly và các hạng mục phụ trợ</t>
  </si>
  <si>
    <t>05/NQ-HĐND
28/02/2022</t>
  </si>
  <si>
    <t>497/QĐ-UBND
04/4/2022</t>
  </si>
  <si>
    <t>Mở rộng Trụ sở HĐND - UBND xã Ya Ly. Hạng mục: Phòng làm việc Ban chỉ huy quân sự xã</t>
  </si>
  <si>
    <t>03/NQ-HĐND 09/03/2023</t>
  </si>
  <si>
    <t>371/QĐ-UBND, ngày 30/3/2023</t>
  </si>
  <si>
    <t>Bổ sung hỗ trợ xã Ya Ly thực hiện các dự án giao thông và các dự án khác để hoàn thành mục tiêu xây dựng nông thôn mới</t>
  </si>
  <si>
    <t>Xã Mô Rai</t>
  </si>
  <si>
    <t>Xây dựng Trường PTDTBT Tiểu học Lý Thường Kiệt. Hạng mục: Nhà hiệu bộ và hạng mục phụ trợ</t>
  </si>
  <si>
    <t>UBND xã Mô Rai</t>
  </si>
  <si>
    <t>92/NQ-HĐND
18/12/2021</t>
  </si>
  <si>
    <t>2027/QĐ-UBND
02/12/2022</t>
  </si>
  <si>
    <t xml:space="preserve">Dự án Đầu tư cơ sở hạ tầng phục vụ giãn dân tại làng Xộp, xã Mô Rai, huyện Sa Thầy </t>
  </si>
  <si>
    <t>2020-2025</t>
  </si>
  <si>
    <t>395/QĐ-UBND ngày 24/4/2020; 1009/QĐ-UBND ngày 01/11/2021 của UBND tỉnh Kon Tum</t>
  </si>
  <si>
    <t>700/QĐ-UBND ngày 26/7/2020; 448/QĐ-UBND ngày 24/5/2021; 190/QĐ-UBND ngày 12/4/2022; 359/QĐ-UBND ngày 19/6/2024 của UBND tỉnh Kon Tum</t>
  </si>
  <si>
    <t>Dự án đang triển khai, chưa quyết toán</t>
  </si>
  <si>
    <t>Xã Rờ Kơi</t>
  </si>
  <si>
    <t>Sửa chữa 02 dãy nhà học 2 tầng và hạng mục phụ trợ Trường THCS xã Rờ Kơi</t>
  </si>
  <si>
    <t>UBND xã Rờ Kơi</t>
  </si>
  <si>
    <t>97/NQ-HĐND
18/12/2021</t>
  </si>
  <si>
    <t xml:space="preserve"> 1892/QĐ-UBND
11/12/2023</t>
  </si>
  <si>
    <t>Đường đi khu sản xuất Hợp tác xã Thái Thanh</t>
  </si>
  <si>
    <t>UBND xã Rờ Koi</t>
  </si>
  <si>
    <t>36/NQ-HĐND
18/7/2024</t>
  </si>
  <si>
    <t>1765/QĐ-UBND
29/8/2024</t>
  </si>
  <si>
    <t>Đường giao thông vào khu di tích lịch sử điểm cao 1015, xã Rờ Kơi, huyện Sa Thầy</t>
  </si>
  <si>
    <t>25/NQ-HĐND
30/07/2022</t>
  </si>
  <si>
    <t>1403/QĐ-UBND, ngày 29/8/2022</t>
  </si>
  <si>
    <t>Đơn vị bàn giao: UBND huyện Ngọc Hồi (trước sắp xếp)</t>
  </si>
  <si>
    <t>Kế hoạch trung hạn giai đoạn 2021-2025 cấp huyện sau điều chỉnh lần cuối</t>
  </si>
  <si>
    <t>Tổng cộng</t>
  </si>
  <si>
    <t>Ngân sách tỉnh (NST)</t>
  </si>
  <si>
    <t>Dự án Trường bắn, thao trường huấn luyện huyện Ngọc Hồi</t>
  </si>
  <si>
    <t>Bộ Chỉ huy Quân sự tỉnh Quảng Ngãi</t>
  </si>
  <si>
    <t>Đền bù, GPMB</t>
  </si>
  <si>
    <t>Xã Đăk Kan</t>
  </si>
  <si>
    <t>2222/QĐ-UBND ngày 05/11/2021</t>
  </si>
  <si>
    <t>395/QDD-UBND ngày 29/3/2025</t>
  </si>
  <si>
    <t>1428/QĐ-UBND ngày 13/12/2024</t>
  </si>
  <si>
    <t>Xã Sa Loong</t>
  </si>
  <si>
    <t>UBND Xã Sa Loong</t>
  </si>
  <si>
    <t>Xã Pờ Y</t>
  </si>
  <si>
    <t>Mở rộng Khu dân cư trung tâm hành chính mới huyện</t>
  </si>
  <si>
    <t>Ban quản lý Dự án ĐTXD huyện Ngọc Hồi</t>
  </si>
  <si>
    <t>UBND xã Bờ Y</t>
  </si>
  <si>
    <t>Thị trấn Plei Kần</t>
  </si>
  <si>
    <t>492/QĐ-UBND ngày 10/06/2019</t>
  </si>
  <si>
    <t>2639/QĐ-UBND ngày 18/12/2020</t>
  </si>
  <si>
    <t>1578/QĐ-UBND ngày 25/12/2023</t>
  </si>
  <si>
    <t>Xã Bờ Y</t>
  </si>
  <si>
    <t>Nâng cấp, sửa chữa vỉa hè, hệ thống thoát nước đường Hùng Vương (điểm đầu giáp đường Hoàng Thị Loan, điểm cuối giáp đường Trần Hưng Đạo)</t>
  </si>
  <si>
    <t>501/QĐ-UBND ngày 10/06/2019</t>
  </si>
  <si>
    <t>1237/QĐ-UBND ngày 29/10/2019</t>
  </si>
  <si>
    <t xml:space="preserve">585/QĐ-UBND ngày 09/05/2022 </t>
  </si>
  <si>
    <t>Đường quy hoạch khu trung tâm hành chính mới tuyến số 3 (Nền, mặt đường và công trình thoát nước)</t>
  </si>
  <si>
    <t>30/NQ-HĐND 
ngày 14/12/2020</t>
  </si>
  <si>
    <t>2632/QĐ-UBND ngày 18/12/2020</t>
  </si>
  <si>
    <t>1233/QĐ-UBND ngày 05/10/2023</t>
  </si>
  <si>
    <t>Nâng cấp, mở rộng đường vào khu dân cư thôn iệc (nhánh 2), xã Pờ Y</t>
  </si>
  <si>
    <t>UBND xã Pờ Y</t>
  </si>
  <si>
    <t>2622/QĐ-UBND ngày 17/12/2020</t>
  </si>
  <si>
    <t>2636/QĐ-UBND ngày 18/12/2020</t>
  </si>
  <si>
    <t>1605/QĐ-UBND ngày 17/08/2021</t>
  </si>
  <si>
    <t>Đường giao thông nông thôn thôn Ngọc Thư (Nhánh 2), xã Đăk Xú</t>
  </si>
  <si>
    <t>Xã Đăk Xú</t>
  </si>
  <si>
    <t>1462/QĐ-UBND ngày 05/12/2023</t>
  </si>
  <si>
    <t>1504/QĐ-UBND ngày 12/12/2023</t>
  </si>
  <si>
    <t>631/QĐ-UBND ngày 22/05/2025</t>
  </si>
  <si>
    <t>Trường MN xã Đăk Xú ((Xây mới: 4 phòng học và các hạng mục khác…)</t>
  </si>
  <si>
    <t>2627/QĐ-UBND ngày 18/12/2020</t>
  </si>
  <si>
    <t>2631/QĐ-UBND ngày 18/12/2020</t>
  </si>
  <si>
    <t>220/QĐ-UBND ngày 16/02/2023</t>
  </si>
  <si>
    <t>Cung cấp trang thiết bị phục vụ một cửa hiện đại cho 8 xã/thị trấn</t>
  </si>
  <si>
    <t>Văn Phòng HĐND-UBND huyện Ngọc Hồi</t>
  </si>
  <si>
    <t xml:space="preserve"> 2598/QĐ-UBND ngày 09/12/2020</t>
  </si>
  <si>
    <t xml:space="preserve"> 2637/QĐ-UBND ngày 18/12/2020</t>
  </si>
  <si>
    <t>343/QĐ-UBND ngày 25/03/2022</t>
  </si>
  <si>
    <t>Xã Dục Nông; Bờ Y; Sa Loong</t>
  </si>
  <si>
    <t>Đầu tư xây dựng Công viên thị trấn PleiKần</t>
  </si>
  <si>
    <t>562/QĐ-UBND ngày 22/12/2023</t>
  </si>
  <si>
    <t>1634/QĐ-UBND ngày 29/12/2022</t>
  </si>
  <si>
    <t>1513/QĐ-UBND ngày 23/12/2024</t>
  </si>
  <si>
    <t>Tạo quỹ đất để đấu giá quyền sử dụng đất trên địa bàn thị trấn Plei Kần</t>
  </si>
  <si>
    <t>1505/QĐ-UBND ngày 12-12-2023</t>
  </si>
  <si>
    <t>726/QĐ-UBND ngày 06/06/2025</t>
  </si>
  <si>
    <t>Xử lý nước thải sinh hoạt huyện Ngọc Hồi</t>
  </si>
  <si>
    <t>1236/QĐ-UBND ngày 04-11-2024</t>
  </si>
  <si>
    <t>779/QĐ-UBND ngày 18/06/2025</t>
  </si>
  <si>
    <t>Nước sinh hoạt thôn Đăk Long Giao, xã Đăk Xú</t>
  </si>
  <si>
    <t>UBND xã Đăk Xú</t>
  </si>
  <si>
    <t>734/QĐ-UBND ngày 19-6-2023</t>
  </si>
  <si>
    <t>1303/QĐ-UBND ngày 30-10-2023</t>
  </si>
  <si>
    <t>1195/QĐ-UBND ngày 31/10/2024</t>
  </si>
  <si>
    <t>Dự án chuyển tiếp từ giai đoạn 2016-2020 sang</t>
  </si>
  <si>
    <t>Đường trung tâm thị trấn Plei Kần (điểm đầu giao tại Km 1485+850 đường Hồ Chí Minh, điểm cuối giao tại Km 1489+500 đường Hồ Chí Minh)</t>
  </si>
  <si>
    <t>2020-2024</t>
  </si>
  <si>
    <t>60/TB-HĐND ngày 05/06/2019</t>
  </si>
  <si>
    <t>1123/QĐ-UBND ngày 10/10/2019</t>
  </si>
  <si>
    <t>Công trình đã thi công hoàn thành</t>
  </si>
  <si>
    <t>Nâng cấp trụ sở Đảng uỷ, HĐND-UBND xã Pờ Y</t>
  </si>
  <si>
    <t xml:space="preserve">35/NQ-HĐND ngày 21/12/2023 </t>
  </si>
  <si>
    <t>437/QĐ-UBND ngày 06/05/2024</t>
  </si>
  <si>
    <t>Tạm dừng triển khai thực hiện</t>
  </si>
  <si>
    <t>2300/QĐ-UBND ngày 12/11/2021</t>
  </si>
  <si>
    <t>Đường nội bộ khu đấu giá quyền sử dụng đất Khu bệnh viện cũ - Đường Nguyễn Huệ</t>
  </si>
  <si>
    <t>2284/QĐ-UBND ngày 12 /11/2021</t>
  </si>
  <si>
    <t>2512/QĐ-UBND ngày 13/12/2021</t>
  </si>
  <si>
    <t>906/QĐ-UBND ngày 03/08/2023</t>
  </si>
  <si>
    <t>Hỗ trợ trồng rừng sản xuất trồng, đồi núi trọc, đất bạc màu trên địa bàn huyện Ngọc Hồi năm 2022, năm 2023 và năm 2024</t>
  </si>
  <si>
    <t>Phòng Nông nghiệp và Phát triển nông thôn</t>
  </si>
  <si>
    <t>Mở rộng đường bao phía tây thị trấn PleiKần (điểm đầu giao với đường Nguyễn Văn Linh, điểm cuối giao tại KM 0+882,5 đường bao phía Tây)</t>
  </si>
  <si>
    <t xml:space="preserve"> 15/NQ-HĐND ngày 31-8-2023</t>
  </si>
  <si>
    <t>1252/QĐ-UBND ngày 18/10/2023</t>
  </si>
  <si>
    <t>Nâng cấp, sửa chữa đường giao thông thôn Thung Nai, xã Đăk Xú</t>
  </si>
  <si>
    <t>1841/QĐ-UBND ngày 23-12-2022</t>
  </si>
  <si>
    <t>1841/QĐ-UBND ngày 23/12/2022</t>
  </si>
  <si>
    <t>322/QĐ-UBND ngày 10/04/2024</t>
  </si>
  <si>
    <t>Hỗ trợ trồng rừng sản xuất trên đất trống, đồi núi trọc, đất bạc màu trên địa bàn huyện Ngọc Hồi năm 2022</t>
  </si>
  <si>
    <t>Đăk Ang, Đăk Dục, Đăk Nông, Đăk Xú, Pờ
Y, Sa Loong và Đăk Kan</t>
  </si>
  <si>
    <t>2022 - 2025</t>
  </si>
  <si>
    <t xml:space="preserve">1023/QĐ-UBND ngày 26-7-2022 </t>
  </si>
  <si>
    <t>Xã Dục Nông</t>
  </si>
  <si>
    <t>Nâng cấp, sửa chữa trụ sở Đảng uỷ, HĐND-UBND xã Đăk Nông</t>
  </si>
  <si>
    <t>UBND xã Dục Nông</t>
  </si>
  <si>
    <t>Xã Đăk Nông</t>
  </si>
  <si>
    <t>2610a/QĐ-UBND ngày 14/12/2020</t>
  </si>
  <si>
    <t>221/QĐ-UBND ngày 16/02/2023</t>
  </si>
  <si>
    <t>Nâng cấp, mở rộng Trụ sở HĐND - UBND xã Đăk Dục</t>
  </si>
  <si>
    <t>Xã Đăk Dục</t>
  </si>
  <si>
    <t>2283/QĐ-UBND ngày 12/11/2021</t>
  </si>
  <si>
    <t>750/QĐ-UBND ngày 11/06/2025</t>
  </si>
  <si>
    <t>Cầu treo thôn Tà Pook, xã Đăk Nông</t>
  </si>
  <si>
    <t xml:space="preserve">Phòng Kinh tế và Hạ tầng </t>
  </si>
  <si>
    <t xml:space="preserve"> 2571/QĐ-UBND ngày 04/12/2020</t>
  </si>
  <si>
    <t>1268/QĐ-UBND ngày 05/09/2022</t>
  </si>
  <si>
    <t>Cầu treo thôn Nông Nội, xã Đăk Nông</t>
  </si>
  <si>
    <t>1269/QĐ-UBND ngày 05/09/2022</t>
  </si>
  <si>
    <t>Cầu treo thôn Đăk Blái, xã Đăk Ang</t>
  </si>
  <si>
    <t>Xã Đăk Dục và Xã Đăk Ang</t>
  </si>
  <si>
    <t>830/QĐ-UBND ngày 06-7-2023</t>
  </si>
  <si>
    <t>1559/QĐ-UBND ngày 31/12/2024</t>
  </si>
  <si>
    <t>Nâng cấp, mở rộng Trường tiểu học xã Đăk Ang</t>
  </si>
  <si>
    <t>UBND xã Đăk Ang</t>
  </si>
  <si>
    <t>Xã Đăk Ang</t>
  </si>
  <si>
    <t>2629/QĐ-UBND ngày 18/12/2020</t>
  </si>
  <si>
    <t>Đường vào khu Trung tâm xã Đăk Ang</t>
  </si>
  <si>
    <t>2293/QĐ-UBND ngày 12-11-2021</t>
  </si>
  <si>
    <t>Đường giao thông nông thôn thôn Dục Nhầy 1 (Nhánh 2), xã Đăk Dục</t>
  </si>
  <si>
    <t>UBND Đăk Dục</t>
  </si>
  <si>
    <t>2299/QĐ-UBND ngày 12/112/2021</t>
  </si>
  <si>
    <t>Đầu tư, nâng cấp Trường TH-THCS Đăk Dục (Hạng mục: Xây mới 06 phòng học và một số hạng mục khác (điểm trường Lê Văn Tám)</t>
  </si>
  <si>
    <t xml:space="preserve">1508/QĐ-UBND ngày 12/12/2023 </t>
  </si>
  <si>
    <t>Công trình đang triển khai thi công</t>
  </si>
  <si>
    <t>Xây dựng nhà kho, xưởng phân loại và đóng gói sản phẩm, xưởng sơ chế - chế biến và mua sắm trang thiết bị phục vụ cho hoạt động sẩn xuất kinh doanh….HTX NN Đăk Ang</t>
  </si>
  <si>
    <t xml:space="preserve">1314/QĐ-UBND ngày 06/11/2023 </t>
  </si>
  <si>
    <t xml:space="preserve">Nâng cấp nước sinh hoạt Đăk Giá I, II </t>
  </si>
  <si>
    <t>2282/QĐ-UBND ngày 12/11/2021</t>
  </si>
  <si>
    <t>Nâng cấp, mở rộng trường THCS Đăk Dục, xã Đăk Dục</t>
  </si>
  <si>
    <t>942/QĐ-UBND ngày 11-7-2022</t>
  </si>
  <si>
    <t>532/QĐ-UBND ngày 24/05/2024</t>
  </si>
  <si>
    <t>Đầu tư, cải tạo để xây dựng Trường mầm non Đăk Dục, xã Đăk Dục (tại điểm Trường Tiểu học xã Đăk Dục cũ)</t>
  </si>
  <si>
    <t>2024 - 2026</t>
  </si>
  <si>
    <t xml:space="preserve">1455/QĐ-UBND ngày 16-12-2024 </t>
  </si>
  <si>
    <t>Dừng triển khai thực hiện dự án</t>
  </si>
  <si>
    <t>Đường vào khu trung tâm xã Đắk Ang</t>
  </si>
  <si>
    <t>UBND xã Đắk Ang</t>
  </si>
  <si>
    <t>Nâng cấp nước sinh hoạt Đắk Giá I, II</t>
  </si>
  <si>
    <t>Nâng cấp trụ sở Đảng ủy,  HĐND-UBND xã Sa Loong</t>
  </si>
  <si>
    <t>2338/QĐ-UBND ngày 16/11/2021</t>
  </si>
  <si>
    <t>507/QĐ-UBND ngày 20/05/2024</t>
  </si>
  <si>
    <t>Đường lô 2 thôn Giang lố 1 (Nhánh 2), xã Sa Loong</t>
  </si>
  <si>
    <t>UBND xã Sa Loong</t>
  </si>
  <si>
    <t>2294/QĐ-UBND ngày 12/11/2021</t>
  </si>
  <si>
    <t>362/QĐ-UBND ngày 20/03/2023</t>
  </si>
  <si>
    <t>Đường vào khu sản xuất thôn Đắk vang đi A7 (đoạn 3), xã Sa Loong</t>
  </si>
  <si>
    <t>2295/QĐ-UBND ngày 12/11/2021</t>
  </si>
  <si>
    <t>390/QĐ-UBND ngày 28/03/2023</t>
  </si>
  <si>
    <t>Đường vào khu sản xuất thôn Bun Ngai (đoạn 3), xã Sa Loong</t>
  </si>
  <si>
    <t>2296/QĐ-UBND ngày 12/11/2021</t>
  </si>
  <si>
    <t>344/QĐ-UBND ngày 17/03/2023</t>
  </si>
  <si>
    <t>Sân vận động trung tâm xã Sa Loong</t>
  </si>
  <si>
    <t>2297/QĐ-UBND ngày 12/11/2021</t>
  </si>
  <si>
    <t>950/QĐ-UBND ngày 10/08/2023</t>
  </si>
  <si>
    <t>Đường vào khu sản xuất thôn 4 (đoạn 2) xã Đăk Kan</t>
  </si>
  <si>
    <t>1463/QĐ-UBND ngày 05/12/2023</t>
  </si>
  <si>
    <t>654/QĐ-UBND ngày 28/05/2025</t>
  </si>
  <si>
    <t>Nhà làm việc ban chỉ huy quân sự xã Đắk Kan</t>
  </si>
  <si>
    <t>UBND xã Đăk Kan</t>
  </si>
  <si>
    <t>2697/QĐ-UBND ngày 31-12- 2021</t>
  </si>
  <si>
    <t>872/QĐ-UBND ngày 12/08/2024</t>
  </si>
  <si>
    <t>Nâng cấp, mở rộng đường vào khu sản xuất thôn Ngọc Tặng (đi tiểu khu 178) xã Đăk Kan</t>
  </si>
  <si>
    <t xml:space="preserve"> 810/QĐ-UBND ngày 15/06/2020</t>
  </si>
  <si>
    <t>984/QĐ-UBND ngày 18/07/2022</t>
  </si>
  <si>
    <t>Nâng cấp, mở rộng đường vào khu sản xuất thôn Bun Ngai (tiểu khu 198), đoạn 2 xã Sa Loong</t>
  </si>
  <si>
    <t>2620/QĐ-UBND ngày 17/12/2021</t>
  </si>
  <si>
    <t>2540/QĐ-UBND ngày 15/12/2021</t>
  </si>
  <si>
    <t>Trường MN Họa Mi, xã Sa Loong (xây dựng mới 06 phòng học, các hạng mục khác,…)</t>
  </si>
  <si>
    <t>2285/QĐ-UBND ngày 12/11/2021</t>
  </si>
  <si>
    <t>560/QĐ-UBND ngày 30/05/2024</t>
  </si>
  <si>
    <t>Xây dựng nhà kho, xưởng phân loại và đóng gói sản phẩm, xưởng sơ chế - chế biến và mua sắm trang thiết bị phục vụ cho hoạt động sẩn xuất kinh doanh….HTX DVNN Đăk Kan</t>
  </si>
  <si>
    <t>1317/QĐ-UBND ngày 06/11/2023</t>
  </si>
  <si>
    <t>Nâng cấp, sửa chữa đường ĐH 74 (điểm đầu giao tại trụ sở công ty 732, điểm cuối đến đập thủy lợi Đăk Kan)</t>
  </si>
  <si>
    <t>Xã Đăk Kan, Sa Loong</t>
  </si>
  <si>
    <t>1532/QĐ-UBND ngày 25/10/2022</t>
  </si>
  <si>
    <t>Mua sắm trang thiết bị Trụ sở Đảng ủy, HĐND và UBND xã Sa Loong</t>
  </si>
  <si>
    <t>783/QĐ-UBND ngày 27-6-2023</t>
  </si>
  <si>
    <t>732/QĐ-UBND ngày 22/07/2024</t>
  </si>
  <si>
    <t>Nâng cấp Trụ sở Đảng ủy, HĐND - UBND xã Sa Loong</t>
  </si>
  <si>
    <t>1.1</t>
  </si>
  <si>
    <t>Đối ứng các công trình trên địa bàn xã Dục Nông</t>
  </si>
  <si>
    <t>Đường giao thông trục thôn Loong Dôn, xã Đắk Ang</t>
  </si>
  <si>
    <t>Đường giao thông vào Khu sản xuất Đắk Lo, thôn Long Dôn</t>
  </si>
  <si>
    <t>Nâng cấp sửa chữa một số hạng mục  khu du lịch cộng đồng thôn Đăk Răng, xã Đăk Dục</t>
  </si>
  <si>
    <t xml:space="preserve">Đường vào khu sản xuất thôn Tà Pook, xã Đắk Nông </t>
  </si>
  <si>
    <t xml:space="preserve">Nâng cấp sửa chữa đường giao thông nông thôn Lộc Nông </t>
  </si>
  <si>
    <t>Nước sinh hoạt tập trung xã Đăk Ang</t>
  </si>
  <si>
    <t xml:space="preserve">Dự án sắp xếp, ổn định dân cư tại chỗ xã Sa Loong, huyện Ngọc Hồi </t>
  </si>
  <si>
    <t>Nâng cấp sửa chữa đường ĐH 80 (điểm đầu TT xã Đăk Ang, điểm cuối thôn Ja Tun)</t>
  </si>
  <si>
    <t>Nâng cấp, mở rộng trường Phổ thông dân tộc bán trú Trung học cơ sở Ngô Quyền</t>
  </si>
  <si>
    <t>Đầu tư xây dựng điểm đến du lịch thôn Đăk Răng, xã Đăk Dục (HM: cải tạo rãnh thoát nước đường nội bộ thôn Đăk Răng)</t>
  </si>
  <si>
    <t>Hỗ trợ đất ở, nhà ở, đất sản xuất trên địa bàn xã Đăk Ang</t>
  </si>
  <si>
    <t>Hỗ trợ đầu tư xây dựng thiết chế văn hoá xã Đăk Ang</t>
  </si>
  <si>
    <t>Hỗ trợ đầu tư xây dựng thiết chế văn hoá xã Đăk  Dục</t>
  </si>
  <si>
    <t>Hỗ trợ đầu tư xây dựng thiết chế văn hoá xã Đăk Nông</t>
  </si>
  <si>
    <t>Sửa chữa, nâng cấp tuyến đường từ huyện Ngọc Hồi đến xã Đăk Ang (Đoạn từ thôn Đăk Blái đến trung tâm xã Đăk Ang), huyện Ngọc Hồi</t>
  </si>
  <si>
    <t>Dự án: Ứng dụng dụng công nghệ thông tin hỗ trợ phát triển kinh tế - xã hội và đảm bảo an ninh trật tự vùng đồng bào dân tộc thiểu số và miền núi trên địa bàn xã Đăk Ang</t>
  </si>
  <si>
    <t>1.2</t>
  </si>
  <si>
    <t>Đối ứng các công trình trên địa bàn xã Bờ Y</t>
  </si>
  <si>
    <t>Xã Đăk Xú, xã Pờ Y và Thị trấn Plei Kần</t>
  </si>
  <si>
    <t>Ban quản lý dự án và Dịch vụ công ích xã Bờ Y</t>
  </si>
  <si>
    <t xml:space="preserve">Nâng cấp sửa chữa đường giao thông nông thôn Kei Joi </t>
  </si>
  <si>
    <t>Đường giao thông trục thôn Chiên chiết (nhánh 1)</t>
  </si>
  <si>
    <t>Nâng cấp, sửa chữa đường giao thông nông thôn Bắc Phong</t>
  </si>
  <si>
    <t>Đường giao thông nông thôn (đấu nối thôn Kon Khôn đến thôn Bắc Phong)</t>
  </si>
  <si>
    <t>Hỗ trợ đầu tư xây dựng thiết chế văn hóa thể thao xã Đắk Xú</t>
  </si>
  <si>
    <t>Đường giao thông thôn Măng Tôn</t>
  </si>
  <si>
    <t>Hỗ trợ đầu tư xây dựng thiết chế văn hoá xã Pờ Y</t>
  </si>
  <si>
    <t>Hỗ trợ đầu tư xây dựng thiết chế văn hoá thị trấn Plei Kần</t>
  </si>
  <si>
    <t>Đầu tư, nâng cấp một số hạng mục Trung tâm giáo dục nghề nghiệp - giáo dục thường xuyên huyện Ngọc Hồi</t>
  </si>
  <si>
    <t>Đường giao thông nông thôn thôn Đăk Nông, đi Ngọc Yên Phúc (đoạn 1)</t>
  </si>
  <si>
    <t>Đầu tư, nâng cấp một số hạng mục Nhà văn hoá thể thao huyện Ngọc Hồi</t>
  </si>
  <si>
    <t>Đường giao thông nông thôn Đăk Nông đi Ngọc Yên Phúc (đoạn 2)</t>
  </si>
  <si>
    <t>1.3</t>
  </si>
  <si>
    <t>Đối ứng các công trình trên địa bàn xã Sa Loong</t>
  </si>
  <si>
    <t>Xã Đăk Kan và xã Sa Loong</t>
  </si>
  <si>
    <t>Đường giao thông trục thôn Hòa Bình (Nhánh 1), xã Đắk Kan</t>
  </si>
  <si>
    <t>Đường giao thông trục thôn Hòa Bình (Nhánh 2), xã Đắk Kan</t>
  </si>
  <si>
    <t>Đường lô 2 thôn Giang Lố 1 (Nhánh 2), xã Sa Loong</t>
  </si>
  <si>
    <t>Hỗ trợ đất ở, nhà ở, đất sản xuất trên địa bàn thôn Bun Ngai và thôn Giang Lố II</t>
  </si>
  <si>
    <t>Dự án: Ứng dụng dụng công nghệ thông tin hỗ trợ phát triển kinh tế - xã hội và đảm bảo an ninh trật tự vùng đồng bào dân tộc thiểu số và miền núi trên địa bàn 02 thôn (Giang Lố II và thôn Bun Ngai) xã Sa Loong</t>
  </si>
  <si>
    <t>Đầu tư nâng cấp nước sinh hoạt tập trung thôn Hòa Bình, xã Đăk Kan</t>
  </si>
  <si>
    <t>Đường giao thông trục thôn Hào Phú (đoạn 2)</t>
  </si>
  <si>
    <t>Nâng cấp, sửa chữa đường ĐH 74 (đoạn Hào Lý - Bun Ngai)</t>
  </si>
  <si>
    <t>Đường vào khu sản xuất thôn Giang Lố 1 đi 200A</t>
  </si>
  <si>
    <t>Sửa chữa, Nâng cấp công trình cấp nước sinh hoạt thôn Giang Lố 1, xã Sa Loong</t>
  </si>
  <si>
    <t>Hỗ trợ đầu tư xây dựng thiết chế văn hoá xã Đăk Kan</t>
  </si>
  <si>
    <t>Hỗ trợ đầu tư xây dựng thiết chế văn hoá xã Sa Loong</t>
  </si>
  <si>
    <t>Khu xử lý chất thải rắn liên hợp huyện Ngọc Hồi</t>
  </si>
  <si>
    <t>Đường giao thông thôn 2 đi thôn 4 xã Đăk Kan (Bao gồm cả đoạn đi qua nghĩa trang nhân dân xã Đăk Kan)</t>
  </si>
  <si>
    <t>1.4</t>
  </si>
  <si>
    <t>Phân cấp các xã, thị trấn</t>
  </si>
  <si>
    <t>Ủy thác qua ngân hàng chính sách</t>
  </si>
  <si>
    <t>Quỹ hội nông dân</t>
  </si>
  <si>
    <t>Hội Nông dân thành phố Kon Tum</t>
  </si>
  <si>
    <t>Hội Nông dân tỉnh Quảng Ngãi</t>
  </si>
  <si>
    <t>Chi đo đạc, đăng ký đất đai,..., chỉnh lý hồ sơ địa chính</t>
  </si>
  <si>
    <t>Phường Kon Tum</t>
  </si>
  <si>
    <t>Trường TH Lê Hồng Phong</t>
  </si>
  <si>
    <t>Ban QLDA TP</t>
  </si>
  <si>
    <t>UBND Phường Kon Tum</t>
  </si>
  <si>
    <t>Lĩnh vực giáo dực</t>
  </si>
  <si>
    <t>P Quyết Thắng</t>
  </si>
  <si>
    <t>2020-2020</t>
  </si>
  <si>
    <t>2999-31/7/2019</t>
  </si>
  <si>
    <t>3684-12/10/2021</t>
  </si>
  <si>
    <t>Phường Quyết Thắng</t>
  </si>
  <si>
    <t>Sửa chữa các hạng mục công trình giao thông đã bị hư hỏng, xuống cấp trên địa bàn thành phố Kon Tum</t>
  </si>
  <si>
    <t>Ban QLDA ĐTXD TP</t>
  </si>
  <si>
    <t>UBND phường Kon Tum</t>
  </si>
  <si>
    <t>TP Kon Tum</t>
  </si>
  <si>
    <t>2996-31/7/2019</t>
  </si>
  <si>
    <t>3426-23/12/2020</t>
  </si>
  <si>
    <t>Cải tạo nâng cấp đường Bà Triệu (đoạn Nguyễn Viết Xuân - Đào Duy Từ), thành phố Kon Tum</t>
  </si>
  <si>
    <t>P. Thắng Lợi</t>
  </si>
  <si>
    <t>2988-31/7/2019;2512-02/8/2021</t>
  </si>
  <si>
    <t>4992-28/12/2022</t>
  </si>
  <si>
    <t>Trường THCS Trần Hưng Đạo, thành phố Kon Tum</t>
  </si>
  <si>
    <t>P. Thống Nhất</t>
  </si>
  <si>
    <t>2994-31/7/2019</t>
  </si>
  <si>
    <t>664-4/3/2022</t>
  </si>
  <si>
    <t>San lấp mặt bằng khu đất công viên cây xanh có ký hiệu CV1, thuộc đồ án quy hoạch chi tiết tỷ lệ 1/500 khu trung tâm hành chính mới, dịch vụ thương mại và dân cư tỉnh Kon Tum</t>
  </si>
  <si>
    <t>P. Quyết Thắng</t>
  </si>
  <si>
    <t>2883-13/9/2018</t>
  </si>
  <si>
    <t>1562-30/7/2023</t>
  </si>
  <si>
    <t>Đường Trần Nhân Tông (đoạn Lê Hồng Phong - Phan Đình Phùng), thành phố Kon Tum</t>
  </si>
  <si>
    <t>P. Quang Trung</t>
  </si>
  <si>
    <t>3245-25/10/18</t>
  </si>
  <si>
    <t>2153-15/6/2022</t>
  </si>
  <si>
    <t>Cải tạo, sửa chữa công viên 02-9, phường Quyết Thắng, thành phố Kon Tum</t>
  </si>
  <si>
    <t>Lĩnh vực hạ tầng</t>
  </si>
  <si>
    <t>1923-27/7/2020</t>
  </si>
  <si>
    <t>3134-23/8/2022</t>
  </si>
  <si>
    <t>Cải tạo nâng cấp đường Bà Triệu (đoạn Mạc Đĩnh Chi - Đào Duy Từ), thành phố Kon Tum</t>
  </si>
  <si>
    <t>Tp Kon Tum</t>
  </si>
  <si>
    <t>5281-16/7/2010</t>
  </si>
  <si>
    <t>Trường THCS Phường Trường Chinh, thành phố Kon Tum</t>
  </si>
  <si>
    <t>P Trường Chinh</t>
  </si>
  <si>
    <t>2975-12/8/2022</t>
  </si>
  <si>
    <t>Đường Ngô Quyền (đoạn Lê Hồng Phong - Nguyễn Bỉnh Khiêm), thành phố Kon Tum; hạng mục: Mặt đường, vỉa hè và hệ thống thoát nước</t>
  </si>
  <si>
    <t>3090-
01/12/2020</t>
  </si>
  <si>
    <t>1083-13/5/2024</t>
  </si>
  <si>
    <t>Đường Nguyễn Bỉnh Khiêm kết hợp sửa chữa một số nút giao thông tại khu vực Trung tâm phường Quyết Thắng, thành phố Kon Tum</t>
  </si>
  <si>
    <t>3091-
01/12/2020;1577-31/7/2023</t>
  </si>
  <si>
    <t>1036-10/5/2024</t>
  </si>
  <si>
    <t>Đường Lê Lai (đoạn Nguyễn Viết Xuân - Nguyễn Hữu Cầu)</t>
  </si>
  <si>
    <t>P. Trường Chinh</t>
  </si>
  <si>
    <t>3100-
01/12/2020</t>
  </si>
  <si>
    <t>1740-15/5/2025</t>
  </si>
  <si>
    <t>Sửa chữa tuyến đường Nông Quốc Chấn (đoạn từ nhà ông A Rich cho đến đường Đào Duy Từ), thôn KonTum KơNâm, Phường Thống Nhất, thành phố Kon Tum</t>
  </si>
  <si>
    <t>UBND P. Thống Nhất</t>
  </si>
  <si>
    <t>3720-18/10/2021</t>
  </si>
  <si>
    <t>Cải tạo, sửa chữa một số tuyến đường bị hư hỏng, xuống cấp trên địa bàn thành phố Kon Tum.</t>
  </si>
  <si>
    <t>Phòng QLĐT</t>
  </si>
  <si>
    <t>4466-28/11/2021</t>
  </si>
  <si>
    <t>Sửa chữa các trường học chuẩn bị năm học mới 2021-2022</t>
  </si>
  <si>
    <t>TP. Kon Tum</t>
  </si>
  <si>
    <t>3433-23/12/2020</t>
  </si>
  <si>
    <t>4633-8/12/2022</t>
  </si>
  <si>
    <t>Cổng điện trang trí một số tuyến đường trên địa bàn thành phố</t>
  </si>
  <si>
    <t>Đầu tư xây dựng công trình hạ tầng</t>
  </si>
  <si>
    <t>3431-23/12/2020</t>
  </si>
  <si>
    <t>1577-27/5/2021</t>
  </si>
  <si>
    <t>3434-23/12/2020</t>
  </si>
  <si>
    <t>Chỉnh trang đô thị, cải tạo vỉa hè, hệ thống thoát nước, cây xanh và hệ thống điện đường Lê Hồng Phong (đoạn Trường Chinh - Bạch Đằng), thành phố Kon Tum</t>
  </si>
  <si>
    <t>204-25/01/2021</t>
  </si>
  <si>
    <t>Chỉnh trang đô thị, cải tạo vỉa hè, hệ thống thoát nước, cây xanh và hệ thống điện đườngTrần Phú (đoạn Trường Chinh - Nguyễn Huệ), thành phố Kon Tum</t>
  </si>
  <si>
    <t>205-25/01/2021</t>
  </si>
  <si>
    <t>2413-17/11/2023</t>
  </si>
  <si>
    <t>Chỉnh trang đô thị, cải tạo vỉa hè, hệ thống thoát nước, cây xanh và hệ thống điện đường Bà Triệu (đoạn Hoàng Thị Loan - Nguyễn Viết Xuân), thành phố Kon Tum</t>
  </si>
  <si>
    <t>206-25/01/2021</t>
  </si>
  <si>
    <t>2550-8/12/2023</t>
  </si>
  <si>
    <t>Chỉnh trang đô thị, cải tạo vỉa hè, hệ thống thoát nước, cây xanh và hệ thống điện đường Nguyễn Huệ (đoạn Phan Đình Phùng - Đào Duy Từ), thành phố Kon Tum</t>
  </si>
  <si>
    <t>1551-28/7/2023</t>
  </si>
  <si>
    <t>Đầu tư mua sắm trang bị phòng máy vi tính để thực hiện chương trình giáo dục phổ thông năm 2018</t>
  </si>
  <si>
    <t>Phòng GD&amp;ĐT</t>
  </si>
  <si>
    <t>1660-01/6/2021</t>
  </si>
  <si>
    <t>4 trường</t>
  </si>
  <si>
    <t>06 cổng điện trang trí một số tuyến đường trên địa bàn thành phố Kon Tum.</t>
  </si>
  <si>
    <t>2636-6/8/2021</t>
  </si>
  <si>
    <t>2175-16/6/2022</t>
  </si>
  <si>
    <t>Nâng cấp, cải tạo Trường tiểu học Mạc Đĩnh Chi, thành phố Kon Tum</t>
  </si>
  <si>
    <t>2637-6/8/2021</t>
  </si>
  <si>
    <t>1156-4/6/2023</t>
  </si>
  <si>
    <t>Trường TH-THCS Trường Sa (cơ sở cấp Tiểu học), thành phố Kon Tum, hạng mục: Nhà học 05 phòng và một số hạng mục phụ trợ</t>
  </si>
  <si>
    <t>Phòng Giáo dục -ĐT</t>
  </si>
  <si>
    <t>3743-18/10/2021</t>
  </si>
  <si>
    <t>Lắp đặt hệ thống đèn Led trang trí trên các trụ điện chiếu sáng công lộ dọc đường Phan Đình Phùng (đoạn từ Cầu Đăk Bla đến bến xe Kon Tum)</t>
  </si>
  <si>
    <t>4129-9/11/2021</t>
  </si>
  <si>
    <t>Nâng cấp, sửa chữa trụ sở làm việc Trung tâm phát triển quỹ đất thành phố Kon Tum; hạng mục: Sửa chữa Nhà làm việc, xây mới 01 phòng làm việc và các hạng mục phụ trợ.</t>
  </si>
  <si>
    <t>Trung tâm phát triển quỹ đất</t>
  </si>
  <si>
    <t>P. Duy Tân</t>
  </si>
  <si>
    <t>4528-03/12/2021</t>
  </si>
  <si>
    <t>Nâng cấp, sửa chữa trụ sở làm việc, nhà tập luyện và thi đấu thể dục thể thao thành phố Kon Tum; hạng mục: Sửa chữa nhà làm việc, nhà tập luyện và thi đấu thể dục thể thao và các hạng mục phụ trợ.</t>
  </si>
  <si>
    <t>UBND Phường Đăk Cấm</t>
  </si>
  <si>
    <t>4530-03/12/2021</t>
  </si>
  <si>
    <t>2330-9/11/2023</t>
  </si>
  <si>
    <t>Đầu tư nâng cấp đường Sư Vạn Hạnh (Đoạn Urê - Trần Phú), thành phố Kon Tum.</t>
  </si>
  <si>
    <t xml:space="preserve">Phòng Quản lý đô thị </t>
  </si>
  <si>
    <t>4792-20/12/2021</t>
  </si>
  <si>
    <t>Sửa chữa, cải tạo, nâng cấp, mở rộng khu nhà Hội trường, trụ sở Thành ủy (để bàn giao cho Đảng ủy - HĐND - UBND - UBMTTQVN phường Quyết Thắng)</t>
  </si>
  <si>
    <t>4779-19/12/2021; 4373-18/11/2022</t>
  </si>
  <si>
    <t>270-4/2/2024</t>
  </si>
  <si>
    <t>Đầu tư cơ sở vật chất cho một số trường học chuẩn bị cho năm học mới 2022-2023</t>
  </si>
  <si>
    <t>Phòng Giáo dục và ĐT</t>
  </si>
  <si>
    <t>817- 15/3/2022</t>
  </si>
  <si>
    <t>Lắp đặt hệ thống đèn Led trang trí trên các trụ đèn chiếu sáng công lộ dọc giải phân cách tuyến đường Phạm Văn Đồng (đoạn từ cầu Đăk Bla đến đường Ngô Đức Đệ) và đường Phan Đình Phùng (đoạn từ Bến xe Kon Tum đến đường Phan Đình Giót), thành phố Kon Tum.</t>
  </si>
  <si>
    <t>2214-21/6/2022</t>
  </si>
  <si>
    <t>Cải tạo, sửa chữa một số hạng mục công trình hạ tầng kỹ thuật bị hư hỏng; lắp đặt bổ sung một số hạng mục chiếu sáng công cộng trên địa bàn thành phố.</t>
  </si>
  <si>
    <t>2220-21/6/2022</t>
  </si>
  <si>
    <t>Cột cờ Quảng trường 16/3, thành phố Kon Tum.</t>
  </si>
  <si>
    <t>4169-03/11/2022</t>
  </si>
  <si>
    <t>962-30/4/2024</t>
  </si>
  <si>
    <t>Lắp đặt hệ thống đèn Led trang trí, hệ thống điện chiếu sáng và trồng cây xanh tại một số tuyến đường, khu vực trên địa bàn thành phố Kon Tum</t>
  </si>
  <si>
    <t>10-05/01/2023</t>
  </si>
  <si>
    <t>Nâng cấp, cải tạo Nhà bia tưởng niệm liệt sĩ, thành phố Kon Tum</t>
  </si>
  <si>
    <t>1426-7/7/2023</t>
  </si>
  <si>
    <t>Xây dựng mới cổng và tường rào Trụ sở làm việc Công an các xã trên địa bàn thành phố Kon Tum</t>
  </si>
  <si>
    <t>Trụ sở</t>
  </si>
  <si>
    <t>872-19/4/2024</t>
  </si>
  <si>
    <t>Đầu tư cơ sở hạ tầng tạo quỹ đất đấu giá tại thôn Kon Mơ Nay Sơ Lam 1, phường Trường Chinh, thành phố Kon Tum</t>
  </si>
  <si>
    <t>UBND P. Trường Chính</t>
  </si>
  <si>
    <t>2291-20/6/2022</t>
  </si>
  <si>
    <t>Sửa chữa, thay thế các thiết bị điện, điện tử bị hư hỏng của hệ thống điện chiếu sáng công cộng; hệ thống đèn tín hiệu giao thông và cải tạo, sữa chữa Biểu tượng trụ đồng hồ tại nút giao thông Trần Phú - Nguyễn Huệ, thành phố Kon Tum</t>
  </si>
  <si>
    <t>199-25/01/2021</t>
  </si>
  <si>
    <t xml:space="preserve">Sửa chữa, thay thế các thiết bị điện của hệ thống điện trang trí tại tuyến đường Quốc lộ 14, Quốc lộ 24 (đoạn qua địa bàn thành phố); các Công viên, vườn hoa; các Bờ kè (Kè số 1, số 2 của sông Đăk Bla và Kè chống sạt lở Quốc lộ 24), thuộc địa bàn các phường nội thành thành phố Kon Tum. </t>
  </si>
  <si>
    <t>858-30/3/2021</t>
  </si>
  <si>
    <t>Thành phố 
Kon Tum, tỉnh Kon Tum</t>
  </si>
  <si>
    <t>Lắp đặt bổ sung và thay thế các bộ đèn chiếu sáng của hệ thống chiếu sáng công cộng tại các bảng Pa nô “Thành phố Kon Tum  kính chào Quý khách” và các đèn chiếu sáng tại khu vực xung quanh đảo giao thông đầu cầu Đăk Bla, thành phố Kon Tum.</t>
  </si>
  <si>
    <t>859-30/3/2021</t>
  </si>
  <si>
    <t>Khắc phục sạt lở cống 2Ø150, đường Đào Duy Từ, phường Trường Chinh và xử lý sụt lún tại ngã tư Bà Triệu - Phan Đình Phùng, phường Quang Trung, thành phố Kon Tum</t>
  </si>
  <si>
    <t>860-30/3/2021;2640-6/8/2021</t>
  </si>
  <si>
    <t>Thành phố
 Kon Tum</t>
  </si>
  <si>
    <t>Sửa chữa Trụ sở HĐND-UBND thành phố Kon Tum, hạng mục: Sửa chữa hệ thống điện, cải tạo các phòng vệ sinh, sơn sửa mặt tiền và một số phòng làm việc</t>
  </si>
  <si>
    <t>Văn phòng HĐND-UBND TP</t>
  </si>
  <si>
    <t>1663-02/6/2021</t>
  </si>
  <si>
    <t>Cải tạo, sửa chữa hệ thống Đài phun nước, Công viên Giọt nước Đăk Bla, phường Quyết Thắng, thành phố Kon Tum.</t>
  </si>
  <si>
    <t>819- 15/3/2022</t>
  </si>
  <si>
    <t>Đầu tư màn hình điện tử phục vụ công tác tuyên truyền chính trị tại Trụ sở HĐND-UBND thành phố Kon Tum</t>
  </si>
  <si>
    <t>821- 15/3/2022</t>
  </si>
  <si>
    <t>Lắp đặt các Cột cờ xung quanh vòng xuyến phía Bắc cầu Đăk Bla phường Quyết Thắng, thành phố Kon Tum</t>
  </si>
  <si>
    <t>199-17/01/2023</t>
  </si>
  <si>
    <t>Nâng cấp, cải tạo đường Huỳnh Đăng Thơ, thành phố Kon Tum</t>
  </si>
  <si>
    <t>Giao 
thông, hạ tầng</t>
  </si>
  <si>
    <t>3083-01/12/2020</t>
  </si>
  <si>
    <t>1100-20/3/2025</t>
  </si>
  <si>
    <t xml:space="preserve">Cải tạo, nâng cấp đường Ka Pa Kơ Lơng, thành phố Kon Tum </t>
  </si>
  <si>
    <t>3085-01/12/2020;1575-31/7/23</t>
  </si>
  <si>
    <t>3328-24/12/2024</t>
  </si>
  <si>
    <t>Phường Thống Nhất</t>
  </si>
  <si>
    <t>Trồng cây xanh trên tuyến đường bao khu dân cư phía Nam, thành phố Kon Tum</t>
  </si>
  <si>
    <t>4522-01/12/2022</t>
  </si>
  <si>
    <t xml:space="preserve">Hệ thống thoát nước, vỉa hè các tuyến nội thành, thành phố Kon Tum </t>
  </si>
  <si>
    <t>415-14/5/2021;436-21/7/2022</t>
  </si>
  <si>
    <t>Công trình khẩn cấp: Khắc phục sạt lở hạ lưu cống thoát nước ngang (03 cốngD150cm) tại đường Hai Bà Trưng, phường Quang Trung, thành phố Kon Tum</t>
  </si>
  <si>
    <t>876-10/11/2023</t>
  </si>
  <si>
    <t>1770-25/7/2024</t>
  </si>
  <si>
    <t>Đường Đống Đa (đoạn Lê Văn Hưu - Trần Văn Hai), thành phố Kon Tum; hạng mục: Vỉa hè và hệ thống thoát nước</t>
  </si>
  <si>
    <t>Giao thông,</t>
  </si>
  <si>
    <t>P.Thắng Lợi</t>
  </si>
  <si>
    <t>2026-2030</t>
  </si>
  <si>
    <t>Chưa bố trí vốn</t>
  </si>
  <si>
    <t>3102-01/12/2020</t>
  </si>
  <si>
    <t xml:space="preserve">Đường Lý Thường Kiệt (đoạn Bà Triệu - Nguyễn Du), thành phố Kon Tum; hạng mục: Nền, mặt đường, vỉa hè và hệ thống thoát nước </t>
  </si>
  <si>
    <t>3089-01/12/2020;2928-08/8/2022</t>
  </si>
  <si>
    <t>Trường Tiểu học Phan Đình Phùng, thành phố Kon Tum, hạng mục: Khối nhà học 07 phòng học kết hợp 07 phòng học bộ môn, khối nhà Hiệu bộ kết hợp khối hỗ trợ học tập, bếp ăn và các hạng mục công trình  phụ trợ.</t>
  </si>
  <si>
    <t>2308-28/6/2022</t>
  </si>
  <si>
    <t>Cải tạo nâng cấp đường Hai Bà Trưng (đoạn Trần Hưng Đạo - Cầu đường nhà đường)</t>
  </si>
  <si>
    <t>397-14/5/2021</t>
  </si>
  <si>
    <t>Đường Trần Khánh Dư (đoạn U Rê - Trần Văn Hai), thành phố Kon Tum</t>
  </si>
  <si>
    <t>414-14/5/2021</t>
  </si>
  <si>
    <t>Dự án chuẩn bị đầu tư (chưa bố trí vốn thực hiện)</t>
  </si>
  <si>
    <t>Đầu tư tuyến đường Hồng Bàng (Đoạn Lý Tự Trọng – đường bê tông hiện trạng), phường Thống Nhất, thành phố Kon Tum.</t>
  </si>
  <si>
    <t>4526-03/12/2021</t>
  </si>
  <si>
    <t>Sửa chữa hư hỏng nền mặt đường và vỉa hè một số tuyến đường trên địa bàn thành phố.</t>
  </si>
  <si>
    <t>2221-21/6/2022</t>
  </si>
  <si>
    <t>Đường Trần Nhân Tông (đoạn Nguyễn Viết Xuân - Trần Văn Hai), phường Thắng Lợi, thành phố Kon Tum</t>
  </si>
  <si>
    <t>3101-01/12/2020</t>
  </si>
  <si>
    <t>Chỉnh trang đô thị, cải tạo vỉa hè, hệ thống thoát nước, cây xanh và hệ thống điện đường Phan Đình Phùng (đoạn cầu ĐăkBla - Bến xe Kon Tum), thành phố Kon Tum</t>
  </si>
  <si>
    <t>Nhà làm việc Ban Chỉ huy Quân sự phường Thống Nhất, thành phố Kon Tum</t>
  </si>
  <si>
    <t>28-6/01/2023</t>
  </si>
  <si>
    <t>Nhà làm việc Ban Chỉ huy Quân sự phường Trường Chinh, thành phố Kon Tum</t>
  </si>
  <si>
    <t>UBND P. Trường Chinh</t>
  </si>
  <si>
    <t>645-03/4/2023</t>
  </si>
  <si>
    <t>Đầu tư vỉa hè phía Đông đường Nguyễn Viết Xuân (đoạn từ đường Trường Chinh – đường Trần Nhân Tông), thành phố Kon Tum</t>
  </si>
  <si>
    <t>1424-7/7/2023</t>
  </si>
  <si>
    <t xml:space="preserve">Đường Đào Duy Từ (đoạn Nguyễn Huệ đến Trần Văn Hai), thành phố Kon Tum; hạng mục: Nền, mặt đường và hệ thống thoát nước </t>
  </si>
  <si>
    <t>P. Thống Nhất và P. Thắng Lợi</t>
  </si>
  <si>
    <t>398-14/5/2021</t>
  </si>
  <si>
    <t>Chỉnh trang đô thị khu vực tổ 7 (sắp xếp lại đất đai), phường Thắng Lợi, thành phố Kon Tum</t>
  </si>
  <si>
    <t>Phường Thắng Lợi</t>
  </si>
  <si>
    <t xml:space="preserve"> 4376-28/12/2018</t>
  </si>
  <si>
    <t>Phường Đăk Bla</t>
  </si>
  <si>
    <t>Mở rộng điểm trường MN Họa Mi, phường Trần Hưng Đạo, thành phố Hon Tum, hạng mục xây mới nhà học 3 phòng và các hạng mục phụ trợ</t>
  </si>
  <si>
    <t>UBND Phường Đăk Bla</t>
  </si>
  <si>
    <t>Phường Trần H Đạo</t>
  </si>
  <si>
    <t>2028-27/6/2018</t>
  </si>
  <si>
    <t>3625-10/10/2021</t>
  </si>
  <si>
    <t>Kè chống sạt lở dọc đường Nguyễn Lữ, thành phố Kon Tum (phía giáp sông ĐăkBla)</t>
  </si>
  <si>
    <t>UBND phường ĐăkBla</t>
  </si>
  <si>
    <t>Nông nghiệp và phát triển nông thôn</t>
  </si>
  <si>
    <t>1132-30/10/2015</t>
  </si>
  <si>
    <t>3838-11/10/2022</t>
  </si>
  <si>
    <t>Đầu tư xây dựng khẩn cấp Trường TH-THCS 
Lê Lợi (cơ sở tiểu học) và Trường mầm non Nắng Hồng (điểm trường thôn Kon Rơ Lang).</t>
  </si>
  <si>
    <t>P. Lê Lợi và Đăk Blà</t>
  </si>
  <si>
    <t>2303-09/09/2020</t>
  </si>
  <si>
    <t>442-19/2/2022</t>
  </si>
  <si>
    <t>UBND P. Đăk Bla</t>
  </si>
  <si>
    <t>Mương thoát nước đấu nối cống xả Đường Phạm Văn Đồng, phường Trần Hưng Đạo</t>
  </si>
  <si>
    <t>UBND P. Trần Hưng Đạo</t>
  </si>
  <si>
    <t>P. T H Đạo</t>
  </si>
  <si>
    <t>3425-23/12/2020</t>
  </si>
  <si>
    <t>UBND 
Phường Đăk Bla</t>
  </si>
  <si>
    <t xml:space="preserve">Trường Mầm non Nắng Mai, thành phố Kon Tum, hạng mục: Nhà học 06 phòng kết hợp khu Hành chính quản trị và các hạng mục phụ trợ.  </t>
  </si>
  <si>
    <t>P. Lê Lợi</t>
  </si>
  <si>
    <t>818-15/3/2022</t>
  </si>
  <si>
    <t>Phường Lê Lợi</t>
  </si>
  <si>
    <t xml:space="preserve">Chợ khu vực phía Nam, phường Lê Lợi, thành phố Kon Tum (định hướng xây dựng chợ đầu mối) </t>
  </si>
  <si>
    <t>Giao thông, hạ tầng</t>
  </si>
  <si>
    <t>5734-20/12/2019</t>
  </si>
  <si>
    <t>3691-13/10/2021</t>
  </si>
  <si>
    <t>Mở rộng không gian đô thị phường Nguyễn Trãi, thành phố Kon Tum kết hợp với khai thác quỹ đất.</t>
  </si>
  <si>
    <t>P. Nguyễn Trãi</t>
  </si>
  <si>
    <t>2022-2026</t>
  </si>
  <si>
    <t>5733-20/12/2019;3465-30/9/2021;3493-01/10/2021</t>
  </si>
  <si>
    <t>Nâng cấp mở rộng đường Nguyễn Lương Bằng, phường Lê Lợi, thành phố Kon Tum (Đoạn từ Ngô Văn Sở đến Nguyễn Tri Phương)</t>
  </si>
  <si>
    <t>2219-21/6/2022</t>
  </si>
  <si>
    <t xml:space="preserve">Trường TH-THCS Trần Hưng Đạo (cơ sở cấp THCS), thành phố Kon Tum, hạng mục: Xây mới nhà hiệu bộ + kết hợp các phòng học bộ môn; cải tạo các dãy phòng học; xây mới  nhà vệ sinh học sinh; cải tạo, xây mới tường rào và các hạng mục phụ trợ khác </t>
  </si>
  <si>
    <t>Phường Trần Hưng Đạo</t>
  </si>
  <si>
    <t>1423-7/7/2023</t>
  </si>
  <si>
    <t>Nâng cấp, sửa chữa đường A Khanh, phường Trần Hưng Đạo, thành phố Kon Tum</t>
  </si>
  <si>
    <t>Giao 
thông</t>
  </si>
  <si>
    <t>P. Trần H Đạo</t>
  </si>
  <si>
    <t>3082-01/12/2020</t>
  </si>
  <si>
    <t>UBND Phường Đăk bla</t>
  </si>
  <si>
    <t>Đường Ngô Văn Sở ( đoạn từ Ngô Đức Kế -đường Đồng Nai), Phường Lê Lợi</t>
  </si>
  <si>
    <t>3099-
01/12/2020</t>
  </si>
  <si>
    <t>Đường Lê Thị Hồng Gấm (đoạn Đặng Tiến Đông - Đồng Nai), phường Lê Lợi, thành phố Kon Tum</t>
  </si>
  <si>
    <t>1869-12/7/2017</t>
  </si>
  <si>
    <t>Hệ thống thoát nước mưa cụm CN - TTCN làng nghề H'nor phường Lê Lợi, TP Kon Tum</t>
  </si>
  <si>
    <t>3111-01/12/2020</t>
  </si>
  <si>
    <t>Hệ thống xử lý nước thải cụm CN - TTCN làng nghề H'nor phường Lê Lợi, TP Kon Tum</t>
  </si>
  <si>
    <t>3110-01/12/2020</t>
  </si>
  <si>
    <t>Nhà làm việc Ban Chỉ huy Quân sự phường Trần Hưng Đạo, thành phố Kon Tum</t>
  </si>
  <si>
    <t>UBND P. T HĐạo</t>
  </si>
  <si>
    <t>14-05/01/2023</t>
  </si>
  <si>
    <t>Nhà làm việc Ban Chỉ huy Quân sự phường Nguyễn Trãi, thành phố Kon Tum</t>
  </si>
  <si>
    <t>UBND P. Nguyễn Trãi</t>
  </si>
  <si>
    <t>13-05/01/2023</t>
  </si>
  <si>
    <t>Phường Đăk Cấm</t>
  </si>
  <si>
    <t>Xử lý hệ thống thoát nước mưa, nước thải tại các giao lộ thuộc đồ án quy hoạch chi tiết xây dựng khu đô thị phía Bắc phường Duy Tân, thành phố Kon Tum</t>
  </si>
  <si>
    <t>2017-2018</t>
  </si>
  <si>
    <t>785-10/4/2023</t>
  </si>
  <si>
    <t>Phường Duy Tâm</t>
  </si>
  <si>
    <t>Dự án kè chống sạt lở QL 24 đoạn qua thành phố Kon Tum</t>
  </si>
  <si>
    <t>2011-2015</t>
  </si>
  <si>
    <t>1416-10/11/2019;715-29/7/2011</t>
  </si>
  <si>
    <t>19-26/1/2024</t>
  </si>
  <si>
    <t>Phường Duy Tân</t>
  </si>
  <si>
    <t>Đường Sư Vạn Hạnh, phường Duy Tân, thành phố Kon Tum</t>
  </si>
  <si>
    <t xml:space="preserve">Giáo </t>
  </si>
  <si>
    <t>2018-2019</t>
  </si>
  <si>
    <t>2593-20/10/2017</t>
  </si>
  <si>
    <t>2185-20/6/2022</t>
  </si>
  <si>
    <t>Trường TH-THCS xã Đăk Cấm, thành phố Kon Tum</t>
  </si>
  <si>
    <t>Xã Đăk Cấm</t>
  </si>
  <si>
    <t>2998-31/7/2019</t>
  </si>
  <si>
    <t>1467-19/5/2021</t>
  </si>
  <si>
    <t>Trường tiểu học Trần Phú, thành phố Kon Tum</t>
  </si>
  <si>
    <t>2993-31/7/2019</t>
  </si>
  <si>
    <t>4355-19/11/2021</t>
  </si>
  <si>
    <t>Khắc phục sạt lở đường giao thông kết hợp kè Quốc lộ 24, phường Duy Tân, thành phố Kon Tum</t>
  </si>
  <si>
    <t>2989-31/7/2019</t>
  </si>
  <si>
    <t>2842-2/8/2022</t>
  </si>
  <si>
    <t>Lập quy hoạch chi tiết (điều chỉnh, mở rộng) Cụm công nghiệp, tiểu thủ công nghiệp Thanh Trung xã Vinh Quang (nay thuộc Phường Ngô Mây), thành phố Kon Tum, tỉnh Kon Tum</t>
  </si>
  <si>
    <t>Lập quy hoạch</t>
  </si>
  <si>
    <t>P. Ngô Mây</t>
  </si>
  <si>
    <t>2516-16/7/2019</t>
  </si>
  <si>
    <t>2550-10/7/2022</t>
  </si>
  <si>
    <t xml:space="preserve">Danh mục dự án cứng hóa đường giao thông nông thôn trên địa bàn xã Đăk Cấm, thành phố Kon Tum </t>
  </si>
  <si>
    <t>UBND xã Đăk Cấm</t>
  </si>
  <si>
    <t>5732-20/12/2019; 361-28/2/2020</t>
  </si>
  <si>
    <t>Lò giết mổ gia súc tập trung trên địa bàn thành phố Kon Tum.</t>
  </si>
  <si>
    <t>3013-02/8/2019;6206-30/9/2019;1146-20/5/2024</t>
  </si>
  <si>
    <t>2520-3/8/2021</t>
  </si>
  <si>
    <t xml:space="preserve">Khai thác quỹ đất để đầu tư phát triển kết cấu hạ tầng Khu quy hoạch phường Ngô Mây; Hạng mục: Đường quy hoạch số 10 (đoạn Phan Kế Bính - Phan Đình Phùng)   </t>
  </si>
  <si>
    <t>2017-2021</t>
  </si>
  <si>
    <t>804-14/8/14</t>
  </si>
  <si>
    <t>2755-13/8/2021</t>
  </si>
  <si>
    <t>Đường vào Trung tâm bảo trợ xã hội tỉnh</t>
  </si>
  <si>
    <t>2018-2021</t>
  </si>
  <si>
    <t>1872-12/7/2017</t>
  </si>
  <si>
    <t>4357-19/11/2021</t>
  </si>
  <si>
    <t>Đường Trần Khát Chân, phường Duy Tân, thành phố Kon Tum</t>
  </si>
  <si>
    <t>3096-
01/12/2020</t>
  </si>
  <si>
    <t>2042-8/6/2025</t>
  </si>
  <si>
    <t>Đường Bùi Văn Nê (đoạn Nguyễn Trường Tộ - Phan Đình Phùng), phường Duy Tân, thành phố Kon Tum</t>
  </si>
  <si>
    <t>3097-01/12/2020; 2639-06/8/2021</t>
  </si>
  <si>
    <t>Nhà làm việc Ban Chỉ huy Quân sự phường Duy Tân, thành phố Kon Tum</t>
  </si>
  <si>
    <t>UBND P. Duy Tân</t>
  </si>
  <si>
    <t>17-05/01/2023</t>
  </si>
  <si>
    <t>Đường vào Trụ sở làm việc các cơ quan thành phố Kon Tum</t>
  </si>
  <si>
    <t>Giao thông, Hạ tầng</t>
  </si>
  <si>
    <t>2021-2026</t>
  </si>
  <si>
    <t>3432-23/12/2020</t>
  </si>
  <si>
    <r>
      <t xml:space="preserve">Đảm bảo an toàn giao thông trên tuyến Tỉnh lộ 666 cũ </t>
    </r>
    <r>
      <rPr>
        <i/>
        <sz val="12"/>
        <rFont val="Times New Roman"/>
        <family val="1"/>
      </rPr>
      <t xml:space="preserve">(đường Nguyễn Chí Thanh), </t>
    </r>
    <r>
      <rPr>
        <sz val="12"/>
        <rFont val="Times New Roman"/>
        <family val="1"/>
      </rPr>
      <t>đoạn qua địa bàn xã Vinh Quang, phường Ngô Mây, thành phố Kon Tum</t>
    </r>
  </si>
  <si>
    <t>P. Ngô Mây 
và xã Vinh Quang</t>
  </si>
  <si>
    <t>857-30/3/2021</t>
  </si>
  <si>
    <t>Phường Ngô Mây 
và xã Vinh Quang</t>
  </si>
  <si>
    <t>Mái che khu giết mổ gia súc tập trung trên địa bàn thành phố Kon Tum và điện chiếu sáng đến khu giết mổ.</t>
  </si>
  <si>
    <t>4529-03/12/2021;4899-20/12/2022</t>
  </si>
  <si>
    <t>2190-18/9/2024</t>
  </si>
  <si>
    <t>Chỉnh trang đô thị đầu tư hạ tầng Khu đô thị mới phía Bắc Duy Tân, thành phố Kon Tum</t>
  </si>
  <si>
    <t>2026-2027</t>
  </si>
  <si>
    <t>4794-20/12/2021</t>
  </si>
  <si>
    <t>Nhà bia tưởng niệm các Anh hùng liệt sĩ, tổ dân phố 2, phường Duy Tân, thành phố Kon Tum; Hạng mục: Sửa chữa nhà bia tưởng niệm, cổng, tường rào và các hạng mục phụ trợ.</t>
  </si>
  <si>
    <t>2013-02/6/2022</t>
  </si>
  <si>
    <t>Cổng chào cửa ngõ thành phố Kon Tum (Phía Bắc và phía Nam)</t>
  </si>
  <si>
    <t>UBND phường Đắk Cấm</t>
  </si>
  <si>
    <t>203-25/01/2021</t>
  </si>
  <si>
    <t>2737-22/7/2022</t>
  </si>
  <si>
    <t>Đầu tư cơ sở hạ tầng kỹ thuật Cụm công nghiệp -Tiểu thủ công nghiệp phường Ngô Mây và xã Đăk Cấm, thành phố Kon Tum</t>
  </si>
  <si>
    <t>P. Ngô Mây và xã Đăk Cấm</t>
  </si>
  <si>
    <t>2309-28/6/2022; 4336-14/11/2022;218-19/01/2023</t>
  </si>
  <si>
    <t>Đầu tư xây dựng cầu tràn dân sinh trên địa bàn xã Đăk Cấm, thành phố Kon Tum</t>
  </si>
  <si>
    <t>820- 15/3/2022</t>
  </si>
  <si>
    <t>Chỉnh trang đô thị dọc tuyến đường Hồ Chí Minh tại thôn Thanh Trung, phường Ngô Mây, thành phố Kon Tum</t>
  </si>
  <si>
    <t xml:space="preserve"> 4374-28/12/2021;4454-27/11/2021</t>
  </si>
  <si>
    <t>Đầu tư cơ sở hạ tầng khu tái định cư kết hợp với mở rộng, phát triển khu dân cư phía Bắc phường Duy Tân, thành phố Kon Tum</t>
  </si>
  <si>
    <t>3130-03/12/2020</t>
  </si>
  <si>
    <t>Đầu tư xây dựng trụ sở làm việc các cơ quan thành phố Kon Tum</t>
  </si>
  <si>
    <t>P. Duy Tân và xã Đăk Cấm</t>
  </si>
  <si>
    <t>1589-03/7/2020;4337-14/11/2022</t>
  </si>
  <si>
    <r>
      <t xml:space="preserve">Trồng hoa giải phân cách đường Võ Nguyên Giáp </t>
    </r>
    <r>
      <rPr>
        <i/>
        <sz val="12"/>
        <rFont val="Times New Roman"/>
        <family val="1"/>
      </rPr>
      <t>(đoạn gần ngã 3 Trung tín),</t>
    </r>
    <r>
      <rPr>
        <sz val="12"/>
        <rFont val="Times New Roman"/>
        <family val="1"/>
      </rPr>
      <t xml:space="preserve"> thành phố Kon Tum.</t>
    </r>
  </si>
  <si>
    <t>P. Ngô Mây
 và xã Đăk Cấm</t>
  </si>
  <si>
    <t>857-30/3/2021;2641-6/8/2021</t>
  </si>
  <si>
    <r>
      <t xml:space="preserve">Lắp đặt hệ thống điện chiếu sáng công lộ tại đường Võ Nguyên Giáp, thành phố Kon Tum </t>
    </r>
    <r>
      <rPr>
        <i/>
        <sz val="12"/>
        <rFont val="Times New Roman"/>
        <family val="1"/>
      </rPr>
      <t>(đoạn đường có giải phân cách)</t>
    </r>
    <r>
      <rPr>
        <sz val="12"/>
        <rFont val="Times New Roman"/>
        <family val="1"/>
      </rPr>
      <t>.</t>
    </r>
  </si>
  <si>
    <t>P. Ngô Mây 
và xã Đăk Cấm</t>
  </si>
  <si>
    <t>855-30/3/2021</t>
  </si>
  <si>
    <t>Trường tiểu học Lê Văn Tám, thành phố Kon Tum; hạng mục: Nhà học 08 phòng và một số hạng mục phụ trợ.</t>
  </si>
  <si>
    <t>P.
 Ngô Mây</t>
  </si>
  <si>
    <t>861-30/3/2021</t>
  </si>
  <si>
    <t>Phường
 Ngô Mây</t>
  </si>
  <si>
    <t>Trường THCS Nguyễn Huệ, thành phố Kon Tum, Hạng mục: Cải tạo, sửa chữa hàng rào</t>
  </si>
  <si>
    <t>Xã Đăk cấm</t>
  </si>
  <si>
    <t>714-10/4/2023;22245-31/10/2023</t>
  </si>
  <si>
    <t>911-23/4/2024</t>
  </si>
  <si>
    <t>Nâng cấp, cải tạo hệ thống xử lý nước thải của Lò giết mổ gia súc tập trung trên địa bàn thành phố Kon Tum.</t>
  </si>
  <si>
    <t>Hạ tầng 
kỹ thuật</t>
  </si>
  <si>
    <t>1681/QĐ-UBND -17/7/2024 ; 1521/QĐ-UBND, ngày 18/4/2025</t>
  </si>
  <si>
    <t>P Ngô Mây</t>
  </si>
  <si>
    <r>
      <t>Đường Ngô Thì Nhậm</t>
    </r>
    <r>
      <rPr>
        <i/>
        <sz val="12"/>
        <rFont val="Times New Roman"/>
        <family val="1"/>
      </rPr>
      <t xml:space="preserve"> (đoạn Urê - Đinh Công Tráng)</t>
    </r>
    <r>
      <rPr>
        <sz val="12"/>
        <rFont val="Times New Roman"/>
        <family val="1"/>
      </rPr>
      <t>, phường Duy Tân, thành phố Kon Tum</t>
    </r>
  </si>
  <si>
    <t>Giao
 thông, hạ tầng</t>
  </si>
  <si>
    <t>2903-13/11/2020;1576-31/7/2023</t>
  </si>
  <si>
    <t>2381-27/6/2025</t>
  </si>
  <si>
    <t>Đường Phan Đình Giót nối dài đường vào Trụ sở làm việc các cơ quan thành phố Kon Tum</t>
  </si>
  <si>
    <t>378-14/5/2021</t>
  </si>
  <si>
    <t>Chỉnh trang đô thị phía Bắc phường Duy Tân, thành phố Kon Tum</t>
  </si>
  <si>
    <t>1591-03/7/2020;864-30/3/2021</t>
  </si>
  <si>
    <t>Đầu tư nâng cấp đường Lê Đức Thọ (đường quy hoạch số 10 cũ), phường Ngô Mây, thành phố Kon Tum.</t>
  </si>
  <si>
    <t>4443-26/11/2021</t>
  </si>
  <si>
    <t>Nâng cấp đường Lương Ngọc Tốn (Đoạn Trần Khánh Dư -Bùi Hữu Nghĩa), phường Duy Tân, thành phố Kon Tum</t>
  </si>
  <si>
    <t>2218-21/6/2022</t>
  </si>
  <si>
    <t xml:space="preserve">Đường Trục chính, Cụm CN-TTCN Thanh Trung, P. Ngô Mây, TP. Kon Tum </t>
  </si>
  <si>
    <t>Chưa triển khai</t>
  </si>
  <si>
    <t>3109-01/12/2020</t>
  </si>
  <si>
    <t>Phường Ngô Mây</t>
  </si>
  <si>
    <t>Đường Trần Huy Liệu, phường Duy Tân, thành phố Kon Tum; hạng mục: Mặt đường và hệ thống thoát nước</t>
  </si>
  <si>
    <t>3094-01/12/2020</t>
  </si>
  <si>
    <t>Đường Trương Hán Siêu (đoạn Hàm Nghi - Ure)</t>
  </si>
  <si>
    <t>3095-01/12/2020</t>
  </si>
  <si>
    <t>Đường Lương Ngọc Tốn (đoạn Duy Tân - Trần Khánh Dư)</t>
  </si>
  <si>
    <t>3093-01/12/2020</t>
  </si>
  <si>
    <t>Đường Bùi Hữu Nghĩa (đoạn Ure - Đặng Xuân Phong)</t>
  </si>
  <si>
    <t>3092-01/12/2020</t>
  </si>
  <si>
    <t>Trường Mầm non Hoa Sữa, thành phố Kon Tum, hạng mục: Nhà học 08 phòng, nhà hiệu bộ, bếp ăn và các hạng mục phụ trợ.</t>
  </si>
  <si>
    <t>4335-11/11/2022;1466-11/7/2023</t>
  </si>
  <si>
    <t>Nhà làm việc Ban Chỉ huy Quân sự phường Ngô Mây, thành phố Kon Tum</t>
  </si>
  <si>
    <t>UBND P. Ngô Mây</t>
  </si>
  <si>
    <t>244-6/2/2023</t>
  </si>
  <si>
    <t>Đầu tư cơ sở hạ tầng phát triển khu dân cư phía Tây xã Đăk Cấm kết hợp với TTCN thành phố Kon Tum</t>
  </si>
  <si>
    <t>5731-20/12/2019</t>
  </si>
  <si>
    <t>Chỉnh trang đô thị dọc tuyến tránh đường Hồ Chí Minh tại thôn Thanh Trung, phường Ngô Mây, thành phố Kon Tum</t>
  </si>
  <si>
    <t xml:space="preserve"> 4372-28/12/2018;3465-30/9/2020;4454-27/11/2021</t>
  </si>
  <si>
    <t>Chỉnh trang đô thị đầu tư cơ sở hạ tầng kết hợp khai thác quỹ đất khu đất dọc hai bên đường Võ Nguyên Giáp đến nút giao Tỉnh lộ 671 xã Đăk Cấm, thành phố Kon Tum, tỉnh Kon Tum</t>
  </si>
  <si>
    <t>4793-20/12/2021</t>
  </si>
  <si>
    <t>Đầu tư cơ sở hạ tầng khai thác quỹ đất khu vực phía Bắc phường Ngô Mây, thành phố Kon Tum</t>
  </si>
  <si>
    <t>4795-20/12/2021</t>
  </si>
  <si>
    <t>Xã Đăk Rơ Wa</t>
  </si>
  <si>
    <t>Đầu tư cơ sở hạ tầng thuộc Đề án tái định cư, giãn dân các làng đồng bào dân tộc thiểu số nội thành, thành phố Kon Tum (Hạng mục: Hệ thống cấp nước sinh hoạt)</t>
  </si>
  <si>
    <t>UBND xã Đăk Rơ Wa</t>
  </si>
  <si>
    <t>Xã Hòa Bình</t>
  </si>
  <si>
    <t>1118-30/10/2015</t>
  </si>
  <si>
    <t>3816-10/10/2022</t>
  </si>
  <si>
    <t>Đầu tư cơ sở hạ tầng phát triển du lịch cộng đồng làng Kon Ktu xã Đăk Rơ Wa</t>
  </si>
  <si>
    <t>3226a-05/10/2015</t>
  </si>
  <si>
    <t>2106-12/6/2025</t>
  </si>
  <si>
    <t>Đường vào khu sản xuất gạch ngói thôn 5, xã Hòa Bình, thành phố Kon Tum</t>
  </si>
  <si>
    <t>2014-2016</t>
  </si>
  <si>
    <t>870-31/10/2013</t>
  </si>
  <si>
    <t>593-12/6/2019</t>
  </si>
  <si>
    <t>Trường TH-THCS xã Chư Hreng, thành phố Kon Tum</t>
  </si>
  <si>
    <t>Xã Chư Hreng</t>
  </si>
  <si>
    <t>3045-
01/12/2020</t>
  </si>
  <si>
    <t>3646-30/9/2022</t>
  </si>
  <si>
    <t>Danh mục dự án nhóm C quy mô nhỏ xây dựng nông thôn mới trên địa bàn xã Chư Hreng, thành phố Kon Tum</t>
  </si>
  <si>
    <t>UBND xã Chư Hreng</t>
  </si>
  <si>
    <t>3133-03/12/2020; 863-
30/3/2021</t>
  </si>
  <si>
    <t>Trường mầm non Nắng Hồng, thành phố Kon Tum</t>
  </si>
  <si>
    <t>Xã Đăk Blà</t>
  </si>
  <si>
    <t xml:space="preserve">3047-
01/12/2020;760-10/3/2022; 1812-30/7/2022 </t>
  </si>
  <si>
    <t>Trường TH-THCS Đăk Blà (Cơ sở Tiểu học), thành phố Kon Tum</t>
  </si>
  <si>
    <t>3048-
01/12/2020</t>
  </si>
  <si>
    <t>2238-31/10/2023</t>
  </si>
  <si>
    <t>Tiểu dự án bồi thường giải phóng mặt bằng xây dựng Trường bắn, thao trường huấn luyện của lực lượng vũ trang thành phố Kon Tum</t>
  </si>
  <si>
    <t>Ban CHQS Thành phố</t>
  </si>
  <si>
    <t>1427-7/7/2023</t>
  </si>
  <si>
    <t xml:space="preserve">Trường TH-THCS Đăk Rơ Wa (cơ sở cấp Tiểu học), thành phố Kon Tum; hạng mục: Nhà học 02 phòng và một số hạng mục phụ trợ.  </t>
  </si>
  <si>
    <t>Xã ĐăkRơWa</t>
  </si>
  <si>
    <t>Xã Đăk rơ wa</t>
  </si>
  <si>
    <t>816-15/3/2022</t>
  </si>
  <si>
    <t>Trường tiểu học Bế Văn Đàn, thành phố Kon Tum</t>
  </si>
  <si>
    <t>3049-
01/12/2020;1807-30/7/2024</t>
  </si>
  <si>
    <t>998-14/3/2025</t>
  </si>
  <si>
    <t>Đường từ Quốc lộ 24 đi khu sản xuất thuộc thôn Kon Jơ Drẻ, xã Đăk Blà, thành phố Kon Tum</t>
  </si>
  <si>
    <t>3105-
01/12/2020</t>
  </si>
  <si>
    <t>1968-28/9/2023</t>
  </si>
  <si>
    <t>Xây dựng làng du lịch cộng đồng Kon Jơ Dri,
 xã Đăk Rơ Wa, thành phố Kon Tum</t>
  </si>
  <si>
    <t>UBND xã Đăk rơ wa</t>
  </si>
  <si>
    <t>Xã Đăk Rơ wa</t>
  </si>
  <si>
    <t>3742-18/10/2021</t>
  </si>
  <si>
    <t>Đường liên xã từ trụ sở UBND xã ChưHreng qua khu giãn dân xã Hòa Bình, thành phố Kon Tum</t>
  </si>
  <si>
    <t>3107-
01/12/2020</t>
  </si>
  <si>
    <t>551-22/3/2023</t>
  </si>
  <si>
    <t>Đường từ Quốc lộ 24 đi khu sản xuất thuộc thôn Kon Gur, xã Đăk Blà, thành phố KonTum</t>
  </si>
  <si>
    <t>3106-
01/12/2020</t>
  </si>
  <si>
    <t>616-29/3/2023</t>
  </si>
  <si>
    <t>Nâng cấp, cải tạo Trụ sở làm việc Đảng ủy-HĐND-UBND xã Chư Hreng</t>
  </si>
  <si>
    <t>xây dựng công trình dân dụng</t>
  </si>
  <si>
    <t>3046-
01/12/2020</t>
  </si>
  <si>
    <t>2724-20/7/2022</t>
  </si>
  <si>
    <t>Cống thoát nước đường nội thôn số 3 
thôn Kon Klor 2, xã Đăk Rơ Wa, thành phố Kon Tum (Đoạn từ nhà A Bao đến khu sản xuất).</t>
  </si>
  <si>
    <t>854-30/3/2021</t>
  </si>
  <si>
    <t>Dự án giãn dân các hộ đồng bào dân tộc thiểu số gắn với thực hiện tái định canh, định cư, phát triển khu sản xuất nông nghiệp tại xã Đăk Blà, thành phố kon Tum</t>
  </si>
  <si>
    <t>3173-07/12/2020; 1701-04/6/2021</t>
  </si>
  <si>
    <t>Đường đi khu sản xuất thôn Kon Jơ Dri, xã Đăk Rơ Wa, thành phố Kon Tum</t>
  </si>
  <si>
    <t>Phòng Quản lý đô thị</t>
  </si>
  <si>
    <t>2634-6/8/2021</t>
  </si>
  <si>
    <t>Đường đi khu sản xuất thôn Kon Tum Kơ Pơng 2, xã Đăk Rơ Wa, thành phố Kon Tum</t>
  </si>
  <si>
    <t>2638-6/8/2021</t>
  </si>
  <si>
    <t>Phương án hỗ trợ trồng rừng sản xuất trên đất trống, đồi trọc trên địa bàn thành phố Kon Tum năm 2021</t>
  </si>
  <si>
    <t>Phòng Kinh tế</t>
  </si>
  <si>
    <t>2818-21/8/2021</t>
  </si>
  <si>
    <t>Điểm trao đổi hàng hoá, sản phẩm nông nghiệp
 của người dân địa phương trên địa bàn xã Đăk Blà.</t>
  </si>
  <si>
    <t>UBND xã Đăk Blà</t>
  </si>
  <si>
    <t>3741-18/10/2021</t>
  </si>
  <si>
    <t>Đường đi khu sản xuất và phát triển du lịch núi ChưHreng, thôn KonHraKlah, xã ChưHreng, thành phố Kon Tum, tỉnh Kon Tum.</t>
  </si>
  <si>
    <t>4796-20/12/2021;2034-06/6/2022</t>
  </si>
  <si>
    <t>Hỗ trợ trồng rừng sản xuất trên đất trống, đồi trọc trên địa bàn thành phố Kon Tum năm 2022</t>
  </si>
  <si>
    <t>2216-21/6/2022</t>
  </si>
  <si>
    <t>Sửa chữa Cống tràn số 01, số 02 thôn Kon Drei, 
xã Đăk Blà do ảnh hưởng mưa bão năm 2021</t>
  </si>
  <si>
    <t>2223-21/6/2022</t>
  </si>
  <si>
    <t>Trường TH-THCS Đăk Blà (cơ sở cấp Tiểu học), thành phố Kon Tum; Hạng mục: Nhà vệ sinh</t>
  </si>
  <si>
    <t>246-06/2/2023</t>
  </si>
  <si>
    <t>Đường từ Trường tiểu học KơPaKơLơng đến khu sản xuất thuộc thôn Kon Mơ Nay Kơ Tu 2, xã Đăk Blà, thành phố Kon Tum</t>
  </si>
  <si>
    <t>3104-
01/12/2020</t>
  </si>
  <si>
    <t>1180-8/6/2023</t>
  </si>
  <si>
    <t>Đường từ Quốc lộ 24 đi khu sản xuất thuộc thôn Kon Rơ Lang, xã Đăk Blà, thành phố Kon Tum</t>
  </si>
  <si>
    <t>3103-
01/12/2020</t>
  </si>
  <si>
    <t>1981-29/9/2023</t>
  </si>
  <si>
    <t>Trường TH-THCS Đăk Blà (cơ sở THCS), thành phố KonTum</t>
  </si>
  <si>
    <t>3050-
01/12/2020; 1806-29/7/2024</t>
  </si>
  <si>
    <t>826-16/4/2024</t>
  </si>
  <si>
    <t>Trường TH-THCS Đăkrơwa (cơ sở THCS), thành phố Kon Tum</t>
  </si>
  <si>
    <t>3052-
01/12/2020; 1803-29/7/2024</t>
  </si>
  <si>
    <t>814-15/4/2024</t>
  </si>
  <si>
    <t>Danh mục dự án nhóm C quy mô nhỏ xây dựng nông thôn mới trên địa bàn xã Đăk Blà, thành phố Kon Tum</t>
  </si>
  <si>
    <t>4483-29/11/2021</t>
  </si>
  <si>
    <t>Nghĩa trang nhân dân xã Đăk Blà, thành phố Kon Tum; Hạng mục: Đường giao thông nội bộ, Cổng vào nghĩa trang và các hạng mục phụ trợ khác</t>
  </si>
  <si>
    <t>4475-29/11/2021</t>
  </si>
  <si>
    <t>Trường Tiểu học Nguyễn Bá Ngọc, thành phố Kon Tum, hạng mục: Nhà học 05 phòng và các hạng mục phụ trợ.</t>
  </si>
  <si>
    <t>835-16/3/2022</t>
  </si>
  <si>
    <t>Đầu tư cơ sở hạ tầng khu tái định cư các công trình trên địa bàn thành phố Kon Tum kết hợp với mở rộng, phát triển khu dân cư</t>
  </si>
  <si>
    <t>Xã Đăk Bla</t>
  </si>
  <si>
    <t>2995-31/7/2019; 1588-3/7/2020; 2511-2/8/2021</t>
  </si>
  <si>
    <t>1631-29/4/2022 (GĐ1)</t>
  </si>
  <si>
    <t>Đầu tư kết cấu hạ tầng, gắn với khai thác quỹ đất phát triển khu dân cư thôn Kon Gur, xã Đăk Blà, thành phố Kon Tum</t>
  </si>
  <si>
    <t>UBND xã Đăk Bla</t>
  </si>
  <si>
    <t>2215-21/6/2022</t>
  </si>
  <si>
    <t>Trường MN Nắng Hồng, xã Đăk Blà (điểm trường thôn Kon Drei) xã Đăk Blà, thành phố Kon Tum; Hạng mục: Nhà học 2 phòng và hạng mục phụ trợ khác</t>
  </si>
  <si>
    <t>202-25/01/2021</t>
  </si>
  <si>
    <t>Nhà làm việc Ban Chỉ huy Quân sự xã Chư Hreng, thành phố Kon Tum</t>
  </si>
  <si>
    <t>29-6/01/2023</t>
  </si>
  <si>
    <t>Trường TH-THCS Đăkrơwa (cơ sở Tiểu học), thành phố Kon Tum</t>
  </si>
  <si>
    <t>3051-
01/12/2020</t>
  </si>
  <si>
    <t xml:space="preserve">Khắc phục sạt lở Cống thoát nước đường bê tông số 02, thôn Kon Tum K’Nâm, xã Đăk Rơ Wa do ảnh hưởng mưa bão năm 2021. </t>
  </si>
  <si>
    <t>2213-21/6/2022</t>
  </si>
  <si>
    <t>Danh mục dự án nhóm C quy mô nhỏ xây dựng nông thôn mới trên địa bàn xã Đăk Rơ Wa, thành phố Kon Tum</t>
  </si>
  <si>
    <t>2633-6/8/2021;709-07/3/2022</t>
  </si>
  <si>
    <t>Đầu tu tuyến đường quy hoạch ký hiệu D7 thuộc đồ án quy hoạch phân khu (tỷ lệ1/2000) khu thương mại, dịch vụ và dân cư cửa ngõ phí Đông, thành phố Kon Tum</t>
  </si>
  <si>
    <t>NQ40-11/7/2024;441-24/7/2024</t>
  </si>
  <si>
    <t>Đường số 01, Cụm CN-TTCN xã Hòa Bình, TP. Kon Tum.</t>
  </si>
  <si>
    <t>3108-
01/12/2020</t>
  </si>
  <si>
    <t>Sửa chữa, nâng cấp Đường từ dốc Trà Lét vào thôn 5, xã Hòa Bình, thành phố Kon Tum</t>
  </si>
  <si>
    <t>3059-
01/12/2020;1556-28/7/23</t>
  </si>
  <si>
    <t>Đường từ Quốc lộ 14 đến đập Đăk Yên, xã Hòa Bình, thành phố Kon Tum</t>
  </si>
  <si>
    <t>3060-
01/12/2020</t>
  </si>
  <si>
    <t>Hệ thống đường dây 22kV và điện chiếu sáng tuyến đường đi khu sản xuất thôn Kon Hra Klah, xã Chư Hreng, thành phố Kon Tum.</t>
  </si>
  <si>
    <t>Hạ tầng
 kỹ thuật</t>
  </si>
  <si>
    <t>3244-31/8/2022</t>
  </si>
  <si>
    <t>Nhà làm việc Ban Chỉ huy Quân sự xã Hòa Bình, thành phố Kon Tum</t>
  </si>
  <si>
    <t>UBND xã Hoà Bình</t>
  </si>
  <si>
    <t>Xã Hoà Bình</t>
  </si>
  <si>
    <t>30-6/01/2023</t>
  </si>
  <si>
    <t>Hệ thống điện chiếu sáng đường vào làng du lịch cộng đồng Kon Kơ Tu, xã Đăk Rơ Wa, thành phố Kon Tum</t>
  </si>
  <si>
    <t>1425-7/7/2023</t>
  </si>
  <si>
    <t>Đầu tư kết cấu hạ tầng, gắn với khai thác quỹ đất phát triển khu dân cư thôn Kon Mơ Nay Kơ Tu 1, xã Đăk Blà, thành phố Kon Tum</t>
  </si>
  <si>
    <t>2290-20/6/2022;3840-12/10/2022</t>
  </si>
  <si>
    <t>Đầu tư cơ sở hạ tầng phát triển khu dân
 cư thôn Kon Mơ Nay Kơ Tu 1, xã Đăk Blà, thành phố Kon Tum (khu 2)</t>
  </si>
  <si>
    <t>3115-22/8/2022</t>
  </si>
  <si>
    <t>Xã Ia Chim</t>
  </si>
  <si>
    <t>Bê tông hóa các tuyến đường giao thông thuộc khu đất đấu giá thôn Ia Hội, xã Đăk Năng</t>
  </si>
  <si>
    <t>UBND xã Đăk Năng</t>
  </si>
  <si>
    <t>UBND xã Ia Chim</t>
  </si>
  <si>
    <t>xã Đăk Năng</t>
  </si>
  <si>
    <t>2517-16/7/2019</t>
  </si>
  <si>
    <t>Xã Iachim</t>
  </si>
  <si>
    <t>Trường TH-THCS xã Đoàn Kết, thành phố Kon Tum</t>
  </si>
  <si>
    <t>Xã Đoàn Kết</t>
  </si>
  <si>
    <t>3128-
03/12/2020;1809-30/7/2024</t>
  </si>
  <si>
    <t>997-14/3/2025</t>
  </si>
  <si>
    <t>Đường từ thôn Tân An, xã Ia Chim đi xã Hòa Bình, thành phố Kon Tum</t>
  </si>
  <si>
    <t>3063-
01/12/2020;722-08/3/2022;1810-307/7/2024</t>
  </si>
  <si>
    <t>Sửa chữa, nâng cấp đường giao thông từ Trung tâm xã Ia Chim đi xã Đăk Năng, thành phố Kon Tum</t>
  </si>
  <si>
    <t>3064-01/12/2020</t>
  </si>
  <si>
    <t>1658-1/5/2022</t>
  </si>
  <si>
    <t>Đường từ Hội trường thôn Ngô Thạnh đến nhà Ông Điệp, xã Đăk Năng thành phố Kon Tum; Hạng mục: Nền, mặt nền đường và hệ thống thoát nước</t>
  </si>
  <si>
    <t>Xã Đăk Năng</t>
  </si>
  <si>
    <t>3437-23/12/2020</t>
  </si>
  <si>
    <t>Sửa chữa, nâng cấp đường giao thông liên xã Đăk Năng đi xã Ia Chim (đoạn từ đường vào Trụ sở UBND xã Đăk Năng đến cổng chào thôn Ia Hội), thành phố Kon Tum</t>
  </si>
  <si>
    <t>2635-6/8/2021</t>
  </si>
  <si>
    <t>4614-25/12/2022</t>
  </si>
  <si>
    <t>Trường mầm non Hoa Mai, thành phố KonTum</t>
  </si>
  <si>
    <t>3127-
03/12/2020; 1813-30/7/2024</t>
  </si>
  <si>
    <t>1505-18/4/2025</t>
  </si>
  <si>
    <t>Chợ xã Ia Chim, thành phố Kon Tum</t>
  </si>
  <si>
    <t>UBND xã Iachim</t>
  </si>
  <si>
    <t>3129-
03/12/2020</t>
  </si>
  <si>
    <t>Đường từ nhà Ông Duy đến tuyến đường L1 khu quy hoạch dân cư thôn IaHội, xã Đăk Năng thành phố Kon Tum; Hạng mục: Nền, mặt đường và hệ thống thoát nước</t>
  </si>
  <si>
    <t>3435-23/12/2020</t>
  </si>
  <si>
    <t>Đường từ Trạm Y tế xã đến ngã 3 đường liên thôn thôn IaHội, xã Đăk Năng, thành phố Kon Tum; Hạng mục: nền, mặt đường và hệ thống thoát nước</t>
  </si>
  <si>
    <t>3436-23/12/2020</t>
  </si>
  <si>
    <t>Đường từ nhà Ông Thi đến tuyến L2 khu quy hoạch dân cư thôn IaHội, xã Đăk Năng thành phố Kon Tum; Hạng mục: Nền, mặt đường và hệ thống thoát nước</t>
  </si>
  <si>
    <t>3472-24/12/2020</t>
  </si>
  <si>
    <t>Sửa chữa tuyến đường GTNT thôn RơWăk, xã Đak Năng (đoạn vào nghĩa địa tập trung của UBND xã Đak Năng); hạng mục: Nền, mặt đường và các hạng mục phụ trợ</t>
  </si>
  <si>
    <t>4468-28/11/2021</t>
  </si>
  <si>
    <t>Cung cấp hệ thống điện để phục vụ sinh hoạt, sản xuất cho các hộ dân được giao đất tại Lô 15, 16 thôn Plei Sar, xã Iachim, thành phố Kon Tum</t>
  </si>
  <si>
    <t>200-25/01/2021</t>
  </si>
  <si>
    <t>Cung cấp nước sạch để phục vụ sinh hoạt, sản xuất cho các hộ dân được giao đất tại Lô 15, 16 thôn Plei Sar, xã Iachim, thành phố Kon Tum</t>
  </si>
  <si>
    <t>201-25/01/2021</t>
  </si>
  <si>
    <t>Nhà làm việc Ban Chỉ huy Quân sự xã Đoàn Kết, thành phố Kon Tum</t>
  </si>
  <si>
    <t>UBND xã Đoàn Kết</t>
  </si>
  <si>
    <t>15-05/01/2023</t>
  </si>
  <si>
    <t>4946-25/12/2022</t>
  </si>
  <si>
    <t>Đường trục chính nội đồng thôn 7, xã Đoàn kết, thành phố Kon Tum (Đoạn từ đập Cà Tiên đến Trạm bơm Bà Nga)</t>
  </si>
  <si>
    <t>2619-24/10/2023</t>
  </si>
  <si>
    <t>Đường từ thôn Klâu Ngol Zố đi khu sản xuất, xã Ia Chim, thành phố Kon Tum</t>
  </si>
  <si>
    <t>3061-
01/12/2020</t>
  </si>
  <si>
    <t>Đường từ thôn Tân An, xã Ia Chim, thành phố Kon Tum đi xã Ia Phí huyện Chư Păh, tỉnh Gia Lai</t>
  </si>
  <si>
    <t>3062-
01/12/2020</t>
  </si>
  <si>
    <t>Cải tạo, mở rộng Nhà làm việc Ban Chỉ huy Quân sự xã Ia Chim, thành phố Kon Tum</t>
  </si>
  <si>
    <t>245-6/2/2023</t>
  </si>
  <si>
    <t>Nhà làm việc Ban Chỉ huy Quân sự xã Đăk Năng, thành phố Kon Tum</t>
  </si>
  <si>
    <t>226-01/2/2023</t>
  </si>
  <si>
    <t>Nghĩa trang nhân dân tập trung xã Ia Chim, thành phố Kon Tum.</t>
  </si>
  <si>
    <t>3721-18/10/2021;1353-27/6/2023</t>
  </si>
  <si>
    <t>Đầu tư cơ sở hạ tầng tại Khu đất bảng tin thôn Đăk Kia, xã Đoàn Kết, thành phố Kon Tum.</t>
  </si>
  <si>
    <t>3246-31/8/2022</t>
  </si>
  <si>
    <t>Xã Ngọc Bay</t>
  </si>
  <si>
    <t>Trường THCS Lê Quý Đôn, xã Kroong</t>
  </si>
  <si>
    <t>UBND xã Ngok Bay</t>
  </si>
  <si>
    <t>Xã Kroong</t>
  </si>
  <si>
    <t>3000-31/7/2019</t>
  </si>
  <si>
    <t>2751-2/8/2021</t>
  </si>
  <si>
    <t>Xã Ngok Bay</t>
  </si>
  <si>
    <t>Trường TH-THCS Kroong (Cơ sở THCS), thành phố Kon Tum; Hạng mục: Nhà hiệu bộ</t>
  </si>
  <si>
    <t>3054-
01/12/2020</t>
  </si>
  <si>
    <t>3348-9/9/2022</t>
  </si>
  <si>
    <t>Trường mầm non Vàng Anh, thành phố KonTum</t>
  </si>
  <si>
    <t>3055-
01/12/2020</t>
  </si>
  <si>
    <t>2843-2/8/2022</t>
  </si>
  <si>
    <t>Nhà làm việc Ban Chỉ huy Quân sự xã Kroong, thành phố Kon Tum</t>
  </si>
  <si>
    <t>UBND xã Kroong</t>
  </si>
  <si>
    <t>16-05/01/2023</t>
  </si>
  <si>
    <t>Nâng cấp, cải tạo Trụ sở làm việc Đảng ủy - HĐND - UBND xã Kroong</t>
  </si>
  <si>
    <t>3132-
03/12/2020</t>
  </si>
  <si>
    <t>4614-7/12/2022</t>
  </si>
  <si>
    <t>Đường đi khu sản xuất số 1 thôn Trung Nghĩa Đông, xã Kroong, thành phố Kon Tum</t>
  </si>
  <si>
    <t>3088-
01/12/2020</t>
  </si>
  <si>
    <t>667-4/3/2022</t>
  </si>
  <si>
    <t>Đường đi khu sản xuất số 2 thôn 2, xã Kroong, thành phố Kon Tum</t>
  </si>
  <si>
    <t>3125-
03/12/2020</t>
  </si>
  <si>
    <t>2658-9/8/2021</t>
  </si>
  <si>
    <t>Đường đi khu sản xuất số 3 thôn 2, xã Kroong, thành phố Kon Tum</t>
  </si>
  <si>
    <t>3126-
03/12/2020</t>
  </si>
  <si>
    <t>2661-9/8/2021</t>
  </si>
  <si>
    <t>Trường TH-THCS Kroong (cơ sở tiểu học), thành phố KonTum</t>
  </si>
  <si>
    <t>3053-
01/12/2020</t>
  </si>
  <si>
    <t>4030-24/10/2022</t>
  </si>
  <si>
    <t>Trường tiểu học Đặng Trần Côn, thành phố KonTum</t>
  </si>
  <si>
    <t>3057-
01/12/2020</t>
  </si>
  <si>
    <t>996-14/3/2025</t>
  </si>
  <si>
    <t>Trường THCS Hàm Nghi, thành phố KonTum</t>
  </si>
  <si>
    <t>3058-
01/12/2020;1819-30/7/2024</t>
  </si>
  <si>
    <t>368/29/2/2024</t>
  </si>
  <si>
    <t>Danh mục dự án nhóm C quy mô nhỏ xây dựng nông thôn mới trên địa bàn xã Kroong, thành phố Kon Tum</t>
  </si>
  <si>
    <t>3424-23/12/2020</t>
  </si>
  <si>
    <t>Đường đi khu sản xuất số 2 thôn KonHơNgolKlah, xã Ngok Bay, thành phố Kon Tum</t>
  </si>
  <si>
    <t>xã Ngok Bay</t>
  </si>
  <si>
    <t>4470-28/11/2021</t>
  </si>
  <si>
    <t>Đường đi khu sản xuất suối ĐinJa, xã Ngok Bay, thành phố Kon Tum</t>
  </si>
  <si>
    <t>4471-28/11/2021</t>
  </si>
  <si>
    <t>Đường đi khu sản xuất ĐăkTrum, thôn ĐăkRơĐe, xã Ngok Bay, thành phố Kon Tum</t>
  </si>
  <si>
    <t>4467-28/11/2021</t>
  </si>
  <si>
    <t>Đường nội đồng số 2, xã Ngok Bay, thành phố Kon Tum</t>
  </si>
  <si>
    <t>4469-28/11/2021</t>
  </si>
  <si>
    <t>Chợ trung tâm xã Ngok Bay gắn liền với phát triển khu dân cư, phát triển thương mại, dịch vụ; phát triển quỹ đất để đấu giá tạo nguồn vốn đầu tư cơ sở hạ tầng trên địa bàn xã.</t>
  </si>
  <si>
    <t>UBND xã
 Ngok Bay</t>
  </si>
  <si>
    <t>5730-20/12/2019; 1586-03/7/2020</t>
  </si>
  <si>
    <t>Đường nội thôn số 1,2,3,4,5 thôn PleiKlech, xã Ngok Bay, thành phố Kon Tum</t>
  </si>
  <si>
    <t>2513-16/7/2019</t>
  </si>
  <si>
    <t>Đường nội thôn số 3 thôn KonHơNgolKlah, xã Ngok Bay, thành phố Kon Tum</t>
  </si>
  <si>
    <t>2514-16/7/2019</t>
  </si>
  <si>
    <t>Đường nội thôn số 3 thôn MăngLaKơTu, xã Ngok Bay, thành phố Kon Tum</t>
  </si>
  <si>
    <t>2515-16/7/2019</t>
  </si>
  <si>
    <t>Khu thương mại dịch vụ kết hợp với đất ở kinh doanh, xã Vinh Quang, thành phố Kon Tum</t>
  </si>
  <si>
    <t>Xã Vinh Quang</t>
  </si>
  <si>
    <t>3131-03/12/2020</t>
  </si>
  <si>
    <t>4075-26/10/2022</t>
  </si>
  <si>
    <t>Nhà bia tưởng niệm Liệt sỹ xã Kroong; Hạng mục: Sửa chữa Nhà bia tưởng niệm; Cổng, tường rào và các hạng mục phụ trợ</t>
  </si>
  <si>
    <t>822- 15/3/2022</t>
  </si>
  <si>
    <t>Trường mầm non Hoa Pơ Lang, thành phố KonTum</t>
  </si>
  <si>
    <t>3056-
01/12/2020</t>
  </si>
  <si>
    <t>1609-5/8/2023</t>
  </si>
  <si>
    <t xml:space="preserve">Tuyến đường bê tông, thôn Kon Rơ Bàng 1, xã Vinh Quang (bên hông nhà máy đường) do ảnh hưởng mưa bão năm 2021. </t>
  </si>
  <si>
    <t>xã Vinh Quang</t>
  </si>
  <si>
    <t>Danh mục dự án nhóm C quy mô nhỏ xây dựng nông thôn mới trên địa bàn xã Ngok Bay, thành phố Kon Tum</t>
  </si>
  <si>
    <t>4455-27/11/2021; 2014-02/6/2022</t>
  </si>
  <si>
    <t>Mở rộng khu dân cư nông thôn tại thôn Măng La xã Ngọk Bay, thành phố Kon Tum</t>
  </si>
  <si>
    <t>3135-23/8/2022;1464-11/7/2023</t>
  </si>
  <si>
    <t>Đầu tư cơ sở hạ tầng, mở rộng khu dân cư tại thôn Trung Thành, xã Vinh Quang, thành phố Kon Tum.</t>
  </si>
  <si>
    <t>UBND xã Vinh Quang</t>
  </si>
  <si>
    <t>3245-31/8/2022</t>
  </si>
  <si>
    <t>Nguồn sử dụng đất chưa phân bổ</t>
  </si>
  <si>
    <t>Đơn vị bàn giao: UBND huyện Kon Plông (trước sắp xếp)</t>
  </si>
  <si>
    <t>Đơn vị bàn giao: UBND huyện Đăk Hà (trước sắp xếp)</t>
  </si>
  <si>
    <t>Nguồn vốn</t>
  </si>
  <si>
    <t>Quy mô</t>
  </si>
  <si>
    <t>Chủ đầu tư theo QĐ đầu tư/quyết định giao chủ đầu tư</t>
  </si>
  <si>
    <t>Nhóm DA</t>
  </si>
  <si>
    <t>Ngành lĩnh vực</t>
  </si>
  <si>
    <t>Mã số dự án</t>
  </si>
  <si>
    <t>Địa điểm thực hiện (theo QĐ đầu tư)</t>
  </si>
  <si>
    <t>Năm bắt đầu bố trí vốn thực hiện dự án</t>
  </si>
  <si>
    <t>Quyết định phê duyệt quyết toán</t>
  </si>
  <si>
    <t>Địa điểm thực hiện (theo đơn vị mới)</t>
  </si>
  <si>
    <t>Đề xuất Chủ đầu tư mới sau sắp xếp</t>
  </si>
  <si>
    <t>Luỹ kế vốn đã bố trí đến hết năm 2020</t>
  </si>
  <si>
    <t>Kế hoạch vốn các năm trước được cho phép kéo dài sang năm 2025</t>
  </si>
  <si>
    <t>Kế hoạch vốn còn lại</t>
  </si>
  <si>
    <t>Khó khăn, vướng mắc</t>
  </si>
  <si>
    <t>Quyết toán DA hoàn thành</t>
  </si>
  <si>
    <t>Tổng số (tất cả các nguồn vốn)</t>
  </si>
  <si>
    <t>Kế hoạch vốn NSNN Đã bố trí vốn đến hết kế hoạch năm 2025, không tính nguồn huy động</t>
  </si>
  <si>
    <t>Luỹ kế vốn NSNN đã giải ngân đến thời điểm báo cáo (30/6/2025), không tính nguồn huy động</t>
  </si>
  <si>
    <t>Tỷ lệ giải ngân</t>
  </si>
  <si>
    <t>Kế hoạch vốn NSNN giao, không tính nguồn huy động</t>
  </si>
  <si>
    <t>Luỹ kế vốn thanh toán thộc KH vốn năm 2025 đến thời điểm báo cáo</t>
  </si>
  <si>
    <t>Kế hoạch giao</t>
  </si>
  <si>
    <t>Luỹ kế vốn thanh toán thộc KH vốn các năm trước đến thời điểm báo cáo</t>
  </si>
  <si>
    <t>Phân cấp theo tiêu chí</t>
  </si>
  <si>
    <t>Vốn XSKT</t>
  </si>
  <si>
    <t>Tiền đất</t>
  </si>
  <si>
    <t>Khác (tăng thu, tkc, ...)</t>
  </si>
  <si>
    <t xml:space="preserve"> Trong đó</t>
  </si>
  <si>
    <t>NSTW (trong nước)</t>
  </si>
  <si>
    <t>NS tỉnh</t>
  </si>
  <si>
    <t>NS huyện</t>
  </si>
  <si>
    <t>Huy động</t>
  </si>
  <si>
    <t>TỔNG CỘNG</t>
  </si>
  <si>
    <t xml:space="preserve">Công trình: Lắp đặt Hệ thống Camera giám sát an ninh huyện Đăk Hà </t>
  </si>
  <si>
    <t>Nguồn NS tỉnh phân cấp hỗ trợ khác</t>
  </si>
  <si>
    <t xml:space="preserve">43 camera </t>
  </si>
  <si>
    <t>Công an huyện</t>
  </si>
  <si>
    <t>Công an tỉnh</t>
  </si>
  <si>
    <t>Trên địa bàn huyện</t>
  </si>
  <si>
    <t>1461; 04/11/2021;
1391; 14/11/2022;
774; 21/9/2023</t>
  </si>
  <si>
    <t>Trên địa bàn các xã</t>
  </si>
  <si>
    <t>Xã Đăk Hà có quy mô đầu tư lớn hơn</t>
  </si>
  <si>
    <t>Bố trí vốn để ủy thác thực hiện chính sách tín dụng ưu đãi thông qua Ngân hàng Chính sách xã hội</t>
  </si>
  <si>
    <t>Tăng thu, tiết kiệm chi ngân sách huyện</t>
  </si>
  <si>
    <t>Hỗ trợ vay ưu đãi</t>
  </si>
  <si>
    <t>Tín dụng</t>
  </si>
  <si>
    <t>Hạch toán chi thường xuyên</t>
  </si>
  <si>
    <t>11/NQ-HĐND</t>
  </si>
  <si>
    <t>Kế hoạch sử dụng đất hàng năm (từ năm 2021-2025)</t>
  </si>
  <si>
    <t>Phòng TN-MT</t>
  </si>
  <si>
    <t>Nông nghiệp nông thôn</t>
  </si>
  <si>
    <t>1347; 16/10/2020;
1659; 10/12/2021;
917; 15/8/2022</t>
  </si>
  <si>
    <t>Thống kê đất đai hàng năm (từ năm 2021-2025)</t>
  </si>
  <si>
    <t>104; 27/01/2022
136; 27/02/2023</t>
  </si>
  <si>
    <t>Quy hoạch sử dụng đất giai đoạn 2021-2030</t>
  </si>
  <si>
    <t>688; 14/5/2021</t>
  </si>
  <si>
    <t>thực hiện nhiệm vụ chi đo đạc, đăng ký đất đai, cấp giấy chứng nhận, xây dựng cơ sở dữ liệu đất đai, đăng ký biến động, chỉnh lý hồ sơ địa chính thường xuyên</t>
  </si>
  <si>
    <t>1474/CT-TTg; 24/8/2011</t>
  </si>
  <si>
    <t>Xã Đăk Pxi</t>
  </si>
  <si>
    <t>Đường tránh lũ từ thôn 10 xã ĐắkPxi đi thôn 2 xã Diên Bình</t>
  </si>
  <si>
    <t>Cân đối theo NQ 63/2020/NQ-HĐND tỉnh</t>
  </si>
  <si>
    <t>22,5 Km</t>
  </si>
  <si>
    <t>BQL DA ĐTXD</t>
  </si>
  <si>
    <t>UBND xã Đăk Pxi</t>
  </si>
  <si>
    <t>2010-2015</t>
  </si>
  <si>
    <t>1083; 15/11/2012</t>
  </si>
  <si>
    <t>Dự án khởi công giai đọan 2021-2025</t>
  </si>
  <si>
    <t>Xây dựng trường bắn, thao trường huấn luyện cấp huyện tại thôn Đăk Web, xã Đăk Pxi; Hạng mục: Bồi thường- giải phóng mặt bằng (giai đoạn 1)</t>
  </si>
  <si>
    <t>23ha</t>
  </si>
  <si>
    <t>BTGPMB</t>
  </si>
  <si>
    <t>xã Đăk Pxi</t>
  </si>
  <si>
    <t>28/NQ-HĐND</t>
  </si>
  <si>
    <t>Dự án dừng triển khai</t>
  </si>
  <si>
    <t>Xây dựng kè chống sạt lở đất bờ sông Đăk Pxi tại điểm trường Tô Vĩnh Diện xã Đăk Pxi</t>
  </si>
  <si>
    <t>L=138m</t>
  </si>
  <si>
    <t xml:space="preserve">457; 12/4/2021 </t>
  </si>
  <si>
    <t>Khắc phục sạt lở công trình Đường giao thông tránh lũ từ thôn 10, xã Đăk Pxi, huyện Đăk Hà đi thôn 2, xã Diên Bình huyện Đăk Tô (cầu Km 3+123, cầu Km 14+415 tại địa bàn xã Đăk Pxi)</t>
  </si>
  <si>
    <t>Ngân sách tỉnh hỗ trợ công trình cấp bách</t>
  </si>
  <si>
    <t>Khắc phục, sửa chữa</t>
  </si>
  <si>
    <t xml:space="preserve">332; 23/3/2021 </t>
  </si>
  <si>
    <t>Khắc phục sạt lở công trình Đường giao thông tránh lũ từ thôn 10, xã Đăk Pxi, huyện Đăk Hà đi thôn 2, xã Diên Bình huyện Đăk Tô (Km 15+560 tại địa bàn xã Đăk Pxi)</t>
  </si>
  <si>
    <t xml:space="preserve">331; 22/03/2021 </t>
  </si>
  <si>
    <t>Trường TH&amp;THCS xã Đăk Long. Hạng mục: Xây mới 02 phòng học điểm trường thôn Kon Teo Đăk Lấp và các hạng mục phụ trợ khác</t>
  </si>
  <si>
    <t>Phân cấp hỗ trợ CTMTQG xây dựng NTM</t>
  </si>
  <si>
    <t xml:space="preserve"> 02 phòng </t>
  </si>
  <si>
    <t>xã Đăk Long</t>
  </si>
  <si>
    <t>439; 26/3/2025</t>
  </si>
  <si>
    <t>Nhân dân trong thôn chưa thống nhất vị trí xây dựng</t>
  </si>
  <si>
    <t>Để BQL dự án của Đăk Hà thực hiện quyết toán</t>
  </si>
  <si>
    <t>Trường MG xã Đăk Pxi; HM: 02 phòng học, 01 phòng đa năng và các hạng mục phụ trợ khác</t>
  </si>
  <si>
    <t>02 phòng học, 01 phòng đa năng</t>
  </si>
  <si>
    <t>Đăk Pxi</t>
  </si>
  <si>
    <t>291; 17/4/2023</t>
  </si>
  <si>
    <t>Đầu tư cơ sở hạ tầng các HTX trên địa bàn huyện: Hỗ trợ đầu tư cơ sở hạ tầng HTX Nông nghiệp Dịch vụ Công Phú</t>
  </si>
  <si>
    <t>Đầu tư cơ sở hạ tầng HTX</t>
  </si>
  <si>
    <t>728; 26/10/2024</t>
  </si>
  <si>
    <t>Đường từ Quốc lộ 40B huyện Tu Mơ Rông đi thôn 8 xã Đăk Pxi, huyện Đăk Hà (Đoạn qua địa phận huyện Đăk Hà).</t>
  </si>
  <si>
    <t>L=8,3km</t>
  </si>
  <si>
    <t>huyện Tu Mơ Rông - huyện Đăk Tô- huyện Đăk Hà</t>
  </si>
  <si>
    <t>394; 14/5/2021</t>
  </si>
  <si>
    <t>xã Tu Mơ Rông, xã Đăk Tô, xã Đăk Pxi</t>
  </si>
  <si>
    <t>BQLDA xã Đăk Hà đang làm chủ đầu tư</t>
  </si>
  <si>
    <t>Xây mới trụ sở xã Đăk Pxi (02 tầng) và các hạng mục phụ trợ khác</t>
  </si>
  <si>
    <t>65/NQ-HĐND ngày  29/9/2021</t>
  </si>
  <si>
    <t>Trường THCS xã Đăk Long; Hạng mục: Nhà hiệu bộ, phòng học bộ môn; sân bê tông, nhà trực, nhà để xe và các hạng mục phụ trợ khác</t>
  </si>
  <si>
    <t>02 phòng hiệu bộ; 04 phòng bộ môn và các hạng mục khác</t>
  </si>
  <si>
    <t>Trụ sở BCH quân sự xã Đăk Pxi</t>
  </si>
  <si>
    <t>Trụ sở BCH quân sự xã Đăk Long</t>
  </si>
  <si>
    <t>Sửa chửa, Nâng cấp công trình Đập Đăk Pơe thôn Kon Đao Yôp xã Đăk Long</t>
  </si>
  <si>
    <t>Ngân sách tỉnh phân cấp hỗ trợ khác</t>
  </si>
  <si>
    <t>Tưới 6 ha lúa nước và 12 ha cây CN</t>
  </si>
  <si>
    <t xml:space="preserve">Công trình: Công viên huyện Đăk Hà. </t>
  </si>
  <si>
    <t xml:space="preserve"> 650m2.  Lan can: L= 250m</t>
  </si>
  <si>
    <t>Công cộng</t>
  </si>
  <si>
    <t>TT ĐăkHà</t>
  </si>
  <si>
    <t xml:space="preserve">1626;  01/12/2020 </t>
  </si>
  <si>
    <t>xã Đăk Hà</t>
  </si>
  <si>
    <t>Bố trí thanh toán khối lượng hoàn thành các công trình sau quyết toán</t>
  </si>
  <si>
    <t>Các cơ quan, đơn vị thuộc huyện</t>
  </si>
  <si>
    <t>Khác</t>
  </si>
  <si>
    <t>Sửa chữa, nâng cấp Đường Hai Bà Trưng, thị trấn Đăk Hà.</t>
  </si>
  <si>
    <t>1,983 Km; Bê tông nhựa</t>
  </si>
  <si>
    <t>7905009</t>
  </si>
  <si>
    <t>Thị trấn Đăk Hà</t>
  </si>
  <si>
    <t xml:space="preserve">793;  08/6/2021 </t>
  </si>
  <si>
    <t>Đầu tư mới và nâng cấp hệ thống truyền thanh cơ sở ứng dụng công nghệ thông tin - viễn thông trên địa bàn xã Hà Mòn; thị trấn; xã Đăk Pxi; xã Đăk Mar; xã Ngọc Réo; xã Ngọc Wang</t>
  </si>
  <si>
    <t>06 xã, thị trấn</t>
  </si>
  <si>
    <t>UBND xã Hà Mòn; Trung tâm VH-TT-DL&amp;TT</t>
  </si>
  <si>
    <t>1038064</t>
  </si>
  <si>
    <t>1083; 12/8/2021
+1149; 299/2022</t>
  </si>
  <si>
    <t>Đường từ Quốc lộ 14 đi thôn 3, xã Hà Mòn (đường Lê Lợi)</t>
  </si>
  <si>
    <t>L=1,58km. Bm=8m</t>
  </si>
  <si>
    <t>Xã Hà Mòn</t>
  </si>
  <si>
    <t>506; 22/6/2023</t>
  </si>
  <si>
    <t>Đường Hoàng Thị Loan, huyện Đăk Hà</t>
  </si>
  <si>
    <t>L= 0,324 Km; Bm=8m; Bê tông nhựa</t>
  </si>
  <si>
    <t>245; 04/4/2023</t>
  </si>
  <si>
    <t>Sửa chữa, nâng cấp Đường Hai Bà Trưng, thị trấn Đăk Hà; Hạng mục: Nền, mặt đường, vỉa hè đường, công trình thoát nước và ATGT</t>
  </si>
  <si>
    <t>Công trình: Đường (Nhóm 3 và 4) thôn Kon Trang Long Loi, thị trấn Đăk Hà</t>
  </si>
  <si>
    <t>L=1063m</t>
  </si>
  <si>
    <t xml:space="preserve">779; 04/6/2021 </t>
  </si>
  <si>
    <t>Tường rào Khu Trung tâm Văn hóa -Thể thao -Du lịch và Truyền thông huyện Đăk Hà</t>
  </si>
  <si>
    <t>L=710m</t>
  </si>
  <si>
    <t>Cơ quan nhà nước</t>
  </si>
  <si>
    <t>1411; 28/10/2021</t>
  </si>
  <si>
    <t>Sửa chữa Trụ sở Huyện ủy Đăk Hà</t>
  </si>
  <si>
    <t xml:space="preserve">SC khoảng 1.564,68 m2 </t>
  </si>
  <si>
    <t>1390; 25/10/2021</t>
  </si>
  <si>
    <t>Thông tuyến đường Ngô Quyền tại TDP4B và đường Quy hoạch số 2 tại TDP7 thị trấn Đăk Hà</t>
  </si>
  <si>
    <t>2.937,5m2</t>
  </si>
  <si>
    <t>1418; 29/10/2021</t>
  </si>
  <si>
    <t>Quy hoạch chi tiết xây dựng làng du lịch cộng đồng thôn Kon Trang Long Loi thị trấn Đăk Hà</t>
  </si>
  <si>
    <t>tỷ lệ 1/500,  quy mô 29,76 ha</t>
  </si>
  <si>
    <t>1233; 22/9/2021</t>
  </si>
  <si>
    <t>Cải tạo, nâng cấp đường Chu Văn An, TDP 7</t>
  </si>
  <si>
    <t>L=560m, Bm=6m, Bê tông nhựa</t>
  </si>
  <si>
    <t>159; 28/02/2022</t>
  </si>
  <si>
    <t>Đường vào bãi xử lý rác thải huyện Đăk Hà</t>
  </si>
  <si>
    <t>L=1203m, Bm=3m, BTXM</t>
  </si>
  <si>
    <t>219; 18/3/2022</t>
  </si>
  <si>
    <t>Đường giao thông từ TDP 10, thị trấn Đăk Hà đi xã Đăk Ngọk (Đoạn từ nhà ông Đoàn Ngọc Còi, TDP 10 đến giáp ranh giới xã Đăk Ngọk); Hạng mục: Nền, mặt đường và công trình thoát nước</t>
  </si>
  <si>
    <t>L=900m; Bm=8m; BTN</t>
  </si>
  <si>
    <t>thị trấn Đăk Hà- xã Đăk Ngọk</t>
  </si>
  <si>
    <t>1081; 29/10/2024</t>
  </si>
  <si>
    <t>Đường Nguyễn Trãi, thị trấn Đăk Hà</t>
  </si>
  <si>
    <t>L= 0,846 km. Bm=12m. bê tông nhựa</t>
  </si>
  <si>
    <t>449; 01/7/2024</t>
  </si>
  <si>
    <t>Công tác GPMB</t>
  </si>
  <si>
    <t xml:space="preserve">Cải tạo, nâng cấp đường Tô Hiến Thành, </t>
  </si>
  <si>
    <t>L=834,62m; Bm=10m; Bê tông nhựa</t>
  </si>
  <si>
    <t>TDP 2B, Thị trấn</t>
  </si>
  <si>
    <t>181; 07/3/2022</t>
  </si>
  <si>
    <t>Không</t>
  </si>
  <si>
    <t>Nâng cấp vỉa hè tuyến đường Hùng Vương đoạn qua trung tâm Thị trấn Đăk Hà, giai đoạn 1: Điểm đầu từ cây xăng Thanh Phương, điểm cuối tại nút giao đường Chu Văn An (Tượng đài văn hóa)</t>
  </si>
  <si>
    <t>Tổng chiều dài tuyến khoảng 1.840m</t>
  </si>
  <si>
    <t>Xã Hà Mòn và thị trấn Đăk Hà</t>
  </si>
  <si>
    <t>132; 25/3/2024</t>
  </si>
  <si>
    <t>Nguồn huy động dân chưa đảm bảo</t>
  </si>
  <si>
    <t>Sửa chữa, nâng cấp tuyến đường từ QL 14 đi UBND xã Hà Mòn (đường Trường Chinh)</t>
  </si>
  <si>
    <t>L=04Km, Bm=5m, Bê tông nhựa</t>
  </si>
  <si>
    <t>Hà Mòn - Thị trấn</t>
  </si>
  <si>
    <t>508; 22/6/2023</t>
  </si>
  <si>
    <t>Sửa chữa Trụ sở làm việc Phòng tài chính - Kế hoạch huyện Đăk Hà</t>
  </si>
  <si>
    <t>Sửa chữa</t>
  </si>
  <si>
    <t>Phòng TC-KH</t>
  </si>
  <si>
    <t>638; 27/6/2022</t>
  </si>
  <si>
    <t>Trụ sở BCH quân sự xã Hà Mòn</t>
  </si>
  <si>
    <t>04 phòng làm việc và các hạng mục phụ trợ khác</t>
  </si>
  <si>
    <t>xã Hà Mòn</t>
  </si>
  <si>
    <t>842; 04/8/2022</t>
  </si>
  <si>
    <t>Hỗ trợ đầu tư xây dựng đường GTNT</t>
  </si>
  <si>
    <t>UBND các xã, thị trấn</t>
  </si>
  <si>
    <t>64/2021/NQ-HĐND</t>
  </si>
  <si>
    <t>Nguồn thu chưa đảm bảo</t>
  </si>
  <si>
    <t>01 tầng</t>
  </si>
  <si>
    <t>Văn hoá</t>
  </si>
  <si>
    <t>724; 24/10/2024</t>
  </si>
  <si>
    <t>Trụ sở làm việc Công an các xã, thị trấn; Hạng mục: Cổng, tường rào và các hạng mục phụ trợ khác</t>
  </si>
  <si>
    <t>Đầu tư Cổng, tường rào và các hạng mục phụ trợ khác của 07 Trụ sở làm việc</t>
  </si>
  <si>
    <t>An ninh</t>
  </si>
  <si>
    <t xml:space="preserve">Các xã, thị trấn </t>
  </si>
  <si>
    <t>179; 10/02/2025</t>
  </si>
  <si>
    <t>Chuyển về xã có BQL dự án</t>
  </si>
  <si>
    <t>Nâng cấp sân trung tâm hành chính huyện</t>
  </si>
  <si>
    <t>S=4275m2</t>
  </si>
  <si>
    <t>TT Đăk Hà</t>
  </si>
  <si>
    <t xml:space="preserve">360; 26/3/2021 </t>
  </si>
  <si>
    <t>Trường TH Lê Văn Tám. Hạng mục: Xây mới 02 phòng học chức năng và các hạng mục phụ trợ khác</t>
  </si>
  <si>
    <t xml:space="preserve">02 phòng </t>
  </si>
  <si>
    <t>705; 18/5/2021</t>
  </si>
  <si>
    <t>Sửa chữa cải tạo Trụ sở làm việc của Khối Mặt trận và các đoàn thể</t>
  </si>
  <si>
    <t>Sửa chữa nhỏ</t>
  </si>
  <si>
    <t xml:space="preserve">465; 13/4/2021 </t>
  </si>
  <si>
    <t>Công trình: Khắc phục sập ngã tường rào, nhà bảo vệ Trường tiểu học Kim Đồng:</t>
  </si>
  <si>
    <t>L=51,8m</t>
  </si>
  <si>
    <t xml:space="preserve">313; 18/3/2020 </t>
  </si>
  <si>
    <t>Đường giao thông đi khu sản xuất đoạn từ thôn 2, xã Đăk La đến Trại giam Công an tỉnh Kon Tum</t>
  </si>
  <si>
    <t>L=737m; b=3m. BTXM</t>
  </si>
  <si>
    <t>UBND xã Đăk La</t>
  </si>
  <si>
    <t>Đăk La</t>
  </si>
  <si>
    <t>1213; 17/9/2021</t>
  </si>
  <si>
    <t>Hỗ trợ thôn thống nhất (Mương thoát nước)</t>
  </si>
  <si>
    <t>Rãnh thoát nước BTXM</t>
  </si>
  <si>
    <t>UBND xã Hà Mòn</t>
  </si>
  <si>
    <t>132; 18/10/2021</t>
  </si>
  <si>
    <t>Cải tạo, nâng cấp đường Trường Chinh, TDP 1</t>
  </si>
  <si>
    <t>L=387m, Bm=8m, Bê tông nhựa</t>
  </si>
  <si>
    <t>1299; 01/11/2022</t>
  </si>
  <si>
    <t>Công trình: Cụm công nghiệp Đăk La</t>
  </si>
  <si>
    <t>Phân cấp hỗ trợ đầu tư xây dựng hạ tầng cụm công nghiệp</t>
  </si>
  <si>
    <t xml:space="preserve">01 Cụm </t>
  </si>
  <si>
    <t xml:space="preserve"> Đăk La</t>
  </si>
  <si>
    <t>486; 12/6/2023</t>
  </si>
  <si>
    <t>Dự án hỗ trợ trồng rừng sản xuất giai đoạn 2021-2025 trên địa bàn huyện Đăk Hà</t>
  </si>
  <si>
    <t xml:space="preserve">1550 ha </t>
  </si>
  <si>
    <t>1148; 27/8/2021</t>
  </si>
  <si>
    <t>Đầu tư khắc phục sạt lở đất ở suối Đăk Uy, huyện Đăk Hà</t>
  </si>
  <si>
    <t>Kè bảo vệ bờ bên phải thượng lưu cầu chiều dài khoảng 170m</t>
  </si>
  <si>
    <t>thị trấn Đăk Hà</t>
  </si>
  <si>
    <t>570; 06/8/2024</t>
  </si>
  <si>
    <t>Xây dựng hệ thống hồ sơ địa chính và cơ sở dữ liệu quản lý đất đai thị trấn Đăk Hà, huyện Đăk Hà, tỉnh Kon Tum</t>
  </si>
  <si>
    <t>521; 23/4/2021</t>
  </si>
  <si>
    <t>Đường từ Quốc lộ 14 đi thôn 3 xã Hà Mòn (Đường Nguyễn Đình Chiểu)</t>
  </si>
  <si>
    <t>L=1,33km. Bm=6m</t>
  </si>
  <si>
    <t>64/NQ-HĐND; 29/9/2021</t>
  </si>
  <si>
    <t>Di tích lịch sử cách mạng Điểm cao 601; Hạng mục: Xây mới cổng, tường rào và các hạng mục phụ trợ khác</t>
  </si>
  <si>
    <t>Cổng vào, tường rào xung quanh và các hạng mục khác</t>
  </si>
  <si>
    <t>Xã Đăk La và xã Hà Mòn</t>
  </si>
  <si>
    <t>03/NQ-HĐND; 06/02/2024</t>
  </si>
  <si>
    <t>Đường giao thông nông thôn từ xã Đăk La đi Ngọk Réo huyện Đăk Hà, tỉnh Kon Tum</t>
  </si>
  <si>
    <t>L=15km</t>
  </si>
  <si>
    <t xml:space="preserve"> Đăk La - Ngọk Réo</t>
  </si>
  <si>
    <t>2014-2018</t>
  </si>
  <si>
    <t>669; 20/12/2012</t>
  </si>
  <si>
    <t>xã Đăk Hà, xã Ngọk Réo</t>
  </si>
  <si>
    <t>Dự án khai thác quỹ đất dọc hai bên tuyến đường phía Đông QL 14 (đoạn từ tỉnh lộ 671 đến giáp đường Lê Hồng Phong)</t>
  </si>
  <si>
    <t>2,2 ha</t>
  </si>
  <si>
    <t>Dự án khai thác quỹ đất để phát triển kết cấu hạ tầng đường Quang Trung, tổ dân phố 2, TT Đăk Hà</t>
  </si>
  <si>
    <t>Dự án khu đô thị mới TDP 6, thị trấn Đăk Hà</t>
  </si>
  <si>
    <t>15,6ha</t>
  </si>
  <si>
    <t>Dự án khu dân cư mới xã Đăk La</t>
  </si>
  <si>
    <t>8,37ha</t>
  </si>
  <si>
    <t>Bồi thường - GPMB để xây dựng trụ sở Công an huyện</t>
  </si>
  <si>
    <t>Bồi thường - GPMB để xây dựng cơ sở hạ tầng cụm Công nghiệp Đăk La</t>
  </si>
  <si>
    <t xml:space="preserve">Cải tạo, nâng cấp đường Nguyễn Bỉnh Khiêm, </t>
  </si>
  <si>
    <t>L=900m, Bm=8m, Bê tông nhựa</t>
  </si>
  <si>
    <t>Công trình: Cải tạo, nâng cấp khu giết mổ gia súc gia cầm tập trung tại làng nghề Truyền thống – TTCN thị trấn Đăk Hà; hạng mục: Nhà giết mổ heo, khu chuồng nhốt heo, hệ thống thoát nước và đổ bê tông lại khu vực phía sau chuồng nhốt heo, xây dựng thêm 01 bồn chứa nước để phục vụ công tác giết mổ</t>
  </si>
  <si>
    <t>Hạ tầng kỹ thuật; nâng cấp, sửa chữa (1,1ha)</t>
  </si>
  <si>
    <t>Công trình: Trung tâm thương mại huyện Đăk Hà; hạng mục: Nhà quản lý, sân bê tông, Mương thoát nước nội bộ và bể nước phòng cháy chữa cháy</t>
  </si>
  <si>
    <t>Hạ tầng kỹ thuật; nâng cấp, sửa chữa (0,8ha)</t>
  </si>
  <si>
    <t>Công trình:  Đường Ngô Quyền và Đường Đinh Công Tráng; Hạng mục: Nền mặt đường, cống thoát nước, vỉa hè</t>
  </si>
  <si>
    <t>L=2km</t>
  </si>
  <si>
    <t>Đường từ TL671 (thôn 1 Hà Mòn) đến Lê Hồng Phong (Trung tâm dạy nghề)</t>
  </si>
  <si>
    <t>L=3,7Km, Bn=22,5m, Bm=15m, dải ph/cách giữa 1,5m, BT nhựa</t>
  </si>
  <si>
    <t>391/QĐ-UBND ngày 14/5/2021</t>
  </si>
  <si>
    <t>Công trình: Cổng chào vào các cửa ngõ phía Bắc và phía Nam huyện Đăk Hà (số lượng 02 CK)</t>
  </si>
  <si>
    <t>02 cổng (Móng trụ BTCT; Hệ khung thép ống tròn; bảng điện tử;…)</t>
  </si>
  <si>
    <t>xã Hà Mòn, Đăk Mar (Thị trấn)</t>
  </si>
  <si>
    <t>Trụ sở HĐND-UBND huyện Đăk Hà; Hạng mục: Hội trường phục vụ họp trực tuyến và các hạng mục phụ trợ khác</t>
  </si>
  <si>
    <t>02 tầng; khoảng 345m2</t>
  </si>
  <si>
    <t>35/NQ-HĐND ngày 28/10/2022</t>
  </si>
  <si>
    <t>Trường THCS xã Đăk La: Hạng mục: Xây mới phòng học; Phòng chức năng; Phòng bảo vệ và các hạng mục phụ trợ khác</t>
  </si>
  <si>
    <t>02 phòng học; 04 phòng chức năng; phòng bảo vệ và các hạng mục phụ trợ khác</t>
  </si>
  <si>
    <t>xã Đăk La</t>
  </si>
  <si>
    <t>Trường TH Lê Quý Đôn; Hạng mục: Xây mới phòng học; Phòng học bộ môn và các hạng mục phụ trợ khác</t>
  </si>
  <si>
    <t>02 phòng học; 04 phòng bộ môn và các hạng mục phụ trợ khác</t>
  </si>
  <si>
    <t>Giếng khoan trụ sở HĐND-UBND huyện Đăk Hà</t>
  </si>
  <si>
    <t>01 giếng khoan</t>
  </si>
  <si>
    <t>Lắp đặt biển tên đường phố, thị trấn Đăk Hà và một phần xã Hà Mòn</t>
  </si>
  <si>
    <t>khoảng 200 vị trí</t>
  </si>
  <si>
    <t>thị trấn Đăk Hà và một phần của thôn 5, xã Hà Mòn</t>
  </si>
  <si>
    <t>Trường TH Lê Văn Tám</t>
  </si>
  <si>
    <t>Khu hiệu bộ; phòng đa chức năng, phòng bộ môn và các hạng mục phụ trợ khác</t>
  </si>
  <si>
    <t>Trường THCS Thị trấn Đăk Hà</t>
  </si>
  <si>
    <t>Xây mới nhà tập đa năng, phòng Lab tiếng Anh (điểm trường Chính); Xây mới tường rào, sửa chữa điểm trường phụ và các hạng mục phụ trợ khác</t>
  </si>
  <si>
    <t>Đường Phạm Ngũ Lão</t>
  </si>
  <si>
    <t>L=800m, Bm=6m. Bê tông nhựa</t>
  </si>
  <si>
    <t>TDP 2b, thị trấn</t>
  </si>
  <si>
    <t>Đường Quang Trung</t>
  </si>
  <si>
    <t>L=750m, b=5-:-6m, Bê tông nhựa</t>
  </si>
  <si>
    <t>TDP 1, thị trấn</t>
  </si>
  <si>
    <t xml:space="preserve">Đường Võ Thị Sáu theo quy hoạch, TDP 1 </t>
  </si>
  <si>
    <t>L=300m, Bm=8m, Bê tông nhựa</t>
  </si>
  <si>
    <t xml:space="preserve">Đường Lê Lai theo quy hoạch, TDP 1 </t>
  </si>
  <si>
    <t>Đường Ngô Gia Tự</t>
  </si>
  <si>
    <t>L=410m, b=6m, Bê tông nhựa</t>
  </si>
  <si>
    <t xml:space="preserve">Đường Bà Triệu. </t>
  </si>
  <si>
    <t>L=350m, b=6m, Bê tông nhựa</t>
  </si>
  <si>
    <t>TDP 4a, thị trấn</t>
  </si>
  <si>
    <t xml:space="preserve">Đường Ngô Quyền. </t>
  </si>
  <si>
    <t>L=400m, b=6m, Bê tông nhựa</t>
  </si>
  <si>
    <t>TDP 4b, thị trấn</t>
  </si>
  <si>
    <t>Đường Nguyễn Văn Cừ</t>
  </si>
  <si>
    <t>L=500m,  Bm=6m, Bê tông nhựa</t>
  </si>
  <si>
    <t>Đường Lý Thường Kiệt</t>
  </si>
  <si>
    <t>L=380m, Bm=6m, Bê tông nhựa</t>
  </si>
  <si>
    <t>Đường Lý Tự Trọng</t>
  </si>
  <si>
    <t>L=390m, Bm=6m    Bê tông nhựa</t>
  </si>
  <si>
    <t>Đường Sư Vạn Hạnh</t>
  </si>
  <si>
    <t>L=400m, Bm=6m    Bê tông nhựa</t>
  </si>
  <si>
    <t>Đường Nguyễn Thượng Hiền</t>
  </si>
  <si>
    <t>L=420m, Bm=6m    Bê tông nhựa</t>
  </si>
  <si>
    <t>Đường Trần Khánh Dư</t>
  </si>
  <si>
    <t>L=280m, Bm=6m    Bê tông nhựa</t>
  </si>
  <si>
    <t>Đường Trương Định</t>
  </si>
  <si>
    <t>L=140; B= 6m; Bê tông nhựa</t>
  </si>
  <si>
    <t>Thôn 5, Hà Mòn</t>
  </si>
  <si>
    <t>Đường Lê Văn Hiền</t>
  </si>
  <si>
    <t xml:space="preserve">L=130; B= 6m; Bê tông nhựa </t>
  </si>
  <si>
    <t>Đường Phạm Ngọc Thạch</t>
  </si>
  <si>
    <t>L=135; B= 6m; Bê tông nhựa</t>
  </si>
  <si>
    <t>Đường Ngô Tiến Dũng</t>
  </si>
  <si>
    <t>Công trình: Cải tạo 02 chốt tín hiệu giao thông Hùng Vương – Lê Hồng Phong; Hùng Vương – Trường Chinh huyện Đăk Hà</t>
  </si>
  <si>
    <t>Cải tạo 02 chốt tín hiệu giao thông</t>
  </si>
  <si>
    <t>Chợ thôn 5 xã Hà Mòn</t>
  </si>
  <si>
    <t xml:space="preserve">Công trình dân dụng cấp 4, dưới 400 điểm kinh doanh; </t>
  </si>
  <si>
    <t>Sửa chữa Trung tâm GDNN-GDTX huyện</t>
  </si>
  <si>
    <t>Sửa chữa, nâng cấp Trung tâm chính trị huyện</t>
  </si>
  <si>
    <t>Trung tâm hành chính công của huyện</t>
  </si>
  <si>
    <t xml:space="preserve">Xây dựng mới Hội trường; phòng đọc và thư viện -Trung tâm chính trị huyện </t>
  </si>
  <si>
    <t>Sửa chữa cải tạo khu Di tích điểm cao 601</t>
  </si>
  <si>
    <t>Đường điện từ xã Đăk La đi thôn 5 xã Ngọk Wang</t>
  </si>
  <si>
    <t>xã Đăk La - Ngọk Wang</t>
  </si>
  <si>
    <t>Trụ sở BCH quân sự thị trấn</t>
  </si>
  <si>
    <t>Đường Nguyễn Du</t>
  </si>
  <si>
    <t>L=248,5m; Bm=8m; Bl=2x3=6m; bê tông nhựa</t>
  </si>
  <si>
    <t>TDP1, thị trấn</t>
  </si>
  <si>
    <t>Chỉnh trang vỉa hè đường Hùng Vương; trung tâm hành chính và một số khu vực khác</t>
  </si>
  <si>
    <t>L=5.500m, B=2,5- 5m</t>
  </si>
  <si>
    <t>Xây dựng mới Công viên Đăk Hà; Hạng mục: Đền bù, GPMB, đường nội bộ và các hạng mục khác</t>
  </si>
  <si>
    <t>5 ha</t>
  </si>
  <si>
    <t>68/NQ-HĐND ngày 22/11/2021</t>
  </si>
  <si>
    <t>Đầu tư một số hạng mục cơ sở hạ tầng thuộc đề án du lịch cộng đồng thôn Kon Trang Long Loi</t>
  </si>
  <si>
    <t>(đường + điện…)</t>
  </si>
  <si>
    <t>Xây dựng Trụ sở khối cơ quan chính quyền huyện Đăk Hà (05 tấng)</t>
  </si>
  <si>
    <t>05 tấng; S=1.745 m2</t>
  </si>
  <si>
    <t xml:space="preserve">Cải tại, nâng cấp đường Trương Hán Siêu, </t>
  </si>
  <si>
    <t>L=1.100m, Bm=8m, Bê tông nhựa</t>
  </si>
  <si>
    <t>Xã Đăk Mar</t>
  </si>
  <si>
    <t>Dự án quy hoạch bố trí dân cư tại xã Đăk Hring, huyện Đăk Hà - Giai đoạn 2009-2015</t>
  </si>
  <si>
    <t>S=300ha; Bố trí dân cư 300 hộ</t>
  </si>
  <si>
    <t>UBND xã Đăk Mar</t>
  </si>
  <si>
    <t>xã Đăk Hring, Đăk Long</t>
  </si>
  <si>
    <t>2009-2018</t>
  </si>
  <si>
    <t xml:space="preserve"> 1591; 14/12/2009 </t>
  </si>
  <si>
    <t>xã Đăk Mar</t>
  </si>
  <si>
    <t>Dự án chuyển tiếp giai đoạn 2016-2020 sang</t>
  </si>
  <si>
    <t>Dự án Đường GTNT từ thôn 9 đi thôn 7 xã Đăk Hring, huyện Đăk Hà</t>
  </si>
  <si>
    <t>xã Đăk Hring</t>
  </si>
  <si>
    <t>2916; 29/10/2019</t>
  </si>
  <si>
    <t>Dự án khai thác quỹ đất để phát triển kết cấu hạ tầng khu vực đất phía đông và phía tây QL 14, tại thôn Tân Lập B, xã Đăk Hring</t>
  </si>
  <si>
    <t>Xã Đăk Hring</t>
  </si>
  <si>
    <t>645; 28/6/2022
+715; 08/7/2022</t>
  </si>
  <si>
    <t>Công trình Dự án khai thác quỹ đất khu vực 3.7, tại thôn Tân Lập A, xã Đăk Hring, huyện Đăk Hà</t>
  </si>
  <si>
    <t>1,5ha</t>
  </si>
  <si>
    <t xml:space="preserve">412; 01/4/2021 </t>
  </si>
  <si>
    <t>Bồi thường - GPMB để xây dựng trụ sở BCH quân sự huyện</t>
  </si>
  <si>
    <t>3ha</t>
  </si>
  <si>
    <t>GPMB</t>
  </si>
  <si>
    <t>10; 06/01/2022</t>
  </si>
  <si>
    <t>Đường từ Quốc lộ 14 đi Cụm Công nghiệp Đăk Mar, huyện Đăk Hà (giai đoạn 1 từ lý trình: Km5+800-Km7+743,28)</t>
  </si>
  <si>
    <t>L=1,943km</t>
  </si>
  <si>
    <t>473; 08/6/2023</t>
  </si>
  <si>
    <t>Đường từ QL14 vào công ty APANAX thôn Tân Lập B, xã Đăk Hring</t>
  </si>
  <si>
    <t>BTXM đá 1x2 M250, dài L = 100m; B = 3.5m; dày 8cm, rãnh dọc gia cố bằng tấm BTXM</t>
  </si>
  <si>
    <t>UBND xã Đăk Hring</t>
  </si>
  <si>
    <t>495; 10/12/2021</t>
  </si>
  <si>
    <t>Đường giao thông nông thôn thôn Tân Lập A, xã ĐăkHring; hạng mục: Đường bê tông xi măng từ Tỉnh lộ 677 đến nhà ông Đệ</t>
  </si>
  <si>
    <t>BTXM đá 1x2 M250, dài L = 460m; B = 3.5m; dày 18cm</t>
  </si>
  <si>
    <t>496; 10/12/2021</t>
  </si>
  <si>
    <t>Xây mới Nhà rông văn hóa thôn KonMong, xã Đăk Hring</t>
  </si>
  <si>
    <t>Xây mới nhà rông 70m2</t>
  </si>
  <si>
    <t>602; 21/6/2022</t>
  </si>
  <si>
    <t>Xây mới Nhà rông văn hóa thôn KonHnong Pêng, xã Đăk Hring</t>
  </si>
  <si>
    <t>512; 13/12/2021</t>
  </si>
  <si>
    <t>Sửa chữa Hội trường văn hóa, Hàng rào khuôn viên sân thể thao thôn Tân Lập B, xã Đăk Hring</t>
  </si>
  <si>
    <t>Sửa chữa nhà hội trường thôn 100m2</t>
  </si>
  <si>
    <t>517; 13/12/2021</t>
  </si>
  <si>
    <t>Sửa chữa Hội trường văn hóa, Hàng rào khuôn viên sân thể thao thôn KonHnong Yôp, xã Đăk Hring</t>
  </si>
  <si>
    <t>516; 13/12/2021</t>
  </si>
  <si>
    <t>Sửa chữa nhà hội trường, BTXM khuôn viên hội trường thôn Tân Lập A, xã Đăk Hring</t>
  </si>
  <si>
    <t>Lợp lại mái bị thấm dột 100m2; BTXM khuôn viên hội trường thôn 100m2</t>
  </si>
  <si>
    <t>515; 13/12/2021</t>
  </si>
  <si>
    <t>Trụ sở BCH quân sự xã Đăk Mar</t>
  </si>
  <si>
    <t>Nhà làm việc và các hạng mục khác</t>
  </si>
  <si>
    <t>1853; 16/11/2024</t>
  </si>
  <si>
    <t>Công trình: Cụm công nghiệp Đăk Mar</t>
  </si>
  <si>
    <t xml:space="preserve"> Đăk Mar</t>
  </si>
  <si>
    <t>424; 05/4/2021
370; 28/4/2022</t>
  </si>
  <si>
    <t>Trường THCS Đăk Hring. Hạng mục: Xây dựng mới 10 phòng học (06 phòng học; 04 phòng học chức năng) và các hạng mục phụ trợ khác</t>
  </si>
  <si>
    <t>06 phòng học; 04 phòng học chức năng</t>
  </si>
  <si>
    <t>602; 05/5/2021</t>
  </si>
  <si>
    <t>Trường TH Phan Đình Giót, xã ĐăkHring. Hạng mục: Xây mới 04 phòng học và các hạng mục phụ trợ khác</t>
  </si>
  <si>
    <t>Nguồn thu Xổ số kiến thiết ngân sách tỉnh hỗ trợ xây dựng nông thôn mới</t>
  </si>
  <si>
    <t xml:space="preserve"> 04 phòng học</t>
  </si>
  <si>
    <t>xã ĐăkHring</t>
  </si>
  <si>
    <t xml:space="preserve">381; 29/3/2021 </t>
  </si>
  <si>
    <t xml:space="preserve">Dự án khai thác quỹ đất để phát triển kết cấu hạ tầng khu vực đất tại thôn 5, xã Đăk Mar </t>
  </si>
  <si>
    <t>Dự án khai thác quỹ đất để phát triển kết cấu hạ tầng khu vực đất tại thôn 4, xã Đăk Mar (đường đất hướng rẽ vào rừng Đăk dụng)</t>
  </si>
  <si>
    <t>Trường TH Kơ Pa Kơ Lơng; Hạng mục: Xây mới 02 phòng học</t>
  </si>
  <si>
    <t>02 phòng học</t>
  </si>
  <si>
    <t>Đường Quy hoạch số 2, khu 3,7, thôn Tân Lập A, xã ĐăkHring</t>
  </si>
  <si>
    <t xml:space="preserve">Đường Quy hoạch số 3, khu 3,7, thôn Tân Lập A, xã ĐăkHring; </t>
  </si>
  <si>
    <t>Đường Quy hoạch số 4, khu 3,7, thôn Tân Lập A, xã ĐăkHring;</t>
  </si>
  <si>
    <t xml:space="preserve">Đường Quy hoạch số 7, khu 3,7, thôn Tân Lập A, xã ĐăkHring; </t>
  </si>
  <si>
    <t xml:space="preserve">Đường Quy hoạch số 11, khu 3,7, thôn Tân Lập A, xã ĐăkHring; </t>
  </si>
  <si>
    <t>Xây mới 02 phòng (01 phòng phát triển thể chất, 01 phòng làm việc) điểm trường chính - Trường MG Đăk Hring</t>
  </si>
  <si>
    <t>02 phòng</t>
  </si>
  <si>
    <t>Đăk Hring</t>
  </si>
  <si>
    <t xml:space="preserve">Tường rào, sân bê tông hội trường văn hóa xã ĐăkHring </t>
  </si>
  <si>
    <t xml:space="preserve">xã Đăk Hring </t>
  </si>
  <si>
    <t>Trụ sở BCH quân sự xã Đăk Hring</t>
  </si>
  <si>
    <t>Xã Đăk Ui</t>
  </si>
  <si>
    <t>Trường TH&amp;THCS Đăk Ui</t>
  </si>
  <si>
    <t>UBND xã Đăk Ui</t>
  </si>
  <si>
    <t>xã Đăk Ui</t>
  </si>
  <si>
    <t>417; 09/5/2022</t>
  </si>
  <si>
    <t>Nhà làm việc Ban Chỉ huy quân sự xã Đăk Ngọk ; Hạng mục nhà làm việc và các hạng mục khác</t>
  </si>
  <si>
    <t>xã Đăk Ngọk</t>
  </si>
  <si>
    <t>759; 07/11/2024</t>
  </si>
  <si>
    <t>Ban chỉ huy quân sự xã Đăk Ui. Hạng mục: Nhà làm việc và các hạng mục khác</t>
  </si>
  <si>
    <t>105,60 m2</t>
  </si>
  <si>
    <t xml:space="preserve">xã Đăk Ui. </t>
  </si>
  <si>
    <t xml:space="preserve">637; 11/5/2021 </t>
  </si>
  <si>
    <t>Trường mẫu giáo Đăk Ui.  Hạng mục: Xây mới 02 phòng học điểm trường thôn 5 (Kon Mriang)</t>
  </si>
  <si>
    <t>Đăk Ui</t>
  </si>
  <si>
    <t>65/NQ-HĐND ngày 29/9/2021</t>
  </si>
  <si>
    <t>Khu đất xây dựng chưa được cấp thẩm quyền thu hồi đất</t>
  </si>
  <si>
    <t>Trường mầm non xã Đăk Ngọk; Hạng mục: Tổ hợp các phòng chức năng, phòng bảo vệ và các hạng mục phụ trợ khác</t>
  </si>
  <si>
    <t>Tổ hợp các phòng chức năng, phòng bảo vệ và các hạng mục phụ trợ khác</t>
  </si>
  <si>
    <t>1008; 06/12/2023</t>
  </si>
  <si>
    <t>Dự án khai thác quỹ đất  khu vực dân cư tại thôn Đăk Bình, xã Đăk Ngọk</t>
  </si>
  <si>
    <t>2 ha</t>
  </si>
  <si>
    <t>Sửa chửa, Nâng cấp CT thủy lợi Đăk Peng 1</t>
  </si>
  <si>
    <t>Tưới 10 ha lúa nước 1 vụ  và 5 ha lúa 2 vụ</t>
  </si>
  <si>
    <t>Thôn 8, xã Đăk Ui</t>
  </si>
  <si>
    <t>Sửa chửa, Nâng cấp công trình thủy lợi Đăk Ha Mát (Đăk Xoa)</t>
  </si>
  <si>
    <t>Tưới 8 ha lúa nước và 12 ha cây CN</t>
  </si>
  <si>
    <t>Thôn 3, xã Đăk Ui</t>
  </si>
  <si>
    <t>Xã Ngọk Réo</t>
  </si>
  <si>
    <t>Trường THCS xã Ngọk Réo</t>
  </si>
  <si>
    <t>16 phòng (02 tầng)</t>
  </si>
  <si>
    <t>UBND xã Ngọk Réo</t>
  </si>
  <si>
    <t>xã Ngọk Réo</t>
  </si>
  <si>
    <t>472; 08/6/2023</t>
  </si>
  <si>
    <t>Trường TH&amp;THCS xã Ngọk Wang</t>
  </si>
  <si>
    <t>xã Ngọk Wang</t>
  </si>
  <si>
    <t>395; 04/5/2022</t>
  </si>
  <si>
    <t>Trụ sở BCH quân sự xã Ngọk Wang</t>
  </si>
  <si>
    <t>255; 29/3/2022</t>
  </si>
  <si>
    <t>Trụ sở BCH quân sự xã Ngọk Réo</t>
  </si>
  <si>
    <t>1854; 16/11/2024</t>
  </si>
  <si>
    <t>Trường TH Trần Quốc Toản; Hạng mục: Phòng học bộ môn và các hạng mục phụ trợ khác</t>
  </si>
  <si>
    <t>04 phòng</t>
  </si>
  <si>
    <t>485; 12/6/2023</t>
  </si>
  <si>
    <t>Trường Mẫu giáo xã Ngọk Réo; Hạng mục: Xây mới nhà hiệu bộ, 02 phòng học và các công trình phụ trợ</t>
  </si>
  <si>
    <t>03 phòng hiệu bộ, 02 phòng học</t>
  </si>
  <si>
    <t>Ngọk Réo</t>
  </si>
  <si>
    <t>288; 14/4/2023</t>
  </si>
  <si>
    <t>Trường Mẫu Giáo xã Ngọk Wang (trường chính). Hạng mục: Sân bê tông;  Phòng hiệu bộ và bếp ăn</t>
  </si>
  <si>
    <t>Xây mới 06 phòng. (01 phòng hiệu trưởng, 02 phòng phó hiệu trưởng, 01 phòng nhân viên, 01 phòng y tế, phòng họp hội đồng) và khu vệ sinh</t>
  </si>
  <si>
    <t>340; 20/4/2022</t>
  </si>
  <si>
    <t>Xây mới trụ sở  xã Ngọk Wang (02 tầng) và các hạng mục phụ trợ khác</t>
  </si>
  <si>
    <t xml:space="preserve"> xã Ngọk Wang</t>
  </si>
  <si>
    <t>Xây mới trụ sở  xã Ngọk Réo (02 tầng) và các hạng mục phụ trợ khác</t>
  </si>
  <si>
    <t>Trường TH Trần Quốc Toản</t>
  </si>
  <si>
    <t>Xây mới khu hiệu bộ và các hạng mục phụ trợ khác</t>
  </si>
  <si>
    <t>VỐN NGÂN SÁCH HUYỆN ĐỐI ỨNG THỰC HIỆN CÁC CTMTQG</t>
  </si>
  <si>
    <t>Hệ thống điện 3 pha phục vụ sản xuất từ thôn 2 xã Đăk La đến thôn 5 xã Ngọk Wang</t>
  </si>
  <si>
    <t>Đầu tư mới
đường dây trung
thế, Trạm biến
áp và đường dây
hạ thế</t>
  </si>
  <si>
    <t>Công nghiệp</t>
  </si>
  <si>
    <t>xã Đăk La và
xã Ngọk
Wang</t>
  </si>
  <si>
    <t>970; 06/6/2025</t>
  </si>
  <si>
    <t>Dự án sắp xếp, ổn định dân cư tại chỗ và xen ghép xã Đăk Pxi, huyện Đăk Hà</t>
  </si>
  <si>
    <t>NSTW nà huyện đối ứng</t>
  </si>
  <si>
    <t>Đầu tư cơ sở hạ tầng:
Đường, cầu qua
sông; kè chống sạt lỡ
sông; đường dân sinh
và hỗ trợ hộ dân</t>
  </si>
  <si>
    <t>1776; 26/10/2024</t>
  </si>
  <si>
    <t>Để BQL dự án của Đăk Hà tiếp tục thực hiện dự án</t>
  </si>
  <si>
    <t>Cầu tràn xã Đăk Ngọk</t>
  </si>
  <si>
    <t>Cầu bản BTCT;
Khẩu độ: L nhịp =3x6 =18 m</t>
  </si>
  <si>
    <t>124;
20/3/2024</t>
  </si>
  <si>
    <t>Sửa chữa nâng cấp tuyến đường từ Quốc lộ 14 đi xã Hà Mòn (Đoạn từ sân phơi cà phê Đăk Uy đến cổng chào thôn 4 xã Hà Mòn và một số tuyến đường thuộc xã Hà Mòn)</t>
  </si>
  <si>
    <t>L1 =1.396,64m 909,48m; L2=</t>
  </si>
  <si>
    <t>210;
26/4/2024</t>
  </si>
  <si>
    <t>Trường Tiểu học và THCS xã Đăk Ngọk; Hạng mục Xây dựng mới 01 phòng học (Điểm trường thôn Đăk Kđem)</t>
  </si>
  <si>
    <t>01 phòng học</t>
  </si>
  <si>
    <t>UBND xã Đăk Ngọk</t>
  </si>
  <si>
    <t>648; 23/9/2024</t>
  </si>
  <si>
    <t>Nhà văn hoá thôn 5, xã Hà Mòn</t>
  </si>
  <si>
    <t>Diện tích xây dựng là 135,25 m2</t>
  </si>
  <si>
    <t>BQL DA ĐTXD huyện</t>
  </si>
  <si>
    <t>665; 02/10/2024</t>
  </si>
  <si>
    <t>Nâng cấp tuyến đường liên xã Đăk Ngọk đi xã Đăk Ui</t>
  </si>
  <si>
    <t>L=4.425,72 m</t>
  </si>
  <si>
    <t>xã Đăk Ngọk và xã Đăk Ui</t>
  </si>
  <si>
    <t>721; 29/8/2023</t>
  </si>
  <si>
    <t>Nâng cấp tuyến đường liên xã Đăk Ngọk đi xã Ngọk Wang</t>
  </si>
  <si>
    <t>L=5.307,95 m</t>
  </si>
  <si>
    <t>xã Đăk Ngọk và xã Ngọk Wang</t>
  </si>
  <si>
    <t>720; 29/8/2023</t>
  </si>
  <si>
    <t>xã Đăk Ui, xã Ngọk Réo</t>
  </si>
  <si>
    <t xml:space="preserve">Nâng cấp tuyến đường đến trung tâm xã Ngọk Réo </t>
  </si>
  <si>
    <t>L=3.346,92 m</t>
  </si>
  <si>
    <t>719; 29/8/2023</t>
  </si>
  <si>
    <t xml:space="preserve">Ứng dụng công nghệ thông tin, hỗ trợ phát triển kinh tế - xã hội </t>
  </si>
  <si>
    <t>03 xã</t>
  </si>
  <si>
    <t>Phòng Văn hoá và Thông tin huyện</t>
  </si>
  <si>
    <t>xã Đăk Long, Đăk Pxi, Ngọk Réo</t>
  </si>
  <si>
    <t>944; 10/11/2023</t>
  </si>
  <si>
    <t>xã Đăk Pxi, Ngọk Réo</t>
  </si>
  <si>
    <t>Xã Đăk Pxi có quy mô đầu tư lớn hơn</t>
  </si>
  <si>
    <t>Dự án 1: Hỗ trợ nhà ở, đất ở, đất sản xuất</t>
  </si>
  <si>
    <t>Hỗ trợ nhà ở theo tiêu chí 3 cứng</t>
  </si>
  <si>
    <t>Địa bàn các xã, thị trấn</t>
  </si>
  <si>
    <t>39/NQ-HĐND; 20/12/2023</t>
  </si>
  <si>
    <t>Địa bàn các xã</t>
  </si>
  <si>
    <t>Trường tiểu học xã Đăk Pxi (Điểm trường thôn Kon Pao Kơ La); Hạng mục: Xây mới phòng bộ môn và các hạng mục khác</t>
  </si>
  <si>
    <t>Xây mới phòng bộ môn và các hạng mục khác</t>
  </si>
  <si>
    <t>BQL DADTXD huyện</t>
  </si>
  <si>
    <t>Thôn 
Kon Pao Kơ La</t>
  </si>
  <si>
    <t>674; 07/10/2024</t>
  </si>
  <si>
    <t>Trường tiểu học xã Đăk Pxi; Hạng mục: Xây mới phòng tin học, phòng Anh Văn và các hạng mục khác</t>
  </si>
  <si>
    <t>Xây mới phòng tin học, phòng Anh Văn và các hạng mục khác</t>
  </si>
  <si>
    <t>Thôn Đăk  Kơ Đương</t>
  </si>
  <si>
    <t>633; 11/9/2024</t>
  </si>
  <si>
    <t>Dự án hỗ trợ trồng rừng sản xuất năm 2023 trên địa bàn các xã</t>
  </si>
  <si>
    <t>Trồng rừng sản xuất</t>
  </si>
  <si>
    <t>1073;     26/12/2023</t>
  </si>
  <si>
    <t>Dự án hỗ trợ trồng rừng sản xuất năm 2023 trên địa bàn xã Đăk Pxi</t>
  </si>
  <si>
    <t>Dự án hỗ trợ trồng rừng sản xuất năm 2023 trên địa bàn xã Đăk Long</t>
  </si>
  <si>
    <t>Dự án hỗ trợ trồng rừng sản xuất năm 2023 trên địa bàn xã Đăk Hring</t>
  </si>
  <si>
    <t>Dự án hỗ trợ trồng rừng sản xuất năm 2023 trên địa bàn xã Đăk Mar</t>
  </si>
  <si>
    <t>Dự án hỗ trợ trồng rừng sản xuất năm 2023 trên địa bàn xã Đăk Ui</t>
  </si>
  <si>
    <t>Dự án hỗ trợ trồng rừng sản xuất năm 2023 trên địa bàn xã Ngọk Réo</t>
  </si>
  <si>
    <t>Dự án hỗ trợ trồng rừng sản xuất năm 2023 trên địa bàn xã Ngọk Wang</t>
  </si>
  <si>
    <t>Dự án hỗ trợ trồng rừng sản xuất năm 2024 trên địa bàn các xã</t>
  </si>
  <si>
    <t>490+491+492+493; 12/7/2024</t>
  </si>
  <si>
    <t>Dự án hỗ trợ trồng rừng sản xuất năm 2024 trên địa bàn xã Ngọk Réo</t>
  </si>
  <si>
    <t>Dự án hỗ trợ trồng rừng sản xuất năm 2024 trên địa bàn xã Đăk Ui</t>
  </si>
  <si>
    <t>Dự án hỗ trợ trồng rừng sản xuất năm 2024 trên địa bàn xã Đăk Hring</t>
  </si>
  <si>
    <t>Dự án hỗ trợ trồng rừng sản xuất năm 2024 trên địa bàn xã Đăk Long</t>
  </si>
  <si>
    <t>Dự án1: Hỗ trợ nhà ở, đất ở, đất sản xuất, nước sinh hoạt</t>
  </si>
  <si>
    <t>1719/QĐ-TTg</t>
  </si>
  <si>
    <t>29/NQ-HĐND</t>
  </si>
  <si>
    <t>Hỗ trợ nhà ở, đất ở, đất sản xuất trên địa bàn xã Đăk Pxi</t>
  </si>
  <si>
    <t>Mã số dùng chung</t>
  </si>
  <si>
    <t>Hỗ trợ nhà ở, đất ở, đất sản xuất trên địa bàn xã Đăk Long</t>
  </si>
  <si>
    <t>Hỗ trợ nhà ở, đất ở, đất sản xuất trên địa bàn xã Ngọk Réo</t>
  </si>
  <si>
    <t>Hỗ trợ nhà ở, đất ở, đất sản xuất trên địa bàn xã Ngọk Wang</t>
  </si>
  <si>
    <t>Xã Ngọk Wang</t>
  </si>
  <si>
    <t>Dự án nước sinh hoạt tập trung tại các thôn trên địa bàn xã Đăk Ui</t>
  </si>
  <si>
    <t>02 giếng khoan</t>
  </si>
  <si>
    <t>450; 28/3/2025</t>
  </si>
  <si>
    <t>Dự án nước sinh hoạt tập trung tại các thôn trên địa bàn xã Ngọk Wang</t>
  </si>
  <si>
    <t>UBND xã Ngọk Wang</t>
  </si>
  <si>
    <t>805; 26/5/2025</t>
  </si>
  <si>
    <t>Trường MG xã Đăk Long; Hạng mục: Xây mới bếp ăn (điểm trường chính; 02 phòng học (điểm trường thôn Kon Teo-Đăk Lấp) và các hạng mục phụ trợ khác</t>
  </si>
  <si>
    <t>Xây mới bếp ăn (điểm trường chính; 02 phòng học (điểm trường thôn Kon Teo-Đăk Lấp) và các hạng mục phụ trợ khác</t>
  </si>
  <si>
    <t>678; 07/10/2024</t>
  </si>
  <si>
    <t>DA chưa quyết toán</t>
  </si>
  <si>
    <t>Trường MG xã Đăk Hring; Hạng mục: Xây mới 01 phòng đa năng, 01 phòng học (điểm trường chính) và 01 phòng học (điểm trường thôn 1)</t>
  </si>
  <si>
    <t>Xây mới 01 phòng đa năng, 01 phòng học (điểm trường chính) và 01 phòng học (điểm trường thôn 1)</t>
  </si>
  <si>
    <t>226; 18/02/2025</t>
  </si>
  <si>
    <t>Nguồn đất chưa phân bổ</t>
  </si>
  <si>
    <t>Bố trí đối ứng các CT MTQG (chưa phân bổ chi tiết)</t>
  </si>
  <si>
    <t>Nguồn phân cấp, đất, vốn khác</t>
  </si>
  <si>
    <t>Các dự án đầu tư phát triển thuộc các CTMTQG</t>
  </si>
  <si>
    <t>VII</t>
  </si>
  <si>
    <t>Giao tăng thêm; thực tế chưa triển khai</t>
  </si>
  <si>
    <t>Thực tế chưa triển khai</t>
  </si>
  <si>
    <t>377-10/11/2022</t>
  </si>
  <si>
    <t xml:space="preserve">248-08/9/2021 </t>
  </si>
  <si>
    <t>415-05/12/2022</t>
  </si>
  <si>
    <t>416-05/12/2022</t>
  </si>
  <si>
    <t>65-29/9/2021</t>
  </si>
  <si>
    <t>65/NQ-29/9/2021</t>
  </si>
  <si>
    <t>NHCSXH chi nhánh tỉnh Kon Tum</t>
  </si>
  <si>
    <t>NHCSXH chi nhánh tỉnh Quảng Ngãi</t>
  </si>
  <si>
    <t>Ngân hàng Chính sách xã hội huyện</t>
  </si>
  <si>
    <t>Phân cấp điều tiết cho xã</t>
  </si>
  <si>
    <t>292-31/7/2019</t>
  </si>
  <si>
    <t>43-29/4/2021;
1089-23/11/2021</t>
  </si>
  <si>
    <t>2633-18/12/2020</t>
  </si>
  <si>
    <t>1780-12/12/2022</t>
  </si>
  <si>
    <t xml:space="preserve"> 296-04-03-2021</t>
  </si>
  <si>
    <t xml:space="preserve"> 296-04/03/2021</t>
  </si>
  <si>
    <t>1297-27/10/2023</t>
  </si>
  <si>
    <t>1825-16/12/2022</t>
  </si>
  <si>
    <t>1852-21/9/2021</t>
  </si>
  <si>
    <t>2293-12/11/2021</t>
  </si>
  <si>
    <t>1822-16/12/2022</t>
  </si>
  <si>
    <t xml:space="preserve">1376-02/12/2024 </t>
  </si>
  <si>
    <t xml:space="preserve">1502-12/12/2023 </t>
  </si>
  <si>
    <t>301-05-03-2021</t>
  </si>
  <si>
    <t>2282-12/11/2021</t>
  </si>
  <si>
    <t>1297-27-10-2023</t>
  </si>
  <si>
    <t>1174-17-8-2022</t>
  </si>
  <si>
    <t xml:space="preserve">1494-23-12-2024 </t>
  </si>
  <si>
    <t>2516-13/12/2021</t>
  </si>
  <si>
    <t>2511-13/12/2021</t>
  </si>
  <si>
    <t>2512-13/12/2022</t>
  </si>
  <si>
    <t>2513-13/12/2021</t>
  </si>
  <si>
    <t>2514-13/12/2021</t>
  </si>
  <si>
    <t>1503-12/12/2023</t>
  </si>
  <si>
    <t>679-30-5-2022</t>
  </si>
  <si>
    <t xml:space="preserve"> 2621-17/12/2020</t>
  </si>
  <si>
    <t>2634-18/12/2020</t>
  </si>
  <si>
    <t>2294-12/11/2021</t>
  </si>
  <si>
    <t>2295-12/11/2021</t>
  </si>
  <si>
    <t>2296- 12/11/2021</t>
  </si>
  <si>
    <t>2297-12/11/2021</t>
  </si>
  <si>
    <t>2298-12/11/2021</t>
  </si>
  <si>
    <t>1779-12/12/202</t>
  </si>
  <si>
    <t xml:space="preserve">1501-12/12/2023 </t>
  </si>
  <si>
    <t xml:space="preserve"> 2638-18/12/2020</t>
  </si>
  <si>
    <t>1168-09-11-2022</t>
  </si>
  <si>
    <t>786-26-6-2023</t>
  </si>
  <si>
    <t>Phân cấp điều tiết cho cấp xã</t>
  </si>
  <si>
    <t>VỐN CHƯA PHÂN BỔ</t>
  </si>
  <si>
    <t>ĐỐI ỨNG THỰC HIỆN CÁC CHƯƠNG TRÌNH MỤC TIÊU QUỐC GIA</t>
  </si>
  <si>
    <t>NHIỆM VỤ CHUYỂN VỀ CẤP TỈNH</t>
  </si>
  <si>
    <t>VỐN CHƯA PHÂN BỔ/PHÂN BỔ KHÔNG THEO DỰ ÁN</t>
  </si>
  <si>
    <t>DỰ ÁN/NHIỆM VỤ CHUYỂN VỀ CẤP TỈNH</t>
  </si>
  <si>
    <t>ĐỐI ỨNG THỰC HIỆN CÁC CTMTQG</t>
  </si>
  <si>
    <t xml:space="preserve">ĐỐI ỨNG THỰC HIỆN CÁC CTMTQG </t>
  </si>
  <si>
    <t>64/2021/NQ-HĐND ngày 29/9/2021</t>
  </si>
  <si>
    <t xml:space="preserve">1023/QĐ-UBND ngày 26-7-2022; 853/QĐ-UBND ngày 11-07-2023; 726/QĐ-UBND ngày 18-07-2024 </t>
  </si>
  <si>
    <t>Ban chỉ huy quân sự huyện Ngọc Hồi</t>
  </si>
  <si>
    <t>2516/QĐ-UBND ngày 13/12/2021</t>
  </si>
  <si>
    <t>Huyện Tu Mơ Rông - huyện Đăk Tô- huyện Đăk Hà</t>
  </si>
  <si>
    <t>Tạm dừng triển khai thực hiện dự án theo Công văn số 1138/UBND-TCKH ngày 06/5/2025 của UBND huyện Ngọc Hồi (cũ)</t>
  </si>
  <si>
    <t>Phụ lục 3.13</t>
  </si>
  <si>
    <t>PHỤ LỤC 3.14</t>
  </si>
  <si>
    <t>PHỤ LỤC 3.15</t>
  </si>
  <si>
    <t>PHỤ LỤC 3.17</t>
  </si>
  <si>
    <t>PHỤ LỤC 3.18</t>
  </si>
  <si>
    <t>PHỤ LỤC 3.19</t>
  </si>
  <si>
    <t>PHỤ LỤC 3.20</t>
  </si>
  <si>
    <t>PHỤ LỤC 3.21</t>
  </si>
  <si>
    <t>Nhà văn hóa thị trấn Đăk Hà</t>
  </si>
  <si>
    <t>Hỗ trợ thực hiện theo Nghị quyết 64/2021/NQ-HĐND ngày 29/9/2021 của HĐND huyện</t>
  </si>
  <si>
    <t>Dự án chuyển tiếp giai đọan 20216-2020 sang</t>
  </si>
  <si>
    <t>Xã Pô Kô</t>
  </si>
  <si>
    <t>KHV năm 2024 ngân sách cấp huyện kéo dài thời gian thực hiện và giải ngân sang năm 2025</t>
  </si>
  <si>
    <t>75/NQ-HĐND ngày  21/12/2021</t>
  </si>
  <si>
    <t>28/NQ-HĐND ngày 29/9/2023</t>
  </si>
  <si>
    <t>DỰ ÁN DO CẤP HUYỆN, XÃ (CŨ) LÀM CHỦ ĐẦU TƯ CHUYỂN VỀ CẤP XÃ (MỚI)</t>
  </si>
  <si>
    <t>E</t>
  </si>
  <si>
    <t>UBND huyện
Đăk Hà</t>
  </si>
  <si>
    <t>Dự án thực hiện CBĐT</t>
  </si>
  <si>
    <t>2024 -</t>
  </si>
  <si>
    <t>Nợ đọng
XDCB</t>
  </si>
  <si>
    <t>DỰ ÁN ĐANG ĐỀ NGHỊ ĐIỀU CHỈNH CHỦ ĐẦU TƯ</t>
  </si>
  <si>
    <t xml:space="preserve">Sau khi có Quyết định điều chỉnh của cấp có thẩm quyền sẽ cập nhật thông tin chủ đầu tư </t>
  </si>
  <si>
    <t>Chủ đầu tư điều chỉnh (**)</t>
  </si>
  <si>
    <t>PHỤ LỤC 3.22</t>
  </si>
  <si>
    <t>2022-202</t>
  </si>
  <si>
    <t>Tạm dừng</t>
  </si>
  <si>
    <t>2015-2015</t>
  </si>
  <si>
    <t>Đã bàn giao chưa QTDAHT</t>
  </si>
  <si>
    <t xml:space="preserve">Điều chỉnh </t>
  </si>
  <si>
    <t>Lắp đặt trụ, bảng tên đường một số tuyến đường mới đặt tên (Đợt 7) trên địa bàn thành phố Kon Tum</t>
  </si>
  <si>
    <r>
      <t>F</t>
    </r>
    <r>
      <rPr>
        <vertAlign val="subscript"/>
        <sz val="12"/>
        <rFont val="Times New Roman"/>
        <family val="1"/>
      </rPr>
      <t xml:space="preserve">tổng khu đất </t>
    </r>
    <r>
      <rPr>
        <sz val="12"/>
        <rFont val="Times New Roman"/>
        <family val="1"/>
      </rPr>
      <t>1,94 ha  (1,42 ha tạo vốn, XD cơ sở hạ tầng 0,5ha; đường GT L=210m)</t>
    </r>
  </si>
  <si>
    <r>
      <t>F</t>
    </r>
    <r>
      <rPr>
        <vertAlign val="subscript"/>
        <sz val="12"/>
        <rFont val="Times New Roman"/>
        <family val="1"/>
      </rPr>
      <t xml:space="preserve">tổng khu đất </t>
    </r>
    <r>
      <rPr>
        <sz val="12"/>
        <rFont val="Times New Roman"/>
        <family val="1"/>
      </rPr>
      <t>11,5 ha  (9,13 ha tạo vốn, giao thông và khác 2,37ha; đường GT L=0,55km)</t>
    </r>
  </si>
  <si>
    <r>
      <t>F</t>
    </r>
    <r>
      <rPr>
        <vertAlign val="subscript"/>
        <sz val="12"/>
        <rFont val="Times New Roman"/>
        <family val="1"/>
      </rPr>
      <t xml:space="preserve">tổng khu đất </t>
    </r>
    <r>
      <rPr>
        <sz val="12"/>
        <rFont val="Times New Roman"/>
        <family val="1"/>
      </rPr>
      <t>4,7 ha  (1,84 ha tạo vốn, XD cơ sở hạ tầng 0,55ha)</t>
    </r>
  </si>
  <si>
    <r>
      <t>F</t>
    </r>
    <r>
      <rPr>
        <vertAlign val="subscript"/>
        <sz val="12"/>
        <rFont val="Times New Roman"/>
        <family val="1"/>
      </rPr>
      <t xml:space="preserve">tổng khu đất </t>
    </r>
    <r>
      <rPr>
        <sz val="12"/>
        <rFont val="Times New Roman"/>
        <family val="1"/>
      </rPr>
      <t xml:space="preserve">0,2 ha  </t>
    </r>
  </si>
  <si>
    <r>
      <rPr>
        <b/>
        <sz val="12"/>
        <rFont val="Times New Roman"/>
        <family val="1"/>
      </rPr>
      <t>GĐ 1:</t>
    </r>
    <r>
      <rPr>
        <sz val="12"/>
        <rFont val="Times New Roman"/>
        <family val="1"/>
      </rPr>
      <t xml:space="preserve"> Xây dựng mới 06 phòng học +02 phòng chức năng + phụ trợ khác</t>
    </r>
  </si>
  <si>
    <r>
      <rPr>
        <b/>
        <sz val="12"/>
        <rFont val="Times New Roman"/>
        <family val="1"/>
      </rPr>
      <t>GĐ 1:</t>
    </r>
    <r>
      <rPr>
        <sz val="12"/>
        <rFont val="Times New Roman"/>
        <family val="1"/>
      </rPr>
      <t xml:space="preserve"> Xây dựng mới 08 phòng học + 04 phòng hiệu bộ+ 01 phòng họp Hội đồng+ phụ trợ khác</t>
    </r>
  </si>
  <si>
    <t>Ghi chú (*): Chuẩn xác sau khi cấp có thẩm quyền phê duyệt điều chỉnh Quyết định đầu tư dự án.
              (**): Giao UBND tỉnh rà soát, giao chủ đầu tư theo đúng thẩm quyền và quy định của pháp luật.</t>
  </si>
  <si>
    <t>Ghi chú (*): Chuẩn xác sau khi cấp có thẩm quyền phê duyệt điều chỉnh Quyết định đầu tư dự án.
             (**): Giao UBND tỉnh rà soát, giao chủ đầu tư theo đúng thẩm quyền và quy định của pháp luật.</t>
  </si>
  <si>
    <t>Ghi chú (*): Chuẩn xác sau khi cấp có thẩm quyền phê duyệt điều chỉnh Quyết định đầu tư dự án.
               (**): Giao UBND tỉnh rà soát, giao chủ đầu tư theo đúng thẩm quyền và quy định của pháp luật.</t>
  </si>
  <si>
    <t>Ghi chú (*): Chuẩn xác sau khi cấp có thẩm quyền phê duyệt điều chỉnh Quyết định đầu tư dự án.
            (**): Giao UBND tỉnh rà soát, giao chủ đầu tư theo đúng thẩm quyền và quy định của pháp luật.</t>
  </si>
  <si>
    <t>ĐIỀU CHỈNH KẾ HOẠCH ĐẦU TƯ CÔNG TRUNG HẠN GIAI ĐOẠN 2021-2025 VÀ KẾ HOẠCH ĐẦU TƯ CÔNG NĂM 2025 NGUỒN VỐN NGÂN SÁCH CẤP HUYỆN (CHUYỂN VỀ CẤP TỈNH, CẤP XÃ)</t>
  </si>
  <si>
    <t>HTMT</t>
  </si>
  <si>
    <t>(Kèm theo Nghị quyết số 22/NQ-HĐND ngày 22 tháng 8 năm 2025 của Hội đồng nhân dân tỉnh)</t>
  </si>
  <si>
    <t>Phụ lục 1</t>
  </si>
  <si>
    <t>Kế hoạch trung hạn giai đoạn 2021-2025 sau điều chỉnh</t>
  </si>
  <si>
    <t>KHV năm 2025 sau điều chỉnh</t>
  </si>
  <si>
    <t>Điều chỉnh kế hoạch trung hạn giai đoạn 2021-2025 (Tăng/Giảm)</t>
  </si>
  <si>
    <t>Điều chỉnh KHV năm 2025 (Tăng/Giảm)</t>
  </si>
  <si>
    <t>KHV Năm 2025 
(đã giao Nghị quyết số 19/NQ-HĐND, ngày 03/10/2025 của Hội đồng nhân dân xã Đăk Tờ Kan )</t>
  </si>
  <si>
    <t>Kế hoạch trung hạn giai đoạn 2021-2025
 (đã giao tại Nghị quyết số 19/NQ-HĐND, ngày 03/10/2025 của Hội đồng nhân dân xã Đăk Tờ Kan)</t>
  </si>
  <si>
    <t>Điều chỉnh sang đối ứng CTMTQG GNBV</t>
  </si>
  <si>
    <t>(Kèm theo Nghị quyết số       /NQ-HĐND ngày 25 tháng 11  năm 2025 của Hội đồng nhân dân xã)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</si>
</sst>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_(* \(#,##0.00\);_(* &quot;-&quot;??_);_(@_)"/>
    <numFmt numFmtId="164" formatCode="_-* #,##0_-;\-* #,##0_-;_-* &quot;-&quot;_-;_-@_-"/>
    <numFmt numFmtId="165" formatCode="_-* #,##0.00_-;\-* #,##0.00_-;_-* &quot;-&quot;??_-;_-@_-"/>
    <numFmt numFmtId="166" formatCode="_-* #,##0_-;\-* #,##0_-;_-* &quot;-&quot;??_-;_-@_-"/>
    <numFmt numFmtId="167" formatCode="_(* #,##0_);_(* \(#,##0\);_(* &quot;-&quot;??_);_(@_)"/>
    <numFmt numFmtId="168" formatCode="_-* #,##0\ _₫_-;\-* #,##0\ _₫_-;_-* &quot;-&quot;??\ _₫_-;_-@_-"/>
    <numFmt numFmtId="169" formatCode="_(* #,##0.000_);_(* \(#,##0.000\);_(* &quot;-&quot;??_);_(@_)"/>
    <numFmt numFmtId="170" formatCode="_-* #,##0.00\ _₫_-;\-* #,##0.00\ _₫_-;_-* &quot;-&quot;??\ _₫_-;_-@_-"/>
    <numFmt numFmtId="171" formatCode="_(* #,##0.0_);_(* \(#,##0.0\);_(* &quot;-&quot;??_);_(@_)"/>
    <numFmt numFmtId="172" formatCode="_-* #,##0.00\ _V_N_D_-;\-* #,##0.00\ _V_N_D_-;_-* &quot;-&quot;??\ _V_N_D_-;_-@_-"/>
    <numFmt numFmtId="173" formatCode="#,##0.0"/>
    <numFmt numFmtId="174" formatCode="_ * #,##0.00_ ;_ * \-#,##0.00_ ;_ * &quot;-&quot;??_ ;_ @_ "/>
    <numFmt numFmtId="175" formatCode="_-* #,##0.000_-;\-* #,##0.000_-;_-* &quot;-&quot;??_-;_-@_-"/>
    <numFmt numFmtId="176" formatCode="_-* #,##0.0_-;\-* #,##0.0_-;_-* &quot;-&quot;??_-;_-@_-"/>
    <numFmt numFmtId="177" formatCode="_(* #,##0.000000_);_(* \(#,##0.000000\);_(* &quot;-&quot;??_);_(@_)"/>
    <numFmt numFmtId="178" formatCode="0_);\(0\)"/>
    <numFmt numFmtId="179" formatCode="#,##0.000"/>
    <numFmt numFmtId="180" formatCode="_-* #,##0.000_-;\-* #,##0.000_-;_-* &quot;-&quot;_-;_-@_-"/>
  </numFmts>
  <fonts count="73">
    <font>
      <sz val="11"/>
      <color theme="1"/>
      <name val="Calibri"/>
      <family val="2"/>
      <scheme val="minor"/>
    </font>
    <font>
      <sz val="11"/>
      <color theme="1"/>
      <name val="Calibri"/>
      <family val="2"/>
      <charset val="163"/>
      <scheme val="minor"/>
    </font>
    <font>
      <sz val="11"/>
      <color theme="1"/>
      <name val="Calibri"/>
      <family val="2"/>
      <scheme val="minor"/>
    </font>
    <font>
      <sz val="13"/>
      <name val="Times New Roman"/>
      <family val="1"/>
    </font>
    <font>
      <b/>
      <sz val="12"/>
      <name val="Times New Roman"/>
      <family val="1"/>
    </font>
    <font>
      <i/>
      <sz val="14"/>
      <name val="Times New Roman"/>
      <family val="1"/>
    </font>
    <font>
      <sz val="12"/>
      <name val="Times New Roman"/>
      <family val="1"/>
    </font>
    <font>
      <sz val="10"/>
      <name val="Times New Roman"/>
      <family val="1"/>
    </font>
    <font>
      <b/>
      <sz val="14"/>
      <name val="Times New Roman"/>
      <family val="1"/>
    </font>
    <font>
      <b/>
      <sz val="11"/>
      <name val="Times New Roman"/>
      <family val="1"/>
    </font>
    <font>
      <b/>
      <sz val="14"/>
      <color theme="1"/>
      <name val="Times New Roman"/>
      <family val="1"/>
    </font>
    <font>
      <sz val="14"/>
      <color theme="1"/>
      <name val="Times New Roman"/>
      <family val="1"/>
    </font>
    <font>
      <i/>
      <sz val="14"/>
      <color theme="1"/>
      <name val="Times New Roman"/>
      <family val="1"/>
    </font>
    <font>
      <sz val="14"/>
      <name val="Times New Roman"/>
      <family val="1"/>
    </font>
    <font>
      <sz val="11"/>
      <name val="Times New Roman"/>
      <family val="1"/>
    </font>
    <font>
      <b/>
      <sz val="10"/>
      <name val="Times New Roman"/>
      <family val="1"/>
    </font>
    <font>
      <sz val="9"/>
      <color indexed="81"/>
      <name val="Tahoma"/>
      <family val="2"/>
    </font>
    <font>
      <b/>
      <sz val="9"/>
      <color indexed="81"/>
      <name val="Tahoma"/>
      <family val="2"/>
    </font>
    <font>
      <sz val="11"/>
      <color theme="1"/>
      <name val="Calibri"/>
      <family val="2"/>
      <charset val="163"/>
      <scheme val="minor"/>
    </font>
    <font>
      <b/>
      <sz val="12"/>
      <color theme="1"/>
      <name val="Times New Roman"/>
      <family val="1"/>
    </font>
    <font>
      <sz val="12"/>
      <color theme="1"/>
      <name val="Times New Roman"/>
      <family val="1"/>
    </font>
    <font>
      <i/>
      <sz val="12"/>
      <color theme="1"/>
      <name val="Times New Roman"/>
      <family val="1"/>
    </font>
    <font>
      <b/>
      <i/>
      <sz val="12"/>
      <color theme="1"/>
      <name val="Times New Roman"/>
      <family val="1"/>
    </font>
    <font>
      <sz val="11"/>
      <color indexed="64"/>
      <name val="Calibri"/>
      <family val="2"/>
      <scheme val="minor"/>
    </font>
    <font>
      <sz val="10"/>
      <name val="Arial"/>
      <family val="2"/>
    </font>
    <font>
      <b/>
      <i/>
      <sz val="12"/>
      <name val="Times New Roman"/>
      <family val="1"/>
    </font>
    <font>
      <sz val="12"/>
      <name val="VNtimes new roman"/>
      <family val="2"/>
    </font>
    <font>
      <sz val="14"/>
      <name val=".VnTime"/>
      <family val="2"/>
    </font>
    <font>
      <sz val="10"/>
      <color rgb="FFFF0000"/>
      <name val="Times New Roman"/>
      <family val="1"/>
    </font>
    <font>
      <b/>
      <sz val="13"/>
      <name val="Times New Roman"/>
      <family val="1"/>
    </font>
    <font>
      <i/>
      <sz val="12"/>
      <name val="Times New Roman"/>
      <family val="1"/>
    </font>
    <font>
      <sz val="13"/>
      <color theme="1"/>
      <name val="Calibri"/>
      <family val="2"/>
      <scheme val="minor"/>
    </font>
    <font>
      <sz val="10"/>
      <color theme="1"/>
      <name val="Arial Narrow"/>
      <family val="2"/>
    </font>
    <font>
      <i/>
      <sz val="10"/>
      <name val="Times New Roman"/>
      <family val="1"/>
    </font>
    <font>
      <sz val="11"/>
      <name val="Calibri"/>
      <family val="2"/>
      <charset val="163"/>
      <scheme val="minor"/>
    </font>
    <font>
      <sz val="11"/>
      <color rgb="FF7030A0"/>
      <name val="Calibri"/>
      <family val="2"/>
      <charset val="163"/>
      <scheme val="minor"/>
    </font>
    <font>
      <i/>
      <sz val="11"/>
      <name val="Calibri"/>
      <family val="2"/>
      <charset val="163"/>
      <scheme val="minor"/>
    </font>
    <font>
      <sz val="10"/>
      <color theme="3"/>
      <name val="Times New Roman"/>
      <family val="1"/>
    </font>
    <font>
      <sz val="11"/>
      <color theme="3"/>
      <name val="Calibri"/>
      <family val="2"/>
      <charset val="163"/>
      <scheme val="minor"/>
    </font>
    <font>
      <sz val="10"/>
      <color theme="4"/>
      <name val="Times New Roman"/>
      <family val="1"/>
    </font>
    <font>
      <sz val="11"/>
      <color rgb="FFFF0000"/>
      <name val="Calibri"/>
      <family val="2"/>
      <charset val="163"/>
      <scheme val="minor"/>
    </font>
    <font>
      <sz val="10"/>
      <color theme="5" tint="-0.249977111117893"/>
      <name val="Times New Roman"/>
      <family val="1"/>
    </font>
    <font>
      <b/>
      <i/>
      <sz val="13"/>
      <name val="Times New Roman"/>
      <family val="1"/>
    </font>
    <font>
      <b/>
      <sz val="12"/>
      <name val="Times New Roman"/>
      <family val="1"/>
      <charset val="163"/>
    </font>
    <font>
      <b/>
      <i/>
      <sz val="12"/>
      <name val="Times New Roman"/>
      <family val="1"/>
      <charset val="163"/>
    </font>
    <font>
      <sz val="12"/>
      <name val="Times New Roman"/>
      <family val="1"/>
      <charset val="163"/>
    </font>
    <font>
      <sz val="12"/>
      <name val="Arial Narrow"/>
      <family val="2"/>
    </font>
    <font>
      <sz val="11"/>
      <color rgb="FF00B050"/>
      <name val="Calibri"/>
      <family val="2"/>
      <scheme val="minor"/>
    </font>
    <font>
      <sz val="14"/>
      <color theme="1"/>
      <name val="Times New Roman"/>
      <family val="2"/>
    </font>
    <font>
      <sz val="11"/>
      <color indexed="8"/>
      <name val="Calibri"/>
      <family val="2"/>
    </font>
    <font>
      <sz val="11"/>
      <name val="Calibri"/>
      <family val="2"/>
      <scheme val="minor"/>
    </font>
    <font>
      <sz val="15"/>
      <name val="Times New Roman"/>
      <family val="1"/>
    </font>
    <font>
      <sz val="10"/>
      <name val="VNI-Times"/>
    </font>
    <font>
      <sz val="11"/>
      <color indexed="8"/>
      <name val="Calibri"/>
      <family val="2"/>
      <charset val="163"/>
    </font>
    <font>
      <sz val="13"/>
      <color indexed="8"/>
      <name val="Times New Roman"/>
      <family val="1"/>
    </font>
    <font>
      <sz val="10"/>
      <color rgb="FF000000"/>
      <name val="Arial"/>
      <family val="2"/>
    </font>
    <font>
      <sz val="10"/>
      <color rgb="FF000000"/>
      <name val="Arial"/>
      <family val="2"/>
      <charset val="163"/>
    </font>
    <font>
      <sz val="14"/>
      <color indexed="81"/>
      <name val="Times New Roman"/>
      <family val="1"/>
    </font>
    <font>
      <sz val="8"/>
      <name val="Times New Roman"/>
      <family val="1"/>
    </font>
    <font>
      <i/>
      <sz val="11"/>
      <name val="Times New Roman"/>
      <family val="1"/>
    </font>
    <font>
      <sz val="10"/>
      <name val="MS Sans Serif"/>
      <family val="2"/>
    </font>
    <font>
      <sz val="12"/>
      <name val="Arial"/>
      <family val="2"/>
    </font>
    <font>
      <b/>
      <sz val="11"/>
      <name val="Calibri Light"/>
      <family val="1"/>
      <scheme val="major"/>
    </font>
    <font>
      <sz val="11"/>
      <name val="Calibri Light"/>
      <family val="1"/>
      <scheme val="major"/>
    </font>
    <font>
      <b/>
      <sz val="11"/>
      <color theme="1"/>
      <name val="Calibri"/>
      <family val="2"/>
      <charset val="163"/>
      <scheme val="minor"/>
    </font>
    <font>
      <b/>
      <sz val="11"/>
      <name val="Times New Roman"/>
      <family val="1"/>
      <charset val="163"/>
    </font>
    <font>
      <b/>
      <sz val="10"/>
      <name val="Times New Roman"/>
      <family val="1"/>
      <charset val="163"/>
    </font>
    <font>
      <b/>
      <sz val="14"/>
      <name val="Times New Roman"/>
      <family val="1"/>
      <charset val="163"/>
    </font>
    <font>
      <b/>
      <sz val="13"/>
      <name val="Times New Roman"/>
      <family val="1"/>
      <charset val="163"/>
    </font>
    <font>
      <b/>
      <sz val="11"/>
      <name val="Calibri"/>
      <family val="2"/>
      <charset val="163"/>
      <scheme val="minor"/>
    </font>
    <font>
      <vertAlign val="subscript"/>
      <sz val="12"/>
      <name val="Times New Roman"/>
      <family val="1"/>
    </font>
    <font>
      <b/>
      <sz val="8"/>
      <name val="Times New Roman"/>
      <family val="1"/>
    </font>
    <font>
      <sz val="12"/>
      <name val="Calibri"/>
      <family val="2"/>
      <charset val="163"/>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rgb="FFFFCC99"/>
        <bgColor indexed="64"/>
      </patternFill>
    </fill>
    <fill>
      <patternFill patternType="solid">
        <fgColor rgb="FFCCECFF"/>
        <bgColor indexed="64"/>
      </patternFill>
    </fill>
  </fills>
  <borders count="25">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bottom style="hair">
        <color indexed="64"/>
      </bottom>
      <diagonal/>
    </border>
    <border>
      <left/>
      <right style="thin">
        <color indexed="64"/>
      </right>
      <top/>
      <bottom style="thin">
        <color indexed="64"/>
      </bottom>
      <diagonal/>
    </border>
    <border>
      <left style="thin">
        <color indexed="64"/>
      </left>
      <right/>
      <top/>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right style="thin">
        <color indexed="8"/>
      </right>
      <top style="thin">
        <color indexed="8"/>
      </top>
      <bottom style="thin">
        <color indexed="8"/>
      </bottom>
      <diagonal/>
    </border>
    <border>
      <left/>
      <right style="thin">
        <color indexed="64"/>
      </right>
      <top style="hair">
        <color indexed="64"/>
      </top>
      <bottom style="hair">
        <color indexed="64"/>
      </bottom>
      <diagonal/>
    </border>
    <border>
      <left style="thin">
        <color indexed="8"/>
      </left>
      <right style="thin">
        <color indexed="8"/>
      </right>
      <top/>
      <bottom/>
      <diagonal/>
    </border>
    <border>
      <left style="thin">
        <color indexed="8"/>
      </left>
      <right/>
      <top/>
      <bottom/>
      <diagonal/>
    </border>
  </borders>
  <cellStyleXfs count="43">
    <xf numFmtId="0" fontId="0" fillId="0" borderId="0"/>
    <xf numFmtId="165" fontId="2" fillId="0" borderId="0" applyFont="0" applyFill="0" applyBorder="0" applyAlignment="0" applyProtection="0"/>
    <xf numFmtId="0" fontId="2" fillId="0" borderId="0"/>
    <xf numFmtId="0" fontId="2" fillId="0" borderId="0"/>
    <xf numFmtId="0" fontId="18" fillId="0" borderId="0"/>
    <xf numFmtId="170" fontId="18" fillId="0" borderId="0" applyFont="0" applyFill="0" applyBorder="0" applyAlignment="0" applyProtection="0"/>
    <xf numFmtId="0" fontId="23" fillId="0" borderId="0"/>
    <xf numFmtId="0" fontId="24" fillId="0" borderId="0"/>
    <xf numFmtId="43" fontId="18" fillId="0" borderId="0" applyFont="0" applyFill="0" applyBorder="0" applyAlignment="0" applyProtection="0"/>
    <xf numFmtId="0" fontId="26" fillId="0" borderId="0"/>
    <xf numFmtId="0" fontId="27" fillId="0" borderId="0"/>
    <xf numFmtId="0" fontId="24" fillId="0" borderId="0"/>
    <xf numFmtId="0" fontId="24" fillId="0" borderId="0"/>
    <xf numFmtId="0" fontId="24" fillId="0" borderId="0"/>
    <xf numFmtId="0" fontId="18" fillId="0" borderId="0"/>
    <xf numFmtId="0" fontId="2" fillId="0" borderId="0"/>
    <xf numFmtId="0" fontId="6" fillId="0" borderId="0"/>
    <xf numFmtId="0" fontId="2" fillId="0" borderId="0"/>
    <xf numFmtId="43" fontId="2" fillId="0" borderId="0" applyFont="0" applyFill="0" applyBorder="0" applyAlignment="0" applyProtection="0"/>
    <xf numFmtId="172" fontId="24" fillId="0" borderId="0" applyFont="0" applyFill="0" applyBorder="0" applyAlignment="0" applyProtection="0"/>
    <xf numFmtId="0" fontId="31" fillId="0" borderId="0"/>
    <xf numFmtId="0" fontId="32" fillId="0" borderId="0"/>
    <xf numFmtId="164" fontId="2" fillId="0" borderId="0" applyFont="0" applyFill="0" applyBorder="0" applyAlignment="0" applyProtection="0"/>
    <xf numFmtId="43" fontId="4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9" fillId="0" borderId="0" applyFont="0" applyFill="0" applyBorder="0" applyAlignment="0" applyProtection="0"/>
    <xf numFmtId="0" fontId="49" fillId="0" borderId="0"/>
    <xf numFmtId="172" fontId="52" fillId="0" borderId="0" applyFont="0" applyFill="0" applyBorder="0" applyAlignment="0" applyProtection="0"/>
    <xf numFmtId="174" fontId="53" fillId="0" borderId="0" applyFont="0" applyFill="0" applyBorder="0" applyAlignment="0" applyProtection="0"/>
    <xf numFmtId="165" fontId="18" fillId="0" borderId="0" applyFont="0" applyFill="0" applyBorder="0" applyAlignment="0" applyProtection="0"/>
    <xf numFmtId="0" fontId="54" fillId="0" borderId="0" applyFill="0" applyProtection="0"/>
    <xf numFmtId="170" fontId="55" fillId="0" borderId="0" applyFont="0" applyFill="0" applyBorder="0" applyAlignment="0" applyProtection="0"/>
    <xf numFmtId="43" fontId="24" fillId="0" borderId="0" applyFont="0" applyFill="0" applyBorder="0" applyAlignment="0" applyProtection="0"/>
    <xf numFmtId="0" fontId="56" fillId="0" borderId="0"/>
    <xf numFmtId="0" fontId="56" fillId="0" borderId="0"/>
    <xf numFmtId="43" fontId="18" fillId="0" borderId="0" applyFont="0" applyFill="0" applyBorder="0" applyAlignment="0" applyProtection="0"/>
    <xf numFmtId="0" fontId="24" fillId="0" borderId="0"/>
    <xf numFmtId="43" fontId="49" fillId="0" borderId="0" applyFont="0" applyFill="0" applyBorder="0" applyAlignment="0" applyProtection="0"/>
    <xf numFmtId="0" fontId="60" fillId="0" borderId="0"/>
    <xf numFmtId="0" fontId="24" fillId="0" borderId="0"/>
    <xf numFmtId="43" fontId="3" fillId="0" borderId="0" applyFont="0" applyFill="0" applyBorder="0" applyAlignment="0" applyProtection="0"/>
    <xf numFmtId="0" fontId="61" fillId="0" borderId="0" applyNumberFormat="0" applyFont="0" applyFill="0" applyAlignment="0"/>
  </cellStyleXfs>
  <cellXfs count="924">
    <xf numFmtId="0" fontId="0" fillId="0" borderId="0" xfId="0"/>
    <xf numFmtId="0" fontId="13" fillId="0" borderId="0" xfId="0" applyFont="1" applyAlignment="1">
      <alignment vertical="center" wrapText="1"/>
    </xf>
    <xf numFmtId="0" fontId="13" fillId="0" borderId="0" xfId="0" applyFont="1" applyAlignment="1">
      <alignment horizontal="center" vertical="center" wrapText="1"/>
    </xf>
    <xf numFmtId="167" fontId="13" fillId="0" borderId="0" xfId="18" applyNumberFormat="1" applyFont="1" applyAlignment="1">
      <alignment vertical="center" wrapText="1"/>
    </xf>
    <xf numFmtId="169" fontId="13" fillId="0" borderId="0" xfId="18" applyNumberFormat="1" applyFont="1" applyAlignment="1">
      <alignment vertical="center" wrapText="1"/>
    </xf>
    <xf numFmtId="171" fontId="13" fillId="0" borderId="0" xfId="18" applyNumberFormat="1" applyFont="1" applyAlignment="1">
      <alignment vertical="center" wrapText="1"/>
    </xf>
    <xf numFmtId="171" fontId="6" fillId="0" borderId="3" xfId="18" applyNumberFormat="1" applyFont="1" applyFill="1" applyBorder="1" applyAlignment="1">
      <alignment horizontal="center" vertical="center" wrapText="1"/>
    </xf>
    <xf numFmtId="167" fontId="6" fillId="0" borderId="3" xfId="18" applyNumberFormat="1" applyFont="1" applyFill="1" applyBorder="1" applyAlignment="1">
      <alignment vertical="center" wrapText="1"/>
    </xf>
    <xf numFmtId="167" fontId="4" fillId="0" borderId="3" xfId="18" quotePrefix="1" applyNumberFormat="1" applyFont="1" applyFill="1" applyBorder="1" applyAlignment="1">
      <alignment horizontal="center" vertical="center" wrapText="1"/>
    </xf>
    <xf numFmtId="167" fontId="6" fillId="0" borderId="3" xfId="18" applyNumberFormat="1" applyFont="1" applyFill="1" applyBorder="1" applyAlignment="1">
      <alignment horizontal="center" vertical="center" wrapText="1"/>
    </xf>
    <xf numFmtId="167" fontId="6" fillId="0" borderId="3" xfId="18" quotePrefix="1" applyNumberFormat="1" applyFont="1" applyFill="1" applyBorder="1" applyAlignment="1">
      <alignment horizontal="center" vertical="center" wrapText="1"/>
    </xf>
    <xf numFmtId="171" fontId="6" fillId="0" borderId="3" xfId="18" quotePrefix="1" applyNumberFormat="1" applyFont="1" applyFill="1" applyBorder="1" applyAlignment="1">
      <alignment horizontal="center" vertical="center" wrapText="1"/>
    </xf>
    <xf numFmtId="171" fontId="4" fillId="0" borderId="3" xfId="18" applyNumberFormat="1" applyFont="1" applyFill="1" applyBorder="1" applyAlignment="1">
      <alignment horizontal="center" vertical="center" wrapText="1"/>
    </xf>
    <xf numFmtId="167" fontId="4" fillId="0" borderId="3" xfId="18" applyNumberFormat="1" applyFont="1" applyFill="1" applyBorder="1" applyAlignment="1">
      <alignment vertical="center" wrapText="1"/>
    </xf>
    <xf numFmtId="171" fontId="4" fillId="0" borderId="3" xfId="18" applyNumberFormat="1" applyFont="1" applyFill="1" applyBorder="1" applyAlignment="1">
      <alignment vertical="center" wrapText="1"/>
    </xf>
    <xf numFmtId="167" fontId="25" fillId="0" borderId="3" xfId="18" applyNumberFormat="1" applyFont="1" applyFill="1" applyBorder="1" applyAlignment="1">
      <alignment vertical="center" wrapText="1"/>
    </xf>
    <xf numFmtId="171" fontId="25" fillId="0" borderId="3" xfId="18" applyNumberFormat="1" applyFont="1" applyFill="1" applyBorder="1" applyAlignment="1">
      <alignment vertical="center" wrapText="1"/>
    </xf>
    <xf numFmtId="171" fontId="6" fillId="0" borderId="3" xfId="18" applyNumberFormat="1" applyFont="1" applyFill="1" applyBorder="1" applyAlignment="1">
      <alignment vertical="center" wrapText="1"/>
    </xf>
    <xf numFmtId="167" fontId="13" fillId="0" borderId="0" xfId="18" applyNumberFormat="1" applyFont="1" applyFill="1" applyAlignment="1">
      <alignment vertical="center" wrapText="1"/>
    </xf>
    <xf numFmtId="0" fontId="7" fillId="3" borderId="0" xfId="0" applyFont="1" applyFill="1" applyAlignment="1">
      <alignment horizontal="center" vertical="center"/>
    </xf>
    <xf numFmtId="0" fontId="7" fillId="3" borderId="0" xfId="0" applyFont="1" applyFill="1" applyAlignment="1">
      <alignment vertical="center"/>
    </xf>
    <xf numFmtId="0" fontId="7" fillId="3" borderId="0" xfId="0" applyFont="1" applyFill="1" applyAlignment="1">
      <alignment vertical="center" wrapText="1"/>
    </xf>
    <xf numFmtId="0" fontId="11" fillId="0" borderId="0" xfId="0" applyFont="1"/>
    <xf numFmtId="0" fontId="12" fillId="0" borderId="0" xfId="0" applyFont="1"/>
    <xf numFmtId="0" fontId="33" fillId="3" borderId="0" xfId="0" applyFont="1" applyFill="1" applyAlignment="1">
      <alignment horizontal="center" vertical="center"/>
    </xf>
    <xf numFmtId="0" fontId="15" fillId="3" borderId="0" xfId="0" applyFont="1" applyFill="1" applyAlignment="1">
      <alignment horizontal="center" vertical="center"/>
    </xf>
    <xf numFmtId="0" fontId="0" fillId="0" borderId="0" xfId="0" applyAlignment="1">
      <alignment vertical="center"/>
    </xf>
    <xf numFmtId="0" fontId="34" fillId="0" borderId="0" xfId="0" applyFont="1" applyAlignment="1">
      <alignment vertical="center"/>
    </xf>
    <xf numFmtId="0" fontId="34" fillId="0" borderId="0" xfId="0" applyFont="1"/>
    <xf numFmtId="0" fontId="22" fillId="0" borderId="0" xfId="0" applyFont="1" applyAlignment="1">
      <alignment vertical="center"/>
    </xf>
    <xf numFmtId="0" fontId="15" fillId="3" borderId="0" xfId="0" applyFont="1" applyFill="1" applyAlignment="1">
      <alignment horizontal="center" vertical="center" wrapText="1"/>
    </xf>
    <xf numFmtId="0" fontId="34" fillId="5" borderId="0" xfId="0" applyFont="1" applyFill="1" applyAlignment="1">
      <alignment horizontal="center" vertical="center" wrapText="1"/>
    </xf>
    <xf numFmtId="0" fontId="15" fillId="3" borderId="3" xfId="0" applyFont="1" applyFill="1" applyBorder="1" applyAlignment="1">
      <alignment horizontal="center" vertical="center" wrapText="1"/>
    </xf>
    <xf numFmtId="3" fontId="15" fillId="3" borderId="3" xfId="0" applyNumberFormat="1" applyFont="1" applyFill="1" applyBorder="1" applyAlignment="1">
      <alignment horizontal="center" vertical="center" wrapText="1"/>
    </xf>
    <xf numFmtId="3" fontId="15" fillId="3" borderId="0" xfId="0" applyNumberFormat="1" applyFont="1" applyFill="1" applyAlignment="1">
      <alignment horizontal="center" vertical="center" wrapText="1"/>
    </xf>
    <xf numFmtId="3" fontId="7" fillId="3" borderId="3" xfId="0" applyNumberFormat="1" applyFont="1" applyFill="1" applyBorder="1" applyAlignment="1">
      <alignment horizontal="center" vertical="center" wrapText="1"/>
    </xf>
    <xf numFmtId="3" fontId="7" fillId="3" borderId="0" xfId="0" applyNumberFormat="1" applyFont="1" applyFill="1" applyAlignment="1">
      <alignment horizontal="center" vertical="center" wrapText="1"/>
    </xf>
    <xf numFmtId="3" fontId="15" fillId="6" borderId="3" xfId="0" applyNumberFormat="1" applyFont="1" applyFill="1" applyBorder="1" applyAlignment="1">
      <alignment horizontal="center" vertical="center" wrapText="1"/>
    </xf>
    <xf numFmtId="3" fontId="15" fillId="6" borderId="0" xfId="0" applyNumberFormat="1" applyFont="1" applyFill="1" applyAlignment="1">
      <alignment horizontal="center" vertical="center" wrapText="1"/>
    </xf>
    <xf numFmtId="3" fontId="28" fillId="3" borderId="3" xfId="0" applyNumberFormat="1" applyFont="1" applyFill="1" applyBorder="1" applyAlignment="1">
      <alignment horizontal="center" vertical="center" wrapText="1"/>
    </xf>
    <xf numFmtId="3" fontId="28" fillId="3" borderId="0" xfId="0" applyNumberFormat="1" applyFont="1" applyFill="1" applyAlignment="1">
      <alignment horizontal="center" vertical="center" wrapText="1"/>
    </xf>
    <xf numFmtId="3" fontId="7" fillId="2" borderId="3" xfId="0" applyNumberFormat="1" applyFont="1" applyFill="1" applyBorder="1" applyAlignment="1">
      <alignment horizontal="center" vertical="center" wrapText="1"/>
    </xf>
    <xf numFmtId="3" fontId="7" fillId="0" borderId="3" xfId="0" applyNumberFormat="1" applyFont="1" applyBorder="1" applyAlignment="1">
      <alignment horizontal="center" vertical="center" wrapText="1"/>
    </xf>
    <xf numFmtId="3" fontId="7" fillId="0" borderId="0" xfId="0" applyNumberFormat="1" applyFont="1" applyAlignment="1">
      <alignment horizontal="center" vertical="center" wrapText="1"/>
    </xf>
    <xf numFmtId="0" fontId="34" fillId="0" borderId="0" xfId="0" applyFont="1" applyAlignment="1">
      <alignment horizontal="center" vertical="center" wrapText="1"/>
    </xf>
    <xf numFmtId="3" fontId="37" fillId="3" borderId="3" xfId="0" applyNumberFormat="1" applyFont="1" applyFill="1" applyBorder="1" applyAlignment="1">
      <alignment horizontal="center" vertical="center" wrapText="1"/>
    </xf>
    <xf numFmtId="3" fontId="37" fillId="3" borderId="0" xfId="0" applyNumberFormat="1" applyFont="1" applyFill="1" applyAlignment="1">
      <alignment horizontal="center" vertical="center" wrapText="1"/>
    </xf>
    <xf numFmtId="0" fontId="38" fillId="5" borderId="0" xfId="0" applyFont="1" applyFill="1" applyAlignment="1">
      <alignment horizontal="center" vertical="center" wrapText="1"/>
    </xf>
    <xf numFmtId="0" fontId="38" fillId="0" borderId="0" xfId="0" applyFont="1"/>
    <xf numFmtId="3" fontId="28" fillId="2" borderId="0" xfId="0" applyNumberFormat="1" applyFont="1" applyFill="1" applyAlignment="1">
      <alignment horizontal="center" vertical="center" wrapText="1"/>
    </xf>
    <xf numFmtId="0" fontId="0" fillId="3" borderId="0" xfId="0" applyFill="1" applyAlignment="1">
      <alignment horizontal="center" vertical="center"/>
    </xf>
    <xf numFmtId="0" fontId="35" fillId="5" borderId="3" xfId="0" applyFont="1" applyFill="1" applyBorder="1" applyAlignment="1">
      <alignment horizontal="center" vertical="center" wrapText="1"/>
    </xf>
    <xf numFmtId="0" fontId="35" fillId="5" borderId="3" xfId="0" applyFont="1" applyFill="1" applyBorder="1"/>
    <xf numFmtId="3" fontId="39" fillId="3" borderId="3" xfId="0" applyNumberFormat="1" applyFont="1" applyFill="1" applyBorder="1" applyAlignment="1">
      <alignment horizontal="center" vertical="center" wrapText="1"/>
    </xf>
    <xf numFmtId="3" fontId="39" fillId="3" borderId="0" xfId="0" applyNumberFormat="1" applyFont="1" applyFill="1" applyAlignment="1">
      <alignment horizontal="center" vertical="center" wrapText="1"/>
    </xf>
    <xf numFmtId="0" fontId="34" fillId="5" borderId="3" xfId="0" applyFont="1" applyFill="1" applyBorder="1" applyAlignment="1">
      <alignment horizontal="center" vertical="center" wrapText="1"/>
    </xf>
    <xf numFmtId="0" fontId="0" fillId="5" borderId="3" xfId="0" applyFill="1" applyBorder="1"/>
    <xf numFmtId="0" fontId="40" fillId="5" borderId="3" xfId="0" applyFont="1" applyFill="1" applyBorder="1" applyAlignment="1">
      <alignment horizontal="center" vertical="center" wrapText="1"/>
    </xf>
    <xf numFmtId="0" fontId="40" fillId="5" borderId="3" xfId="0" applyFont="1" applyFill="1" applyBorder="1" applyAlignment="1">
      <alignment vertical="center"/>
    </xf>
    <xf numFmtId="3" fontId="41" fillId="3" borderId="3" xfId="0" applyNumberFormat="1" applyFont="1" applyFill="1" applyBorder="1" applyAlignment="1">
      <alignment horizontal="center" vertical="center" wrapText="1"/>
    </xf>
    <xf numFmtId="3" fontId="41" fillId="3" borderId="0" xfId="0" applyNumberFormat="1" applyFont="1" applyFill="1" applyAlignment="1">
      <alignment horizontal="center" vertical="center" wrapText="1"/>
    </xf>
    <xf numFmtId="0" fontId="34" fillId="0" borderId="3" xfId="0" applyFont="1" applyBorder="1" applyAlignment="1">
      <alignment horizontal="center" vertical="center" wrapText="1"/>
    </xf>
    <xf numFmtId="0" fontId="0" fillId="0" borderId="3" xfId="0" applyBorder="1"/>
    <xf numFmtId="0" fontId="40" fillId="3" borderId="0" xfId="0" applyFont="1" applyFill="1" applyAlignment="1">
      <alignment horizontal="center" vertical="center"/>
    </xf>
    <xf numFmtId="0" fontId="40" fillId="5" borderId="3" xfId="0" applyFont="1" applyFill="1" applyBorder="1"/>
    <xf numFmtId="43" fontId="19" fillId="0" borderId="0" xfId="0" applyNumberFormat="1" applyFont="1" applyAlignment="1">
      <alignment vertical="top"/>
    </xf>
    <xf numFmtId="0" fontId="0" fillId="0" borderId="0" xfId="0" applyAlignment="1">
      <alignment wrapText="1"/>
    </xf>
    <xf numFmtId="167" fontId="4" fillId="0" borderId="7" xfId="18" applyNumberFormat="1" applyFont="1" applyFill="1" applyBorder="1" applyAlignment="1">
      <alignment horizontal="center" vertical="center" wrapText="1"/>
    </xf>
    <xf numFmtId="167" fontId="6" fillId="0" borderId="7" xfId="18" applyNumberFormat="1" applyFont="1" applyFill="1" applyBorder="1" applyAlignment="1">
      <alignment vertical="center" wrapText="1"/>
    </xf>
    <xf numFmtId="167" fontId="4" fillId="0" borderId="7" xfId="18" quotePrefix="1" applyNumberFormat="1" applyFont="1" applyFill="1" applyBorder="1" applyAlignment="1">
      <alignment horizontal="center" vertical="center" wrapText="1"/>
    </xf>
    <xf numFmtId="167" fontId="6" fillId="0" borderId="7" xfId="18" applyNumberFormat="1" applyFont="1" applyFill="1" applyBorder="1" applyAlignment="1">
      <alignment horizontal="center" vertical="center" wrapText="1"/>
    </xf>
    <xf numFmtId="167" fontId="6" fillId="0" borderId="7" xfId="18" quotePrefix="1" applyNumberFormat="1" applyFont="1" applyFill="1" applyBorder="1" applyAlignment="1">
      <alignment horizontal="center" vertical="center" wrapText="1"/>
    </xf>
    <xf numFmtId="167" fontId="4" fillId="0" borderId="7" xfId="18" applyNumberFormat="1" applyFont="1" applyFill="1" applyBorder="1" applyAlignment="1">
      <alignment vertical="center" wrapText="1"/>
    </xf>
    <xf numFmtId="167" fontId="6" fillId="0" borderId="7" xfId="18" applyNumberFormat="1" applyFont="1" applyFill="1" applyBorder="1" applyAlignment="1">
      <alignment horizontal="left" vertical="center" wrapText="1"/>
    </xf>
    <xf numFmtId="167" fontId="25" fillId="0" borderId="7" xfId="18" applyNumberFormat="1" applyFont="1" applyFill="1" applyBorder="1" applyAlignment="1">
      <alignment vertical="center" wrapText="1"/>
    </xf>
    <xf numFmtId="167" fontId="29" fillId="0" borderId="3" xfId="18" applyNumberFormat="1" applyFont="1" applyFill="1" applyBorder="1" applyAlignment="1">
      <alignment horizontal="center" vertical="center" wrapText="1"/>
    </xf>
    <xf numFmtId="0" fontId="40" fillId="0" borderId="0" xfId="0" applyFont="1" applyAlignment="1">
      <alignment vertical="center"/>
    </xf>
    <xf numFmtId="0" fontId="18" fillId="0" borderId="0" xfId="0" applyFont="1" applyAlignment="1">
      <alignment vertical="center"/>
    </xf>
    <xf numFmtId="0" fontId="13" fillId="3" borderId="0" xfId="0" applyFont="1" applyFill="1"/>
    <xf numFmtId="0" fontId="0" fillId="5" borderId="3" xfId="0" applyFill="1" applyBorder="1" applyAlignment="1">
      <alignment vertical="center"/>
    </xf>
    <xf numFmtId="0" fontId="40" fillId="3" borderId="18" xfId="0" applyFont="1" applyFill="1" applyBorder="1" applyAlignment="1">
      <alignment vertical="center"/>
    </xf>
    <xf numFmtId="0" fontId="8" fillId="3" borderId="0" xfId="0" applyFont="1" applyFill="1" applyAlignment="1">
      <alignment horizontal="center" vertical="center"/>
    </xf>
    <xf numFmtId="0" fontId="0" fillId="3" borderId="0" xfId="0" applyFill="1" applyAlignment="1">
      <alignment vertical="center"/>
    </xf>
    <xf numFmtId="167" fontId="29" fillId="0" borderId="0" xfId="18" applyNumberFormat="1" applyFont="1" applyFill="1" applyBorder="1" applyAlignment="1">
      <alignment horizontal="center" vertical="center" wrapText="1"/>
    </xf>
    <xf numFmtId="167" fontId="45" fillId="0" borderId="7" xfId="18" quotePrefix="1" applyNumberFormat="1" applyFont="1" applyFill="1" applyBorder="1" applyAlignment="1">
      <alignment horizontal="right" vertical="center" wrapText="1"/>
    </xf>
    <xf numFmtId="167" fontId="45" fillId="0" borderId="7" xfId="18" applyNumberFormat="1" applyFont="1" applyFill="1" applyBorder="1" applyAlignment="1">
      <alignment horizontal="center" vertical="center" wrapText="1"/>
    </xf>
    <xf numFmtId="0" fontId="47" fillId="0" borderId="0" xfId="0" applyFont="1" applyAlignment="1">
      <alignment vertical="center"/>
    </xf>
    <xf numFmtId="164" fontId="6" fillId="0" borderId="7" xfId="22" applyFont="1" applyFill="1" applyBorder="1" applyAlignment="1">
      <alignment horizontal="center" vertical="center"/>
    </xf>
    <xf numFmtId="164" fontId="6" fillId="0" borderId="7" xfId="22" applyFont="1" applyFill="1" applyBorder="1" applyAlignment="1">
      <alignment horizontal="center" vertical="center" wrapText="1"/>
    </xf>
    <xf numFmtId="167" fontId="6" fillId="0" borderId="7" xfId="18" applyNumberFormat="1" applyFont="1" applyFill="1" applyBorder="1" applyAlignment="1">
      <alignment horizontal="center" wrapText="1"/>
    </xf>
    <xf numFmtId="0" fontId="50" fillId="0" borderId="0" xfId="0" applyFont="1"/>
    <xf numFmtId="169" fontId="13" fillId="0" borderId="0" xfId="18" applyNumberFormat="1" applyFont="1" applyFill="1" applyAlignment="1">
      <alignment vertical="center" wrapText="1"/>
    </xf>
    <xf numFmtId="171" fontId="13" fillId="0" borderId="0" xfId="18" applyNumberFormat="1" applyFont="1" applyFill="1" applyAlignment="1">
      <alignment vertical="center" wrapText="1"/>
    </xf>
    <xf numFmtId="169" fontId="5" fillId="0" borderId="0" xfId="18" applyNumberFormat="1" applyFont="1" applyFill="1" applyAlignment="1">
      <alignment vertical="center" wrapText="1"/>
    </xf>
    <xf numFmtId="171" fontId="5" fillId="0" borderId="0" xfId="18" applyNumberFormat="1" applyFont="1" applyFill="1" applyAlignment="1">
      <alignment vertical="center" wrapText="1"/>
    </xf>
    <xf numFmtId="169" fontId="8" fillId="0" borderId="0" xfId="18" applyNumberFormat="1" applyFont="1" applyFill="1" applyAlignment="1">
      <alignment horizontal="center" vertical="center" wrapText="1"/>
    </xf>
    <xf numFmtId="171" fontId="8" fillId="0" borderId="0" xfId="18" applyNumberFormat="1" applyFont="1" applyFill="1" applyAlignment="1">
      <alignment horizontal="center" vertical="center" wrapText="1"/>
    </xf>
    <xf numFmtId="166" fontId="4" fillId="0" borderId="7" xfId="18" applyNumberFormat="1" applyFont="1" applyFill="1" applyBorder="1" applyAlignment="1">
      <alignment horizontal="right" vertical="center" wrapText="1"/>
    </xf>
    <xf numFmtId="166" fontId="4" fillId="0" borderId="7" xfId="18" applyNumberFormat="1" applyFont="1" applyFill="1" applyBorder="1" applyAlignment="1">
      <alignment horizontal="center" vertical="center" wrapText="1"/>
    </xf>
    <xf numFmtId="167" fontId="4" fillId="0" borderId="7" xfId="18" applyNumberFormat="1" applyFont="1" applyFill="1" applyBorder="1" applyAlignment="1">
      <alignment horizontal="right" vertical="center" wrapText="1"/>
    </xf>
    <xf numFmtId="167" fontId="4" fillId="0" borderId="6" xfId="18" applyNumberFormat="1" applyFont="1" applyFill="1" applyBorder="1" applyAlignment="1">
      <alignment horizontal="center" vertical="center" wrapText="1"/>
    </xf>
    <xf numFmtId="169" fontId="8" fillId="0" borderId="0" xfId="18" applyNumberFormat="1" applyFont="1" applyFill="1" applyAlignment="1">
      <alignment vertical="center" wrapText="1"/>
    </xf>
    <xf numFmtId="167" fontId="4" fillId="0" borderId="7" xfId="18" applyNumberFormat="1" applyFont="1" applyFill="1" applyBorder="1" applyAlignment="1">
      <alignment horizontal="left" vertical="center" wrapText="1"/>
    </xf>
    <xf numFmtId="167" fontId="4" fillId="0" borderId="7" xfId="18" applyNumberFormat="1" applyFont="1" applyFill="1" applyBorder="1" applyAlignment="1">
      <alignment horizontal="center" vertical="top" wrapText="1"/>
    </xf>
    <xf numFmtId="167" fontId="4" fillId="0" borderId="7" xfId="18" applyNumberFormat="1" applyFont="1" applyFill="1" applyBorder="1" applyAlignment="1">
      <alignment horizontal="center" vertical="center"/>
    </xf>
    <xf numFmtId="167" fontId="4" fillId="0" borderId="7" xfId="18" applyNumberFormat="1" applyFont="1" applyFill="1" applyBorder="1" applyAlignment="1">
      <alignment horizontal="center" vertical="top"/>
    </xf>
    <xf numFmtId="167" fontId="4" fillId="0" borderId="7" xfId="18" quotePrefix="1" applyNumberFormat="1" applyFont="1" applyFill="1" applyBorder="1" applyAlignment="1">
      <alignment horizontal="left" vertical="center" wrapText="1"/>
    </xf>
    <xf numFmtId="167" fontId="4" fillId="0" borderId="7" xfId="18" quotePrefix="1" applyNumberFormat="1" applyFont="1" applyFill="1" applyBorder="1" applyAlignment="1">
      <alignment horizontal="left" vertical="top" wrapText="1"/>
    </xf>
    <xf numFmtId="167" fontId="6" fillId="0" borderId="7" xfId="18" applyNumberFormat="1" applyFont="1" applyFill="1" applyBorder="1" applyAlignment="1">
      <alignment horizontal="right" vertical="center" wrapText="1"/>
    </xf>
    <xf numFmtId="49" fontId="6" fillId="0" borderId="7" xfId="19" quotePrefix="1" applyNumberFormat="1" applyFont="1" applyFill="1" applyBorder="1" applyAlignment="1">
      <alignment horizontal="center" vertical="center" wrapText="1"/>
    </xf>
    <xf numFmtId="167" fontId="6" fillId="0" borderId="7" xfId="18" applyNumberFormat="1" applyFont="1" applyFill="1" applyBorder="1" applyAlignment="1">
      <alignment vertical="center"/>
    </xf>
    <xf numFmtId="49" fontId="6" fillId="0" borderId="7" xfId="18" applyNumberFormat="1" applyFont="1" applyFill="1" applyBorder="1" applyAlignment="1">
      <alignment horizontal="center" vertical="center" wrapText="1"/>
    </xf>
    <xf numFmtId="49" fontId="6" fillId="0" borderId="7" xfId="19" applyNumberFormat="1" applyFont="1" applyFill="1" applyBorder="1" applyAlignment="1">
      <alignment horizontal="center" vertical="center" wrapText="1"/>
    </xf>
    <xf numFmtId="49" fontId="45" fillId="0" borderId="7" xfId="19" quotePrefix="1" applyNumberFormat="1" applyFont="1" applyFill="1" applyBorder="1" applyAlignment="1">
      <alignment horizontal="center" vertical="center" wrapText="1"/>
    </xf>
    <xf numFmtId="167" fontId="0" fillId="0" borderId="0" xfId="0" applyNumberFormat="1"/>
    <xf numFmtId="0" fontId="20" fillId="0" borderId="0" xfId="14" applyFont="1"/>
    <xf numFmtId="0" fontId="21" fillId="0" borderId="0" xfId="14" applyFont="1"/>
    <xf numFmtId="167" fontId="6" fillId="0" borderId="0" xfId="30" applyNumberFormat="1" applyFont="1" applyFill="1" applyAlignment="1">
      <alignment horizontal="center" vertical="center"/>
    </xf>
    <xf numFmtId="167" fontId="6" fillId="0" borderId="0" xfId="30" applyNumberFormat="1" applyFont="1" applyFill="1" applyAlignment="1">
      <alignment vertical="center"/>
    </xf>
    <xf numFmtId="167" fontId="6" fillId="0" borderId="0" xfId="30" applyNumberFormat="1" applyFont="1" applyFill="1" applyAlignment="1">
      <alignment vertical="center" wrapText="1"/>
    </xf>
    <xf numFmtId="49" fontId="6" fillId="0" borderId="0" xfId="30" applyNumberFormat="1" applyFont="1" applyFill="1" applyAlignment="1">
      <alignment vertical="center"/>
    </xf>
    <xf numFmtId="167" fontId="6" fillId="0" borderId="0" xfId="30" applyNumberFormat="1" applyFont="1" applyFill="1"/>
    <xf numFmtId="167" fontId="4" fillId="0" borderId="10" xfId="30" applyNumberFormat="1" applyFont="1" applyFill="1" applyBorder="1" applyAlignment="1">
      <alignment vertical="center" wrapText="1"/>
    </xf>
    <xf numFmtId="167" fontId="4" fillId="0" borderId="14" xfId="30" applyNumberFormat="1" applyFont="1" applyFill="1" applyBorder="1" applyAlignment="1">
      <alignment vertical="center" wrapText="1"/>
    </xf>
    <xf numFmtId="167" fontId="4" fillId="0" borderId="3" xfId="30" applyNumberFormat="1" applyFont="1" applyFill="1" applyBorder="1" applyAlignment="1">
      <alignment vertical="center" wrapText="1"/>
    </xf>
    <xf numFmtId="167" fontId="6" fillId="0" borderId="13" xfId="30" applyNumberFormat="1" applyFont="1" applyFill="1" applyBorder="1" applyAlignment="1">
      <alignment horizontal="center" vertical="center" wrapText="1"/>
    </xf>
    <xf numFmtId="167" fontId="6" fillId="0" borderId="7" xfId="30" applyNumberFormat="1" applyFont="1" applyFill="1" applyBorder="1" applyAlignment="1">
      <alignment horizontal="center" vertical="center"/>
    </xf>
    <xf numFmtId="167" fontId="6" fillId="0" borderId="7" xfId="30" applyNumberFormat="1" applyFont="1" applyFill="1" applyBorder="1" applyAlignment="1">
      <alignment horizontal="center" vertical="center" wrapText="1"/>
    </xf>
    <xf numFmtId="167" fontId="6" fillId="0" borderId="15" xfId="30" applyNumberFormat="1" applyFont="1" applyFill="1" applyBorder="1" applyAlignment="1">
      <alignment horizontal="center" vertical="center" wrapText="1"/>
    </xf>
    <xf numFmtId="49" fontId="6" fillId="0" borderId="7" xfId="30" applyNumberFormat="1" applyFont="1" applyFill="1" applyBorder="1" applyAlignment="1">
      <alignment horizontal="center" vertical="center"/>
    </xf>
    <xf numFmtId="0" fontId="20" fillId="0" borderId="0" xfId="14" applyFont="1" applyAlignment="1">
      <alignment horizontal="center"/>
    </xf>
    <xf numFmtId="0" fontId="18" fillId="0" borderId="0" xfId="14"/>
    <xf numFmtId="0" fontId="11" fillId="0" borderId="0" xfId="14" applyFont="1"/>
    <xf numFmtId="166" fontId="6" fillId="0" borderId="7" xfId="30" applyNumberFormat="1" applyFont="1" applyFill="1" applyBorder="1" applyAlignment="1">
      <alignment horizontal="center" vertical="center" wrapText="1"/>
    </xf>
    <xf numFmtId="176" fontId="6" fillId="0" borderId="7" xfId="30" applyNumberFormat="1" applyFont="1" applyFill="1" applyBorder="1" applyAlignment="1">
      <alignment horizontal="center" vertical="center" wrapText="1"/>
    </xf>
    <xf numFmtId="0" fontId="11" fillId="0" borderId="0" xfId="14" applyFont="1" applyAlignment="1">
      <alignment vertical="center"/>
    </xf>
    <xf numFmtId="0" fontId="11" fillId="0" borderId="0" xfId="14" applyFont="1" applyAlignment="1">
      <alignment horizontal="center" vertical="center"/>
    </xf>
    <xf numFmtId="0" fontId="11" fillId="0" borderId="0" xfId="14" applyFont="1" applyAlignment="1">
      <alignment horizontal="justify" vertical="center"/>
    </xf>
    <xf numFmtId="0" fontId="11" fillId="0" borderId="0" xfId="14" applyFont="1" applyAlignment="1">
      <alignment vertical="center" wrapText="1"/>
    </xf>
    <xf numFmtId="0" fontId="11" fillId="3" borderId="0" xfId="14" applyFont="1" applyFill="1" applyAlignment="1">
      <alignment vertical="center" wrapText="1"/>
    </xf>
    <xf numFmtId="3" fontId="11" fillId="0" borderId="0" xfId="14" applyNumberFormat="1" applyFont="1"/>
    <xf numFmtId="0" fontId="6" fillId="3" borderId="0" xfId="14" applyFont="1" applyFill="1"/>
    <xf numFmtId="167" fontId="6" fillId="0" borderId="7" xfId="23" applyNumberFormat="1" applyFont="1" applyFill="1" applyBorder="1" applyAlignment="1">
      <alignment horizontal="center" vertical="center" wrapText="1"/>
    </xf>
    <xf numFmtId="167" fontId="6" fillId="0" borderId="7" xfId="36" applyNumberFormat="1" applyFont="1" applyFill="1" applyBorder="1" applyAlignment="1">
      <alignment horizontal="center" vertical="center" wrapText="1"/>
    </xf>
    <xf numFmtId="167" fontId="6" fillId="0" borderId="7" xfId="36" applyNumberFormat="1" applyFont="1" applyFill="1" applyBorder="1" applyAlignment="1">
      <alignment vertical="center" wrapText="1"/>
    </xf>
    <xf numFmtId="167" fontId="6" fillId="0" borderId="7" xfId="36" applyNumberFormat="1" applyFont="1" applyFill="1" applyBorder="1" applyAlignment="1">
      <alignment horizontal="right" vertical="center" wrapText="1"/>
    </xf>
    <xf numFmtId="167" fontId="6" fillId="0" borderId="7" xfId="23" applyNumberFormat="1" applyFont="1" applyFill="1" applyBorder="1" applyAlignment="1">
      <alignment horizontal="right" vertical="center" wrapText="1"/>
    </xf>
    <xf numFmtId="167" fontId="6" fillId="0" borderId="7" xfId="36" applyNumberFormat="1" applyFont="1" applyFill="1" applyBorder="1" applyAlignment="1">
      <alignment horizontal="center" vertical="center"/>
    </xf>
    <xf numFmtId="167" fontId="6" fillId="0" borderId="7" xfId="36" applyNumberFormat="1" applyFont="1" applyFill="1" applyBorder="1" applyAlignment="1">
      <alignment vertical="center"/>
    </xf>
    <xf numFmtId="167" fontId="6" fillId="0" borderId="7" xfId="23" applyNumberFormat="1" applyFont="1" applyFill="1" applyBorder="1" applyAlignment="1">
      <alignment vertical="center" wrapText="1"/>
    </xf>
    <xf numFmtId="167" fontId="6" fillId="0" borderId="7" xfId="23" applyNumberFormat="1" applyFont="1" applyFill="1" applyBorder="1" applyAlignment="1">
      <alignment vertical="center"/>
    </xf>
    <xf numFmtId="167" fontId="6" fillId="0" borderId="7" xfId="23" applyNumberFormat="1" applyFont="1" applyFill="1" applyBorder="1" applyAlignment="1">
      <alignment horizontal="center" vertical="center"/>
    </xf>
    <xf numFmtId="167" fontId="6" fillId="0" borderId="7" xfId="24" applyNumberFormat="1" applyFont="1" applyFill="1" applyBorder="1" applyAlignment="1">
      <alignment vertical="center" wrapText="1"/>
    </xf>
    <xf numFmtId="167" fontId="6" fillId="0" borderId="7" xfId="36" applyNumberFormat="1" applyFont="1" applyFill="1" applyBorder="1"/>
    <xf numFmtId="167" fontId="6" fillId="0" borderId="7" xfId="36" quotePrefix="1" applyNumberFormat="1" applyFont="1" applyFill="1" applyBorder="1" applyAlignment="1">
      <alignment horizontal="left" vertical="center" wrapText="1"/>
    </xf>
    <xf numFmtId="2" fontId="6" fillId="0" borderId="7" xfId="23" applyNumberFormat="1" applyFont="1" applyFill="1" applyBorder="1" applyAlignment="1">
      <alignment horizontal="justify" vertical="center" wrapText="1"/>
    </xf>
    <xf numFmtId="0" fontId="59" fillId="0" borderId="0" xfId="31" applyFont="1" applyFill="1" applyAlignment="1" applyProtection="1">
      <alignment vertical="center"/>
    </xf>
    <xf numFmtId="0" fontId="9" fillId="0" borderId="0" xfId="31" applyFont="1" applyFill="1" applyAlignment="1" applyProtection="1">
      <alignment horizontal="center" vertical="center"/>
    </xf>
    <xf numFmtId="3" fontId="14" fillId="0" borderId="0" xfId="31" applyNumberFormat="1" applyFont="1" applyFill="1" applyAlignment="1" applyProtection="1">
      <alignment vertical="center"/>
    </xf>
    <xf numFmtId="0" fontId="7" fillId="0" borderId="0" xfId="31" applyFont="1" applyFill="1" applyAlignment="1" applyProtection="1">
      <alignment vertical="center"/>
    </xf>
    <xf numFmtId="0" fontId="14" fillId="0" borderId="0" xfId="31" applyFont="1" applyFill="1" applyAlignment="1" applyProtection="1">
      <alignment vertical="center"/>
    </xf>
    <xf numFmtId="0" fontId="9" fillId="0" borderId="0" xfId="31" applyFont="1" applyFill="1" applyAlignment="1" applyProtection="1">
      <alignment vertical="center"/>
    </xf>
    <xf numFmtId="169" fontId="0" fillId="0" borderId="0" xfId="18" applyNumberFormat="1" applyFont="1"/>
    <xf numFmtId="167" fontId="0" fillId="0" borderId="0" xfId="18" applyNumberFormat="1" applyFont="1"/>
    <xf numFmtId="2" fontId="0" fillId="0" borderId="0" xfId="0" applyNumberFormat="1"/>
    <xf numFmtId="0" fontId="62" fillId="0" borderId="0" xfId="14" applyFont="1" applyAlignment="1">
      <alignment wrapText="1"/>
    </xf>
    <xf numFmtId="0" fontId="62" fillId="0" borderId="0" xfId="14" applyFont="1" applyAlignment="1">
      <alignment vertical="center" wrapText="1"/>
    </xf>
    <xf numFmtId="0" fontId="63" fillId="0" borderId="0" xfId="14" applyFont="1" applyAlignment="1">
      <alignment wrapText="1"/>
    </xf>
    <xf numFmtId="3" fontId="4" fillId="0" borderId="0" xfId="31" applyNumberFormat="1" applyFont="1" applyFill="1" applyAlignment="1" applyProtection="1">
      <alignment vertical="center"/>
    </xf>
    <xf numFmtId="167" fontId="6" fillId="0" borderId="7" xfId="18" applyNumberFormat="1" applyFont="1" applyFill="1" applyBorder="1" applyAlignment="1">
      <alignment horizontal="center" vertical="center"/>
    </xf>
    <xf numFmtId="167" fontId="4" fillId="0" borderId="15" xfId="30" applyNumberFormat="1" applyFont="1" applyFill="1" applyBorder="1" applyAlignment="1">
      <alignment horizontal="center" vertical="center" wrapText="1"/>
    </xf>
    <xf numFmtId="167" fontId="6" fillId="0" borderId="13" xfId="30" applyNumberFormat="1" applyFont="1" applyFill="1" applyBorder="1" applyAlignment="1">
      <alignment horizontal="center" vertical="center"/>
    </xf>
    <xf numFmtId="3" fontId="6" fillId="0" borderId="21" xfId="31" applyNumberFormat="1" applyFont="1" applyFill="1" applyBorder="1" applyAlignment="1" applyProtection="1">
      <alignment vertical="center"/>
    </xf>
    <xf numFmtId="167" fontId="6" fillId="0" borderId="22" xfId="30" applyNumberFormat="1" applyFont="1" applyFill="1" applyBorder="1" applyAlignment="1">
      <alignment horizontal="center" vertical="center" wrapText="1"/>
    </xf>
    <xf numFmtId="167" fontId="6" fillId="0" borderId="17" xfId="30" applyNumberFormat="1" applyFont="1" applyFill="1" applyBorder="1" applyAlignment="1">
      <alignment horizontal="center" vertical="center" wrapText="1"/>
    </xf>
    <xf numFmtId="167" fontId="4" fillId="0" borderId="7" xfId="30" applyNumberFormat="1" applyFont="1" applyFill="1" applyBorder="1" applyAlignment="1">
      <alignment horizontal="center" vertical="center" wrapText="1"/>
    </xf>
    <xf numFmtId="49" fontId="4" fillId="0" borderId="7" xfId="30" applyNumberFormat="1" applyFont="1" applyFill="1" applyBorder="1" applyAlignment="1">
      <alignment horizontal="center" vertical="center" wrapText="1"/>
    </xf>
    <xf numFmtId="167" fontId="6" fillId="0" borderId="7" xfId="18" applyNumberFormat="1" applyFont="1" applyFill="1" applyBorder="1" applyAlignment="1">
      <alignment horizontal="right" vertical="center" wrapText="1" shrinkToFit="1"/>
    </xf>
    <xf numFmtId="167" fontId="6" fillId="0" borderId="7" xfId="18" applyNumberFormat="1" applyFont="1" applyFill="1" applyBorder="1" applyAlignment="1">
      <alignment horizontal="right" vertical="center"/>
    </xf>
    <xf numFmtId="175" fontId="6" fillId="0" borderId="7" xfId="30" applyNumberFormat="1" applyFont="1" applyFill="1" applyBorder="1" applyAlignment="1">
      <alignment horizontal="center" vertical="center" wrapText="1"/>
    </xf>
    <xf numFmtId="3" fontId="6" fillId="0" borderId="7" xfId="30" applyNumberFormat="1" applyFont="1" applyFill="1" applyBorder="1" applyAlignment="1">
      <alignment horizontal="center" vertical="center" wrapText="1"/>
    </xf>
    <xf numFmtId="167" fontId="6" fillId="0" borderId="7" xfId="30" applyNumberFormat="1" applyFont="1" applyFill="1" applyBorder="1" applyAlignment="1">
      <alignment vertical="center" wrapText="1"/>
    </xf>
    <xf numFmtId="167" fontId="6" fillId="0" borderId="7" xfId="30" applyNumberFormat="1" applyFont="1" applyFill="1" applyBorder="1" applyAlignment="1">
      <alignment horizontal="left" vertical="center" wrapText="1"/>
    </xf>
    <xf numFmtId="0" fontId="6" fillId="0" borderId="7" xfId="31" applyFont="1" applyFill="1" applyBorder="1" applyAlignment="1" applyProtection="1">
      <alignment horizontal="center" vertical="center" wrapText="1"/>
    </xf>
    <xf numFmtId="3" fontId="6" fillId="0" borderId="7" xfId="31" applyNumberFormat="1" applyFont="1" applyFill="1" applyBorder="1" applyAlignment="1" applyProtection="1">
      <alignment horizontal="center" vertical="center" wrapText="1"/>
    </xf>
    <xf numFmtId="14" fontId="6" fillId="0" borderId="7" xfId="31" applyNumberFormat="1" applyFont="1" applyFill="1" applyBorder="1" applyAlignment="1" applyProtection="1">
      <alignment horizontal="center" vertical="center" wrapText="1"/>
    </xf>
    <xf numFmtId="167" fontId="6" fillId="0" borderId="7" xfId="18" applyNumberFormat="1" applyFont="1" applyFill="1" applyBorder="1" applyAlignment="1" applyProtection="1">
      <alignment horizontal="right" vertical="center"/>
    </xf>
    <xf numFmtId="3" fontId="6" fillId="0" borderId="7" xfId="31" applyNumberFormat="1" applyFont="1" applyFill="1" applyBorder="1" applyAlignment="1" applyProtection="1">
      <alignment horizontal="right" vertical="center"/>
    </xf>
    <xf numFmtId="167" fontId="6" fillId="0" borderId="7" xfId="30" applyNumberFormat="1" applyFont="1" applyFill="1" applyBorder="1"/>
    <xf numFmtId="177" fontId="6" fillId="0" borderId="7" xfId="30" applyNumberFormat="1" applyFont="1" applyFill="1" applyBorder="1" applyAlignment="1">
      <alignment horizontal="center" vertical="center" wrapText="1"/>
    </xf>
    <xf numFmtId="167" fontId="6" fillId="0" borderId="7" xfId="30" quotePrefix="1" applyNumberFormat="1" applyFont="1" applyFill="1" applyBorder="1" applyAlignment="1">
      <alignment horizontal="center" vertical="center" wrapText="1"/>
    </xf>
    <xf numFmtId="0" fontId="4" fillId="0" borderId="7" xfId="31" applyFont="1" applyFill="1" applyBorder="1" applyAlignment="1" applyProtection="1">
      <alignment horizontal="center" vertical="center" wrapText="1"/>
    </xf>
    <xf numFmtId="3" fontId="4" fillId="0" borderId="7" xfId="31" applyNumberFormat="1" applyFont="1" applyFill="1" applyBorder="1" applyAlignment="1" applyProtection="1">
      <alignment horizontal="center" vertical="center" wrapText="1"/>
    </xf>
    <xf numFmtId="14" fontId="4" fillId="0" borderId="7" xfId="31" applyNumberFormat="1" applyFont="1" applyFill="1" applyBorder="1" applyAlignment="1" applyProtection="1">
      <alignment horizontal="center" vertical="center" wrapText="1"/>
    </xf>
    <xf numFmtId="167" fontId="4" fillId="0" borderId="7" xfId="18" applyNumberFormat="1" applyFont="1" applyFill="1" applyBorder="1" applyAlignment="1" applyProtection="1">
      <alignment horizontal="right" vertical="center"/>
    </xf>
    <xf numFmtId="3" fontId="4" fillId="0" borderId="7" xfId="31" applyNumberFormat="1" applyFont="1" applyFill="1" applyBorder="1" applyAlignment="1" applyProtection="1">
      <alignment horizontal="right" vertical="center"/>
    </xf>
    <xf numFmtId="3" fontId="4" fillId="0" borderId="7" xfId="31" applyNumberFormat="1" applyFont="1" applyFill="1" applyBorder="1" applyAlignment="1" applyProtection="1">
      <alignment vertical="center"/>
    </xf>
    <xf numFmtId="4" fontId="4" fillId="0" borderId="7" xfId="31" applyNumberFormat="1" applyFont="1" applyFill="1" applyBorder="1" applyAlignment="1" applyProtection="1">
      <alignment horizontal="center" vertical="center"/>
    </xf>
    <xf numFmtId="1" fontId="6" fillId="0" borderId="7" xfId="30" applyNumberFormat="1" applyFont="1" applyFill="1" applyBorder="1" applyAlignment="1">
      <alignment horizontal="center" vertical="center"/>
    </xf>
    <xf numFmtId="167" fontId="6" fillId="0" borderId="8" xfId="30" applyNumberFormat="1" applyFont="1" applyFill="1" applyBorder="1" applyAlignment="1">
      <alignment horizontal="center" vertical="center"/>
    </xf>
    <xf numFmtId="167" fontId="6" fillId="0" borderId="8" xfId="30" applyNumberFormat="1" applyFont="1" applyFill="1" applyBorder="1" applyAlignment="1">
      <alignment vertical="center" wrapText="1"/>
    </xf>
    <xf numFmtId="167" fontId="6" fillId="0" borderId="8" xfId="30" applyNumberFormat="1" applyFont="1" applyFill="1" applyBorder="1" applyAlignment="1">
      <alignment horizontal="center" vertical="center" wrapText="1"/>
    </xf>
    <xf numFmtId="49" fontId="6" fillId="0" borderId="8" xfId="30" applyNumberFormat="1" applyFont="1" applyFill="1" applyBorder="1" applyAlignment="1">
      <alignment horizontal="center" vertical="center"/>
    </xf>
    <xf numFmtId="167" fontId="6" fillId="0" borderId="8" xfId="30" applyNumberFormat="1" applyFont="1" applyFill="1" applyBorder="1" applyAlignment="1">
      <alignment horizontal="right" vertical="center"/>
    </xf>
    <xf numFmtId="167" fontId="6" fillId="0" borderId="8" xfId="30" applyNumberFormat="1" applyFont="1" applyFill="1" applyBorder="1" applyAlignment="1">
      <alignment horizontal="right" vertical="center" wrapText="1" shrinkToFit="1"/>
    </xf>
    <xf numFmtId="167" fontId="6" fillId="0" borderId="8" xfId="18" applyNumberFormat="1" applyFont="1" applyFill="1" applyBorder="1" applyAlignment="1">
      <alignment horizontal="center" vertical="center" wrapText="1"/>
    </xf>
    <xf numFmtId="166" fontId="6" fillId="0" borderId="7" xfId="30" applyNumberFormat="1" applyFont="1" applyFill="1" applyBorder="1" applyAlignment="1">
      <alignment horizontal="center" vertical="center"/>
    </xf>
    <xf numFmtId="166" fontId="4" fillId="0" borderId="7" xfId="30" applyNumberFormat="1" applyFont="1" applyFill="1" applyBorder="1" applyAlignment="1">
      <alignment horizontal="center" vertical="center" wrapText="1"/>
    </xf>
    <xf numFmtId="169" fontId="25" fillId="0" borderId="3" xfId="18" applyNumberFormat="1" applyFont="1" applyFill="1" applyBorder="1" applyAlignment="1">
      <alignment vertical="center" wrapText="1"/>
    </xf>
    <xf numFmtId="167" fontId="4" fillId="0" borderId="7" xfId="18" applyNumberFormat="1" applyFont="1" applyFill="1" applyBorder="1" applyAlignment="1">
      <alignment vertical="center"/>
    </xf>
    <xf numFmtId="0" fontId="0" fillId="7" borderId="0" xfId="0" applyFill="1"/>
    <xf numFmtId="167" fontId="4" fillId="0" borderId="20" xfId="30" applyNumberFormat="1" applyFont="1" applyFill="1" applyBorder="1" applyAlignment="1">
      <alignment vertical="center" wrapText="1"/>
    </xf>
    <xf numFmtId="0" fontId="64" fillId="0" borderId="0" xfId="0" applyFont="1"/>
    <xf numFmtId="169" fontId="43" fillId="0" borderId="3" xfId="18" applyNumberFormat="1" applyFont="1" applyFill="1" applyBorder="1" applyAlignment="1">
      <alignment horizontal="center" vertical="center" wrapText="1"/>
    </xf>
    <xf numFmtId="0" fontId="1" fillId="0" borderId="0" xfId="0" applyFont="1"/>
    <xf numFmtId="167" fontId="43" fillId="0" borderId="3" xfId="18" applyNumberFormat="1" applyFont="1" applyFill="1" applyBorder="1" applyAlignment="1">
      <alignment horizontal="center" vertical="center" wrapText="1"/>
    </xf>
    <xf numFmtId="169" fontId="67" fillId="0" borderId="0" xfId="18" applyNumberFormat="1" applyFont="1" applyFill="1" applyAlignment="1">
      <alignment vertical="center" wrapText="1"/>
    </xf>
    <xf numFmtId="171" fontId="43" fillId="0" borderId="3" xfId="18" applyNumberFormat="1" applyFont="1" applyFill="1" applyBorder="1" applyAlignment="1">
      <alignment horizontal="center" vertical="center" wrapText="1"/>
    </xf>
    <xf numFmtId="0" fontId="65" fillId="0" borderId="0" xfId="31" applyFont="1" applyFill="1" applyAlignment="1" applyProtection="1">
      <alignment vertical="center"/>
    </xf>
    <xf numFmtId="0" fontId="64" fillId="0" borderId="0" xfId="0" applyFont="1" applyAlignment="1">
      <alignment vertical="center"/>
    </xf>
    <xf numFmtId="167" fontId="20" fillId="0" borderId="0" xfId="14" applyNumberFormat="1" applyFont="1"/>
    <xf numFmtId="167" fontId="0" fillId="0" borderId="0" xfId="0" applyNumberFormat="1" applyAlignment="1">
      <alignment vertical="center"/>
    </xf>
    <xf numFmtId="166" fontId="0" fillId="0" borderId="0" xfId="0" applyNumberFormat="1"/>
    <xf numFmtId="164" fontId="0" fillId="0" borderId="0" xfId="0" applyNumberFormat="1"/>
    <xf numFmtId="166" fontId="4" fillId="8" borderId="0" xfId="30" applyNumberFormat="1" applyFont="1" applyFill="1" applyBorder="1" applyAlignment="1">
      <alignment horizontal="center" vertical="center" wrapText="1"/>
    </xf>
    <xf numFmtId="3" fontId="4" fillId="8" borderId="0" xfId="14" applyNumberFormat="1" applyFont="1" applyFill="1" applyAlignment="1">
      <alignment horizontal="center" vertical="center" wrapText="1"/>
    </xf>
    <xf numFmtId="0" fontId="4" fillId="8" borderId="0" xfId="14" applyFont="1" applyFill="1" applyAlignment="1">
      <alignment horizontal="center" vertical="center" wrapText="1"/>
    </xf>
    <xf numFmtId="167" fontId="1" fillId="0" borderId="0" xfId="0" applyNumberFormat="1" applyFont="1"/>
    <xf numFmtId="166" fontId="64" fillId="0" borderId="0" xfId="0" applyNumberFormat="1" applyFont="1"/>
    <xf numFmtId="0" fontId="0" fillId="0" borderId="0" xfId="0" applyAlignment="1">
      <alignment horizontal="center" vertical="center"/>
    </xf>
    <xf numFmtId="3" fontId="6" fillId="0" borderId="7" xfId="36" applyNumberFormat="1" applyFont="1" applyFill="1" applyBorder="1" applyAlignment="1">
      <alignment horizontal="center" vertical="center" wrapText="1"/>
    </xf>
    <xf numFmtId="3" fontId="6" fillId="0" borderId="7" xfId="36" applyNumberFormat="1" applyFont="1" applyFill="1" applyBorder="1" applyAlignment="1">
      <alignment vertical="center"/>
    </xf>
    <xf numFmtId="3" fontId="6" fillId="0" borderId="7" xfId="36" applyNumberFormat="1" applyFont="1" applyFill="1" applyBorder="1"/>
    <xf numFmtId="169" fontId="6" fillId="0" borderId="7" xfId="18" applyNumberFormat="1" applyFont="1" applyFill="1" applyBorder="1" applyAlignment="1">
      <alignment horizontal="center" vertical="center" wrapText="1"/>
    </xf>
    <xf numFmtId="169" fontId="6" fillId="0" borderId="7" xfId="30" applyNumberFormat="1" applyFont="1" applyFill="1" applyBorder="1" applyAlignment="1">
      <alignment horizontal="center" vertical="center" wrapText="1"/>
    </xf>
    <xf numFmtId="3" fontId="4" fillId="0" borderId="7" xfId="18" applyNumberFormat="1" applyFont="1" applyFill="1" applyBorder="1" applyAlignment="1">
      <alignment vertical="center"/>
    </xf>
    <xf numFmtId="0" fontId="66" fillId="3" borderId="3" xfId="0" applyFont="1" applyFill="1" applyBorder="1" applyAlignment="1">
      <alignment horizontal="center" vertical="center" wrapText="1"/>
    </xf>
    <xf numFmtId="0" fontId="66" fillId="3" borderId="0" xfId="0" applyFont="1" applyFill="1" applyAlignment="1">
      <alignment horizontal="center" vertical="center" wrapText="1"/>
    </xf>
    <xf numFmtId="0" fontId="69" fillId="5" borderId="0" xfId="0" applyFont="1" applyFill="1" applyAlignment="1">
      <alignment horizontal="center" vertical="center" wrapText="1"/>
    </xf>
    <xf numFmtId="0" fontId="12" fillId="0" borderId="0" xfId="14" applyFont="1" applyAlignment="1">
      <alignment horizontal="center" vertical="center" wrapText="1"/>
    </xf>
    <xf numFmtId="167" fontId="3" fillId="0" borderId="0" xfId="36" applyNumberFormat="1" applyFont="1" applyFill="1" applyBorder="1" applyAlignment="1">
      <alignment horizontal="right" vertical="center" wrapText="1"/>
    </xf>
    <xf numFmtId="167" fontId="3" fillId="0" borderId="0" xfId="36" quotePrefix="1" applyNumberFormat="1" applyFont="1" applyFill="1" applyBorder="1" applyAlignment="1">
      <alignment horizontal="right" vertical="center"/>
    </xf>
    <xf numFmtId="167" fontId="3" fillId="0" borderId="0" xfId="36" applyNumberFormat="1" applyFont="1" applyFill="1" applyBorder="1" applyAlignment="1">
      <alignment horizontal="right" vertical="center"/>
    </xf>
    <xf numFmtId="166" fontId="4" fillId="0" borderId="3" xfId="30" applyNumberFormat="1" applyFont="1" applyFill="1" applyBorder="1" applyAlignment="1">
      <alignment horizontal="center" vertical="center" wrapText="1"/>
    </xf>
    <xf numFmtId="166" fontId="50" fillId="0" borderId="0" xfId="0" applyNumberFormat="1" applyFont="1"/>
    <xf numFmtId="167" fontId="6" fillId="0" borderId="7" xfId="18" quotePrefix="1" applyNumberFormat="1" applyFont="1" applyFill="1" applyBorder="1" applyAlignment="1">
      <alignment horizontal="right" vertical="center" wrapText="1"/>
    </xf>
    <xf numFmtId="167" fontId="6" fillId="0" borderId="7" xfId="18" quotePrefix="1" applyNumberFormat="1" applyFont="1" applyFill="1" applyBorder="1" applyAlignment="1">
      <alignment horizontal="right" vertical="center"/>
    </xf>
    <xf numFmtId="0" fontId="0" fillId="0" borderId="0" xfId="0" applyAlignment="1">
      <alignment horizontal="left"/>
    </xf>
    <xf numFmtId="167" fontId="6" fillId="0" borderId="7" xfId="23" quotePrefix="1" applyNumberFormat="1" applyFont="1" applyFill="1" applyBorder="1" applyAlignment="1">
      <alignment horizontal="center" vertical="center" wrapText="1"/>
    </xf>
    <xf numFmtId="167" fontId="30" fillId="0" borderId="7" xfId="23" applyNumberFormat="1" applyFont="1" applyFill="1" applyBorder="1" applyAlignment="1">
      <alignment horizontal="right" vertical="center" wrapText="1"/>
    </xf>
    <xf numFmtId="171" fontId="6" fillId="0" borderId="7" xfId="23" applyNumberFormat="1" applyFont="1" applyFill="1" applyBorder="1" applyAlignment="1">
      <alignment horizontal="center" vertical="center" wrapText="1"/>
    </xf>
    <xf numFmtId="167" fontId="6" fillId="0" borderId="7" xfId="23" quotePrefix="1" applyNumberFormat="1" applyFont="1" applyFill="1" applyBorder="1" applyAlignment="1">
      <alignment horizontal="right" vertical="center" wrapText="1"/>
    </xf>
    <xf numFmtId="167" fontId="6" fillId="0" borderId="7" xfId="23" applyNumberFormat="1" applyFont="1" applyFill="1" applyBorder="1" applyAlignment="1">
      <alignment horizontal="right" vertical="center"/>
    </xf>
    <xf numFmtId="167" fontId="6" fillId="0" borderId="8" xfId="18" applyNumberFormat="1" applyFont="1" applyFill="1" applyBorder="1" applyAlignment="1">
      <alignment horizontal="left" vertical="center" wrapText="1"/>
    </xf>
    <xf numFmtId="167" fontId="6" fillId="0" borderId="8" xfId="18" quotePrefix="1" applyNumberFormat="1" applyFont="1" applyFill="1" applyBorder="1" applyAlignment="1">
      <alignment horizontal="center" vertical="center" wrapText="1"/>
    </xf>
    <xf numFmtId="167" fontId="6" fillId="0" borderId="8" xfId="18" applyNumberFormat="1" applyFont="1" applyFill="1" applyBorder="1" applyAlignment="1">
      <alignment vertical="center" wrapText="1"/>
    </xf>
    <xf numFmtId="167" fontId="4" fillId="0" borderId="8" xfId="18" quotePrefix="1" applyNumberFormat="1" applyFont="1" applyFill="1" applyBorder="1" applyAlignment="1">
      <alignment horizontal="center" vertical="center" wrapText="1"/>
    </xf>
    <xf numFmtId="167" fontId="4" fillId="0" borderId="8" xfId="18" applyNumberFormat="1" applyFont="1" applyFill="1" applyBorder="1" applyAlignment="1">
      <alignment horizontal="center" vertical="center" wrapText="1"/>
    </xf>
    <xf numFmtId="167" fontId="4" fillId="0" borderId="8" xfId="18" applyNumberFormat="1" applyFont="1" applyFill="1" applyBorder="1" applyAlignment="1">
      <alignment vertical="center" wrapText="1"/>
    </xf>
    <xf numFmtId="167" fontId="45" fillId="0" borderId="8" xfId="18" quotePrefix="1" applyNumberFormat="1" applyFont="1" applyFill="1" applyBorder="1" applyAlignment="1">
      <alignment horizontal="right" vertical="center" wrapText="1"/>
    </xf>
    <xf numFmtId="167" fontId="4" fillId="0" borderId="16" xfId="18" applyNumberFormat="1" applyFont="1" applyFill="1" applyBorder="1" applyAlignment="1">
      <alignment horizontal="center" vertical="center" wrapText="1"/>
    </xf>
    <xf numFmtId="167" fontId="4" fillId="0" borderId="16" xfId="18" applyNumberFormat="1" applyFont="1" applyFill="1" applyBorder="1" applyAlignment="1">
      <alignment horizontal="right" vertical="center" wrapText="1"/>
    </xf>
    <xf numFmtId="0" fontId="4" fillId="0" borderId="19" xfId="31" applyFont="1" applyFill="1" applyBorder="1" applyAlignment="1" applyProtection="1">
      <alignment vertical="center" wrapText="1"/>
    </xf>
    <xf numFmtId="43" fontId="4" fillId="0" borderId="19" xfId="31" applyNumberFormat="1" applyFont="1" applyFill="1" applyBorder="1" applyAlignment="1" applyProtection="1">
      <alignment vertical="center" wrapText="1"/>
    </xf>
    <xf numFmtId="0" fontId="25" fillId="0" borderId="23" xfId="31" applyFont="1" applyFill="1" applyBorder="1" applyAlignment="1" applyProtection="1">
      <alignment horizontal="center" vertical="center" wrapText="1"/>
    </xf>
    <xf numFmtId="0" fontId="25" fillId="0" borderId="24" xfId="31" applyFont="1" applyFill="1" applyBorder="1" applyAlignment="1" applyProtection="1">
      <alignment horizontal="center" vertical="center" wrapText="1"/>
    </xf>
    <xf numFmtId="0" fontId="25" fillId="0" borderId="5" xfId="31" applyFont="1" applyFill="1" applyBorder="1" applyAlignment="1" applyProtection="1">
      <alignment horizontal="center" vertical="center" wrapText="1"/>
    </xf>
    <xf numFmtId="0" fontId="4" fillId="0" borderId="5" xfId="31" applyFont="1" applyFill="1" applyBorder="1" applyAlignment="1" applyProtection="1">
      <alignment horizontal="center" vertical="center" wrapText="1"/>
    </xf>
    <xf numFmtId="0" fontId="30" fillId="0" borderId="5" xfId="31" applyFont="1" applyFill="1" applyBorder="1" applyAlignment="1" applyProtection="1">
      <alignment vertical="center"/>
    </xf>
    <xf numFmtId="0" fontId="4" fillId="0" borderId="2" xfId="31" applyFont="1" applyFill="1" applyBorder="1" applyAlignment="1" applyProtection="1">
      <alignment horizontal="center" vertical="center" wrapText="1"/>
    </xf>
    <xf numFmtId="0" fontId="4" fillId="0" borderId="2" xfId="31" applyFont="1" applyFill="1" applyBorder="1" applyAlignment="1" applyProtection="1">
      <alignment horizontal="center" vertical="center"/>
    </xf>
    <xf numFmtId="49" fontId="4" fillId="0" borderId="6" xfId="31" applyNumberFormat="1" applyFont="1" applyFill="1" applyBorder="1" applyAlignment="1" applyProtection="1">
      <alignment horizontal="center" vertical="center" wrapText="1"/>
    </xf>
    <xf numFmtId="0" fontId="4" fillId="0" borderId="6" xfId="31" applyFont="1" applyFill="1" applyBorder="1" applyAlignment="1" applyProtection="1">
      <alignment horizontal="center" vertical="center" wrapText="1"/>
    </xf>
    <xf numFmtId="173" fontId="4" fillId="0" borderId="6" xfId="31" applyNumberFormat="1" applyFont="1" applyFill="1" applyBorder="1" applyAlignment="1" applyProtection="1">
      <alignment horizontal="center" vertical="center" wrapText="1"/>
    </xf>
    <xf numFmtId="3" fontId="4" fillId="0" borderId="6" xfId="31" applyNumberFormat="1" applyFont="1" applyFill="1" applyBorder="1" applyAlignment="1" applyProtection="1">
      <alignment horizontal="right" vertical="center" wrapText="1"/>
    </xf>
    <xf numFmtId="167" fontId="4" fillId="0" borderId="6" xfId="18" applyNumberFormat="1" applyFont="1" applyFill="1" applyBorder="1" applyAlignment="1" applyProtection="1">
      <alignment horizontal="center" vertical="center" wrapText="1"/>
    </xf>
    <xf numFmtId="167" fontId="4" fillId="0" borderId="6" xfId="18" applyNumberFormat="1" applyFont="1" applyFill="1" applyBorder="1" applyAlignment="1" applyProtection="1">
      <alignment horizontal="right" vertical="center" wrapText="1"/>
    </xf>
    <xf numFmtId="169" fontId="4" fillId="0" borderId="6" xfId="18" applyNumberFormat="1" applyFont="1" applyFill="1" applyBorder="1" applyAlignment="1" applyProtection="1">
      <alignment horizontal="right" vertical="center" wrapText="1"/>
    </xf>
    <xf numFmtId="0" fontId="6" fillId="0" borderId="6" xfId="31" applyFont="1" applyFill="1" applyBorder="1" applyAlignment="1" applyProtection="1">
      <alignment vertical="center"/>
    </xf>
    <xf numFmtId="0" fontId="6" fillId="0" borderId="7" xfId="31" applyFont="1" applyFill="1" applyBorder="1" applyAlignment="1" applyProtection="1">
      <alignment vertical="center" wrapText="1"/>
    </xf>
    <xf numFmtId="1" fontId="6" fillId="0" borderId="7" xfId="31" applyNumberFormat="1" applyFont="1" applyFill="1" applyBorder="1" applyAlignment="1" applyProtection="1">
      <alignment horizontal="center" vertical="center" wrapText="1"/>
    </xf>
    <xf numFmtId="0" fontId="6" fillId="0" borderId="7" xfId="31" applyFont="1" applyFill="1" applyBorder="1" applyAlignment="1" applyProtection="1">
      <alignment horizontal="center" vertical="center"/>
    </xf>
    <xf numFmtId="167" fontId="6" fillId="0" borderId="7" xfId="18" applyNumberFormat="1" applyFont="1" applyFill="1" applyBorder="1" applyAlignment="1" applyProtection="1">
      <alignment horizontal="center" vertical="center" wrapText="1"/>
    </xf>
    <xf numFmtId="167" fontId="6" fillId="0" borderId="7" xfId="18" applyNumberFormat="1" applyFont="1" applyFill="1" applyBorder="1" applyAlignment="1" applyProtection="1">
      <alignment horizontal="right" vertical="center" wrapText="1"/>
    </xf>
    <xf numFmtId="167" fontId="6" fillId="0" borderId="7" xfId="18" applyNumberFormat="1" applyFont="1" applyFill="1" applyBorder="1" applyAlignment="1" applyProtection="1">
      <alignment vertical="center"/>
    </xf>
    <xf numFmtId="167" fontId="6" fillId="0" borderId="7" xfId="18" applyNumberFormat="1" applyFont="1" applyFill="1" applyBorder="1" applyAlignment="1" applyProtection="1">
      <alignment horizontal="center" vertical="center"/>
    </xf>
    <xf numFmtId="3" fontId="6" fillId="0" borderId="7" xfId="31" applyNumberFormat="1" applyFont="1" applyFill="1" applyBorder="1" applyAlignment="1" applyProtection="1">
      <alignment vertical="center"/>
    </xf>
    <xf numFmtId="3" fontId="6" fillId="0" borderId="7" xfId="31" applyNumberFormat="1" applyFont="1" applyFill="1" applyBorder="1" applyAlignment="1" applyProtection="1">
      <alignment horizontal="right" vertical="center" wrapText="1"/>
    </xf>
    <xf numFmtId="4" fontId="6" fillId="0" borderId="7" xfId="31" applyNumberFormat="1" applyFont="1" applyFill="1" applyBorder="1" applyAlignment="1" applyProtection="1">
      <alignment horizontal="center" vertical="center"/>
    </xf>
    <xf numFmtId="167" fontId="6" fillId="0" borderId="7" xfId="31" applyNumberFormat="1" applyFont="1" applyFill="1" applyBorder="1" applyAlignment="1" applyProtection="1">
      <alignment horizontal="center" vertical="center" wrapText="1"/>
    </xf>
    <xf numFmtId="169" fontId="6" fillId="0" borderId="7" xfId="31" applyNumberFormat="1" applyFont="1" applyFill="1" applyBorder="1" applyAlignment="1" applyProtection="1">
      <alignment horizontal="center" vertical="center" wrapText="1"/>
    </xf>
    <xf numFmtId="0" fontId="6" fillId="0" borderId="7" xfId="31" applyFont="1" applyFill="1" applyBorder="1" applyAlignment="1" applyProtection="1">
      <alignment vertical="center"/>
    </xf>
    <xf numFmtId="0" fontId="6" fillId="0" borderId="7" xfId="31" applyFont="1" applyFill="1" applyBorder="1" applyAlignment="1" applyProtection="1">
      <alignment horizontal="left" vertical="center" wrapText="1"/>
    </xf>
    <xf numFmtId="0" fontId="6" fillId="0" borderId="7" xfId="31" applyFont="1" applyFill="1" applyBorder="1" applyAlignment="1">
      <alignment vertical="center" wrapText="1"/>
    </xf>
    <xf numFmtId="0" fontId="6" fillId="0" borderId="7" xfId="31" applyFont="1" applyFill="1" applyBorder="1" applyAlignment="1">
      <alignment horizontal="center" vertical="center" wrapText="1"/>
    </xf>
    <xf numFmtId="169" fontId="4" fillId="0" borderId="7" xfId="18" applyNumberFormat="1" applyFont="1" applyFill="1" applyBorder="1" applyAlignment="1">
      <alignment horizontal="right" vertical="center" wrapText="1"/>
    </xf>
    <xf numFmtId="4" fontId="6" fillId="0" borderId="7" xfId="31" applyNumberFormat="1" applyFont="1" applyFill="1" applyBorder="1" applyAlignment="1" applyProtection="1">
      <alignment horizontal="right" vertical="center"/>
    </xf>
    <xf numFmtId="169" fontId="6" fillId="0" borderId="7" xfId="31" applyNumberFormat="1" applyFont="1" applyFill="1" applyBorder="1" applyAlignment="1" applyProtection="1">
      <alignment horizontal="right" vertical="center"/>
    </xf>
    <xf numFmtId="167" fontId="4" fillId="0" borderId="7" xfId="18" applyNumberFormat="1" applyFont="1" applyFill="1" applyBorder="1" applyAlignment="1" applyProtection="1">
      <alignment horizontal="center" vertical="center" wrapText="1"/>
    </xf>
    <xf numFmtId="167" fontId="4" fillId="0" borderId="7" xfId="18" applyNumberFormat="1" applyFont="1" applyFill="1" applyBorder="1" applyAlignment="1" applyProtection="1">
      <alignment horizontal="center" vertical="center"/>
    </xf>
    <xf numFmtId="169" fontId="4" fillId="0" borderId="7" xfId="18" applyNumberFormat="1" applyFont="1" applyFill="1" applyBorder="1" applyAlignment="1" applyProtection="1">
      <alignment horizontal="right" vertical="center"/>
    </xf>
    <xf numFmtId="0" fontId="4" fillId="0" borderId="7" xfId="31" applyFont="1" applyFill="1" applyBorder="1" applyAlignment="1" applyProtection="1">
      <alignment vertical="center"/>
    </xf>
    <xf numFmtId="173" fontId="6" fillId="0" borderId="7" xfId="31" applyNumberFormat="1" applyFont="1" applyFill="1" applyBorder="1" applyAlignment="1" applyProtection="1">
      <alignment horizontal="center" vertical="center" wrapText="1"/>
    </xf>
    <xf numFmtId="167" fontId="4" fillId="0" borderId="7" xfId="18" applyNumberFormat="1" applyFont="1" applyFill="1" applyBorder="1" applyAlignment="1" applyProtection="1">
      <alignment horizontal="right" vertical="center" wrapText="1"/>
    </xf>
    <xf numFmtId="167" fontId="6" fillId="0" borderId="7" xfId="31" applyNumberFormat="1" applyFont="1" applyFill="1" applyBorder="1" applyAlignment="1" applyProtection="1">
      <alignment horizontal="center" vertical="center"/>
    </xf>
    <xf numFmtId="167" fontId="6" fillId="0" borderId="7" xfId="18" applyNumberFormat="1" applyFont="1" applyFill="1" applyBorder="1" applyAlignment="1" applyProtection="1">
      <alignment horizontal="center" vertical="center" wrapText="1"/>
      <protection locked="0"/>
    </xf>
    <xf numFmtId="169" fontId="6" fillId="0" borderId="7" xfId="18" applyNumberFormat="1" applyFont="1" applyFill="1" applyBorder="1" applyAlignment="1" applyProtection="1">
      <alignment horizontal="right" vertical="center" wrapText="1"/>
    </xf>
    <xf numFmtId="3" fontId="6" fillId="0" borderId="7" xfId="31" applyNumberFormat="1" applyFont="1" applyFill="1" applyBorder="1" applyAlignment="1" applyProtection="1">
      <alignment horizontal="center" vertical="center"/>
    </xf>
    <xf numFmtId="0" fontId="6" fillId="0" borderId="7" xfId="31" applyFont="1" applyFill="1" applyBorder="1" applyAlignment="1">
      <alignment horizontal="left" vertical="center" wrapText="1"/>
    </xf>
    <xf numFmtId="1" fontId="4" fillId="0" borderId="7" xfId="31" applyNumberFormat="1" applyFont="1" applyFill="1" applyBorder="1" applyAlignment="1" applyProtection="1">
      <alignment horizontal="center" vertical="center" wrapText="1"/>
    </xf>
    <xf numFmtId="167" fontId="4" fillId="0" borderId="7" xfId="31" applyNumberFormat="1" applyFont="1" applyFill="1" applyBorder="1" applyAlignment="1" applyProtection="1">
      <alignment horizontal="center" vertical="center"/>
    </xf>
    <xf numFmtId="167" fontId="4" fillId="0" borderId="7" xfId="18" applyNumberFormat="1" applyFont="1" applyFill="1" applyBorder="1" applyAlignment="1" applyProtection="1">
      <alignment vertical="center"/>
    </xf>
    <xf numFmtId="169" fontId="4" fillId="0" borderId="7" xfId="31" applyNumberFormat="1" applyFont="1" applyFill="1" applyBorder="1" applyAlignment="1" applyProtection="1">
      <alignment horizontal="center" vertical="center"/>
    </xf>
    <xf numFmtId="1" fontId="6" fillId="0" borderId="7" xfId="31" applyNumberFormat="1" applyFont="1" applyFill="1" applyBorder="1" applyAlignment="1" applyProtection="1">
      <alignment horizontal="left" vertical="center" wrapText="1"/>
    </xf>
    <xf numFmtId="169" fontId="6" fillId="0" borderId="7" xfId="31" applyNumberFormat="1" applyFont="1" applyFill="1" applyBorder="1" applyAlignment="1" applyProtection="1">
      <alignment horizontal="center" vertical="center"/>
    </xf>
    <xf numFmtId="1" fontId="6" fillId="0" borderId="7" xfId="31" applyNumberFormat="1" applyFont="1" applyFill="1" applyBorder="1" applyAlignment="1" applyProtection="1">
      <alignment vertical="center" wrapText="1"/>
    </xf>
    <xf numFmtId="167" fontId="6" fillId="0" borderId="7" xfId="18" applyNumberFormat="1" applyFont="1" applyFill="1" applyBorder="1" applyAlignment="1" applyProtection="1">
      <alignment vertical="center" wrapText="1"/>
    </xf>
    <xf numFmtId="3" fontId="6" fillId="0" borderId="7" xfId="31" applyNumberFormat="1" applyFont="1" applyFill="1" applyBorder="1" applyAlignment="1" applyProtection="1">
      <alignment vertical="center" wrapText="1"/>
    </xf>
    <xf numFmtId="3" fontId="4" fillId="0" borderId="7" xfId="31" applyNumberFormat="1" applyFont="1" applyFill="1" applyBorder="1" applyAlignment="1" applyProtection="1">
      <alignment horizontal="center" vertical="center"/>
    </xf>
    <xf numFmtId="0" fontId="30" fillId="0" borderId="7" xfId="31" applyFont="1" applyFill="1" applyBorder="1" applyAlignment="1" applyProtection="1">
      <alignment vertical="center"/>
    </xf>
    <xf numFmtId="167" fontId="6" fillId="0" borderId="7" xfId="18" applyNumberFormat="1" applyFont="1" applyFill="1" applyBorder="1" applyAlignment="1" applyProtection="1">
      <alignment horizontal="right" vertical="center"/>
      <protection locked="0"/>
    </xf>
    <xf numFmtId="0" fontId="6" fillId="0" borderId="7" xfId="31" applyFont="1" applyFill="1" applyBorder="1" applyAlignment="1" applyProtection="1">
      <alignment horizontal="left" vertical="center" wrapText="1"/>
      <protection locked="0"/>
    </xf>
    <xf numFmtId="0" fontId="6" fillId="0" borderId="7" xfId="31" applyFont="1" applyFill="1" applyBorder="1" applyAlignment="1" applyProtection="1">
      <alignment horizontal="center" vertical="center" wrapText="1"/>
      <protection locked="0"/>
    </xf>
    <xf numFmtId="167" fontId="6" fillId="0" borderId="7" xfId="18" applyNumberFormat="1" applyFont="1" applyFill="1" applyBorder="1" applyAlignment="1" applyProtection="1">
      <alignment horizontal="right" vertical="center" wrapText="1"/>
      <protection locked="0"/>
    </xf>
    <xf numFmtId="3" fontId="6" fillId="0" borderId="7" xfId="31" applyNumberFormat="1" applyFont="1" applyFill="1" applyBorder="1" applyAlignment="1" applyProtection="1">
      <alignment horizontal="right" vertical="center" wrapText="1"/>
      <protection locked="0"/>
    </xf>
    <xf numFmtId="43" fontId="6" fillId="0" borderId="7" xfId="31" applyNumberFormat="1" applyFont="1" applyFill="1" applyBorder="1" applyAlignment="1" applyProtection="1">
      <alignment horizontal="left" vertical="center" wrapText="1"/>
      <protection locked="0"/>
    </xf>
    <xf numFmtId="0" fontId="6" fillId="0" borderId="7" xfId="31" applyFont="1" applyFill="1" applyBorder="1" applyAlignment="1" applyProtection="1">
      <alignment vertical="center" wrapText="1"/>
      <protection locked="0"/>
    </xf>
    <xf numFmtId="1" fontId="6" fillId="0" borderId="7" xfId="31" applyNumberFormat="1" applyFont="1" applyFill="1" applyBorder="1" applyAlignment="1" applyProtection="1">
      <alignment horizontal="center" vertical="center" wrapText="1"/>
      <protection locked="0"/>
    </xf>
    <xf numFmtId="167" fontId="6" fillId="0" borderId="7" xfId="31" applyNumberFormat="1" applyFont="1" applyFill="1" applyBorder="1" applyAlignment="1" applyProtection="1">
      <alignment horizontal="left" vertical="center" wrapText="1"/>
      <protection locked="0"/>
    </xf>
    <xf numFmtId="3" fontId="6" fillId="0" borderId="7" xfId="31" applyNumberFormat="1" applyFont="1" applyFill="1" applyBorder="1" applyAlignment="1" applyProtection="1">
      <alignment horizontal="center" vertical="center" wrapText="1"/>
      <protection locked="0"/>
    </xf>
    <xf numFmtId="43" fontId="6" fillId="0" borderId="7" xfId="31" applyNumberFormat="1" applyFont="1" applyFill="1" applyBorder="1" applyAlignment="1" applyProtection="1">
      <alignment horizontal="center" vertical="center" wrapText="1"/>
      <protection locked="0"/>
    </xf>
    <xf numFmtId="0" fontId="30" fillId="0" borderId="7" xfId="31" applyFont="1" applyFill="1" applyBorder="1" applyAlignment="1" applyProtection="1">
      <alignment horizontal="center" vertical="center" wrapText="1"/>
      <protection locked="0"/>
    </xf>
    <xf numFmtId="167" fontId="30" fillId="0" borderId="7" xfId="18" applyNumberFormat="1" applyFont="1" applyFill="1" applyBorder="1" applyAlignment="1" applyProtection="1">
      <alignment horizontal="right" vertical="center"/>
    </xf>
    <xf numFmtId="0" fontId="30" fillId="0" borderId="7" xfId="31" quotePrefix="1" applyFont="1" applyFill="1" applyBorder="1" applyAlignment="1" applyProtection="1">
      <alignment horizontal="center" vertical="center" wrapText="1"/>
    </xf>
    <xf numFmtId="0" fontId="30" fillId="0" borderId="7" xfId="31" applyFont="1" applyFill="1" applyBorder="1" applyAlignment="1" applyProtection="1">
      <alignment horizontal="center" vertical="center" wrapText="1"/>
    </xf>
    <xf numFmtId="3" fontId="30" fillId="0" borderId="7" xfId="31" applyNumberFormat="1" applyFont="1" applyFill="1" applyBorder="1" applyAlignment="1" applyProtection="1">
      <alignment horizontal="center" vertical="center" wrapText="1"/>
    </xf>
    <xf numFmtId="3" fontId="30" fillId="0" borderId="7" xfId="31" applyNumberFormat="1" applyFont="1" applyFill="1" applyBorder="1" applyAlignment="1" applyProtection="1">
      <alignment horizontal="center" vertical="center" wrapText="1"/>
      <protection locked="0"/>
    </xf>
    <xf numFmtId="167" fontId="30" fillId="0" borderId="7" xfId="18" applyNumberFormat="1" applyFont="1" applyFill="1" applyBorder="1" applyAlignment="1" applyProtection="1">
      <alignment horizontal="center" vertical="center" wrapText="1"/>
      <protection locked="0"/>
    </xf>
    <xf numFmtId="167" fontId="30" fillId="0" borderId="7" xfId="18" applyNumberFormat="1" applyFont="1" applyFill="1" applyBorder="1" applyAlignment="1" applyProtection="1">
      <alignment horizontal="right" vertical="center" wrapText="1"/>
      <protection locked="0"/>
    </xf>
    <xf numFmtId="167" fontId="30" fillId="0" borderId="7" xfId="18" applyNumberFormat="1" applyFont="1" applyFill="1" applyBorder="1" applyAlignment="1" applyProtection="1">
      <alignment horizontal="center" vertical="center" wrapText="1"/>
    </xf>
    <xf numFmtId="167" fontId="30" fillId="0" borderId="7" xfId="18" applyNumberFormat="1" applyFont="1" applyFill="1" applyBorder="1" applyAlignment="1" applyProtection="1">
      <alignment horizontal="right" vertical="center" wrapText="1"/>
    </xf>
    <xf numFmtId="167" fontId="30" fillId="0" borderId="7" xfId="18" applyNumberFormat="1" applyFont="1" applyFill="1" applyBorder="1" applyAlignment="1" applyProtection="1">
      <alignment vertical="center"/>
    </xf>
    <xf numFmtId="167" fontId="30" fillId="0" borderId="7" xfId="18" applyNumberFormat="1" applyFont="1" applyFill="1" applyBorder="1" applyAlignment="1" applyProtection="1">
      <alignment horizontal="center" vertical="center"/>
    </xf>
    <xf numFmtId="3" fontId="30" fillId="0" borderId="7" xfId="31" applyNumberFormat="1" applyFont="1" applyFill="1" applyBorder="1" applyAlignment="1" applyProtection="1">
      <alignment vertical="center"/>
    </xf>
    <xf numFmtId="3" fontId="30" fillId="0" borderId="7" xfId="31" applyNumberFormat="1" applyFont="1" applyFill="1" applyBorder="1" applyAlignment="1" applyProtection="1">
      <alignment horizontal="right" vertical="center" wrapText="1"/>
      <protection locked="0"/>
    </xf>
    <xf numFmtId="3" fontId="30" fillId="0" borderId="7" xfId="31" applyNumberFormat="1" applyFont="1" applyFill="1" applyBorder="1" applyAlignment="1" applyProtection="1">
      <alignment horizontal="right" vertical="center"/>
    </xf>
    <xf numFmtId="4" fontId="30" fillId="0" borderId="7" xfId="31" applyNumberFormat="1" applyFont="1" applyFill="1" applyBorder="1" applyAlignment="1" applyProtection="1">
      <alignment horizontal="center" vertical="center"/>
    </xf>
    <xf numFmtId="167" fontId="30" fillId="0" borderId="7" xfId="31" applyNumberFormat="1" applyFont="1" applyFill="1" applyBorder="1" applyAlignment="1" applyProtection="1">
      <alignment horizontal="center" vertical="center" wrapText="1"/>
    </xf>
    <xf numFmtId="3" fontId="30" fillId="0" borderId="7" xfId="31" applyNumberFormat="1" applyFont="1" applyFill="1" applyBorder="1" applyAlignment="1" applyProtection="1">
      <alignment horizontal="right" vertical="center" wrapText="1"/>
    </xf>
    <xf numFmtId="167" fontId="30" fillId="0" borderId="7" xfId="31" applyNumberFormat="1" applyFont="1" applyFill="1" applyBorder="1" applyAlignment="1" applyProtection="1">
      <alignment horizontal="left" vertical="center" wrapText="1"/>
      <protection locked="0"/>
    </xf>
    <xf numFmtId="0" fontId="30" fillId="0" borderId="7" xfId="31" applyFont="1" applyFill="1" applyBorder="1" applyAlignment="1" applyProtection="1">
      <alignment vertical="center" wrapText="1"/>
    </xf>
    <xf numFmtId="0" fontId="6" fillId="0" borderId="8" xfId="31" applyFont="1" applyFill="1" applyBorder="1" applyAlignment="1" applyProtection="1">
      <alignment horizontal="center" vertical="center" wrapText="1"/>
    </xf>
    <xf numFmtId="0" fontId="6" fillId="0" borderId="8" xfId="42" applyNumberFormat="1" applyFont="1" applyFill="1" applyBorder="1" applyAlignment="1">
      <alignment horizontal="left" vertical="center" wrapText="1"/>
    </xf>
    <xf numFmtId="1" fontId="6" fillId="0" borderId="8" xfId="31" applyNumberFormat="1" applyFont="1" applyFill="1" applyBorder="1" applyAlignment="1" applyProtection="1">
      <alignment horizontal="center" vertical="center" wrapText="1"/>
    </xf>
    <xf numFmtId="3" fontId="6" fillId="0" borderId="8" xfId="31" applyNumberFormat="1" applyFont="1" applyFill="1" applyBorder="1" applyAlignment="1" applyProtection="1">
      <alignment horizontal="center" vertical="center" wrapText="1"/>
    </xf>
    <xf numFmtId="167" fontId="6" fillId="0" borderId="8" xfId="18" applyNumberFormat="1" applyFont="1" applyFill="1" applyBorder="1" applyAlignment="1" applyProtection="1">
      <alignment horizontal="center" vertical="center" wrapText="1"/>
    </xf>
    <xf numFmtId="167" fontId="6" fillId="0" borderId="8" xfId="18" applyNumberFormat="1" applyFont="1" applyFill="1" applyBorder="1" applyAlignment="1" applyProtection="1">
      <alignment horizontal="right" vertical="center"/>
    </xf>
    <xf numFmtId="167" fontId="6" fillId="0" borderId="8" xfId="18" applyNumberFormat="1" applyFont="1" applyFill="1" applyBorder="1" applyAlignment="1" applyProtection="1">
      <alignment horizontal="right" vertical="center" wrapText="1"/>
    </xf>
    <xf numFmtId="167" fontId="6" fillId="0" borderId="8" xfId="18" applyNumberFormat="1" applyFont="1" applyFill="1" applyBorder="1" applyAlignment="1" applyProtection="1">
      <alignment vertical="center"/>
    </xf>
    <xf numFmtId="167" fontId="6" fillId="0" borderId="8" xfId="18" applyNumberFormat="1" applyFont="1" applyFill="1" applyBorder="1" applyAlignment="1" applyProtection="1">
      <alignment horizontal="center" vertical="center"/>
    </xf>
    <xf numFmtId="3" fontId="6" fillId="0" borderId="8" xfId="31" applyNumberFormat="1" applyFont="1" applyFill="1" applyBorder="1" applyAlignment="1" applyProtection="1">
      <alignment vertical="center"/>
    </xf>
    <xf numFmtId="3" fontId="6" fillId="0" borderId="8" xfId="31" applyNumberFormat="1" applyFont="1" applyFill="1" applyBorder="1" applyAlignment="1" applyProtection="1">
      <alignment horizontal="right" vertical="center"/>
    </xf>
    <xf numFmtId="4" fontId="6" fillId="0" borderId="8" xfId="31" applyNumberFormat="1" applyFont="1" applyFill="1" applyBorder="1" applyAlignment="1" applyProtection="1">
      <alignment horizontal="center" vertical="center"/>
    </xf>
    <xf numFmtId="167" fontId="6" fillId="0" borderId="8" xfId="31" applyNumberFormat="1" applyFont="1" applyFill="1" applyBorder="1" applyAlignment="1" applyProtection="1">
      <alignment horizontal="center" vertical="center" wrapText="1"/>
    </xf>
    <xf numFmtId="0" fontId="6" fillId="0" borderId="8" xfId="31" applyFont="1" applyFill="1" applyBorder="1" applyAlignment="1" applyProtection="1">
      <alignment vertical="center"/>
    </xf>
    <xf numFmtId="0" fontId="4" fillId="0" borderId="3" xfId="31" applyFont="1" applyFill="1" applyBorder="1" applyAlignment="1" applyProtection="1">
      <alignment horizontal="center" vertical="center" wrapText="1"/>
    </xf>
    <xf numFmtId="167" fontId="6" fillId="0" borderId="8" xfId="18" applyNumberFormat="1" applyFont="1" applyFill="1" applyBorder="1" applyAlignment="1">
      <alignment horizontal="center" vertical="center"/>
    </xf>
    <xf numFmtId="166" fontId="6" fillId="0" borderId="8" xfId="30" applyNumberFormat="1" applyFont="1" applyFill="1" applyBorder="1" applyAlignment="1">
      <alignment horizontal="center" vertical="center" wrapText="1"/>
    </xf>
    <xf numFmtId="3" fontId="6" fillId="0" borderId="7" xfId="36" applyNumberFormat="1" applyFont="1" applyFill="1" applyBorder="1" applyAlignment="1">
      <alignment horizontal="right" vertical="center"/>
    </xf>
    <xf numFmtId="171" fontId="6" fillId="0" borderId="7" xfId="36" applyNumberFormat="1" applyFont="1" applyFill="1" applyBorder="1" applyAlignment="1">
      <alignment horizontal="right" vertical="center" wrapText="1"/>
    </xf>
    <xf numFmtId="167" fontId="6" fillId="0" borderId="7" xfId="36" applyNumberFormat="1" applyFont="1" applyFill="1" applyBorder="1" applyAlignment="1">
      <alignment horizontal="right" vertical="center"/>
    </xf>
    <xf numFmtId="167" fontId="6" fillId="0" borderId="7" xfId="36" quotePrefix="1" applyNumberFormat="1" applyFont="1" applyFill="1" applyBorder="1" applyAlignment="1">
      <alignment horizontal="right" vertical="center" wrapText="1"/>
    </xf>
    <xf numFmtId="171" fontId="6" fillId="0" borderId="7" xfId="36" applyNumberFormat="1" applyFont="1" applyFill="1" applyBorder="1" applyAlignment="1">
      <alignment vertical="center"/>
    </xf>
    <xf numFmtId="3" fontId="6" fillId="0" borderId="7" xfId="36" applyNumberFormat="1" applyFont="1" applyFill="1" applyBorder="1" applyAlignment="1">
      <alignment horizontal="right" vertical="center" wrapText="1"/>
    </xf>
    <xf numFmtId="3" fontId="4" fillId="0" borderId="7" xfId="36" applyNumberFormat="1" applyFont="1" applyFill="1" applyBorder="1" applyAlignment="1">
      <alignment horizontal="right" vertical="center" wrapText="1"/>
    </xf>
    <xf numFmtId="167" fontId="4" fillId="0" borderId="7" xfId="36" applyNumberFormat="1" applyFont="1" applyFill="1" applyBorder="1" applyAlignment="1">
      <alignment horizontal="right" vertical="center" wrapText="1"/>
    </xf>
    <xf numFmtId="167" fontId="4" fillId="0" borderId="7" xfId="36" applyNumberFormat="1" applyFont="1" applyFill="1" applyBorder="1" applyAlignment="1">
      <alignment horizontal="right" vertical="center"/>
    </xf>
    <xf numFmtId="171" fontId="6" fillId="0" borderId="7" xfId="36" applyNumberFormat="1" applyFont="1" applyFill="1" applyBorder="1" applyAlignment="1">
      <alignment horizontal="center" vertical="center" wrapText="1"/>
    </xf>
    <xf numFmtId="167" fontId="6" fillId="0" borderId="8" xfId="36" applyNumberFormat="1" applyFont="1" applyFill="1" applyBorder="1" applyAlignment="1">
      <alignment horizontal="right" vertical="center" wrapText="1"/>
    </xf>
    <xf numFmtId="167" fontId="6" fillId="0" borderId="8" xfId="36" quotePrefix="1" applyNumberFormat="1" applyFont="1" applyFill="1" applyBorder="1" applyAlignment="1">
      <alignment horizontal="right" vertical="center"/>
    </xf>
    <xf numFmtId="167" fontId="6" fillId="0" borderId="8" xfId="36" applyNumberFormat="1" applyFont="1" applyFill="1" applyBorder="1" applyAlignment="1">
      <alignment horizontal="right" vertical="center"/>
    </xf>
    <xf numFmtId="0" fontId="4" fillId="0" borderId="19" xfId="31" applyFont="1" applyFill="1" applyBorder="1" applyAlignment="1" applyProtection="1">
      <alignment horizontal="center" vertical="center" wrapText="1"/>
    </xf>
    <xf numFmtId="167" fontId="4" fillId="0" borderId="3" xfId="30" applyNumberFormat="1" applyFont="1" applyFill="1" applyBorder="1" applyAlignment="1">
      <alignment horizontal="center" vertical="center" wrapText="1"/>
    </xf>
    <xf numFmtId="167" fontId="25" fillId="0" borderId="3" xfId="30" applyNumberFormat="1" applyFont="1" applyFill="1" applyBorder="1" applyAlignment="1">
      <alignment horizontal="center" vertical="center" wrapText="1"/>
    </xf>
    <xf numFmtId="167" fontId="25" fillId="0" borderId="2" xfId="30" applyNumberFormat="1" applyFont="1" applyFill="1" applyBorder="1" applyAlignment="1">
      <alignment horizontal="center" vertical="center" wrapText="1"/>
    </xf>
    <xf numFmtId="167" fontId="4" fillId="0" borderId="3" xfId="18" applyNumberFormat="1" applyFont="1" applyFill="1" applyBorder="1" applyAlignment="1">
      <alignment horizontal="center" vertical="center" wrapText="1"/>
    </xf>
    <xf numFmtId="0" fontId="8" fillId="0" borderId="0" xfId="14" applyFont="1" applyAlignment="1">
      <alignment horizontal="center" vertical="center"/>
    </xf>
    <xf numFmtId="0" fontId="6" fillId="0" borderId="0" xfId="14" applyFont="1"/>
    <xf numFmtId="0" fontId="30" fillId="0" borderId="0" xfId="14" applyFont="1"/>
    <xf numFmtId="0" fontId="13" fillId="0" borderId="0" xfId="14" applyFont="1" applyAlignment="1">
      <alignment horizontal="center" vertical="center"/>
    </xf>
    <xf numFmtId="0" fontId="13" fillId="0" borderId="0" xfId="14" applyFont="1" applyAlignment="1">
      <alignment vertical="center"/>
    </xf>
    <xf numFmtId="0" fontId="13" fillId="0" borderId="0" xfId="14" applyFont="1" applyAlignment="1">
      <alignment horizontal="center" vertical="center" wrapText="1"/>
    </xf>
    <xf numFmtId="167" fontId="13" fillId="0" borderId="0" xfId="14" applyNumberFormat="1" applyFont="1" applyAlignment="1">
      <alignment vertical="center"/>
    </xf>
    <xf numFmtId="0" fontId="4" fillId="0" borderId="3" xfId="14" applyFont="1" applyBorder="1" applyAlignment="1">
      <alignment horizontal="center" vertical="center" wrapText="1"/>
    </xf>
    <xf numFmtId="0" fontId="4" fillId="0" borderId="10" xfId="14" applyFont="1" applyBorder="1" applyAlignment="1">
      <alignment horizontal="center" vertical="center" wrapText="1"/>
    </xf>
    <xf numFmtId="0" fontId="4" fillId="0" borderId="9" xfId="14" applyFont="1" applyBorder="1" applyAlignment="1">
      <alignment horizontal="center" vertical="center" wrapText="1"/>
    </xf>
    <xf numFmtId="0" fontId="4" fillId="0" borderId="15" xfId="14" applyFont="1" applyBorder="1" applyAlignment="1">
      <alignment horizontal="center" vertical="center" wrapText="1"/>
    </xf>
    <xf numFmtId="0" fontId="4" fillId="0" borderId="3" xfId="14" applyFont="1" applyBorder="1" applyAlignment="1">
      <alignment vertical="center" wrapText="1"/>
    </xf>
    <xf numFmtId="0" fontId="4" fillId="0" borderId="11" xfId="14" applyFont="1" applyBorder="1" applyAlignment="1">
      <alignment horizontal="center" vertical="center" wrapText="1"/>
    </xf>
    <xf numFmtId="0" fontId="4" fillId="0" borderId="12" xfId="14" applyFont="1" applyBorder="1" applyAlignment="1">
      <alignment horizontal="center" vertical="center" wrapText="1"/>
    </xf>
    <xf numFmtId="0" fontId="4" fillId="0" borderId="0" xfId="14" applyFont="1" applyAlignment="1">
      <alignment horizontal="center" vertical="center"/>
    </xf>
    <xf numFmtId="0" fontId="4" fillId="0" borderId="4" xfId="14" applyFont="1" applyBorder="1" applyAlignment="1">
      <alignment horizontal="center" vertical="center" wrapText="1"/>
    </xf>
    <xf numFmtId="0" fontId="4" fillId="0" borderId="14" xfId="14" applyFont="1" applyBorder="1" applyAlignment="1">
      <alignment horizontal="center" vertical="center" wrapText="1"/>
    </xf>
    <xf numFmtId="0" fontId="4" fillId="0" borderId="1" xfId="14" applyFont="1" applyBorder="1" applyAlignment="1">
      <alignment horizontal="center" vertical="center" wrapText="1"/>
    </xf>
    <xf numFmtId="0" fontId="4" fillId="0" borderId="17" xfId="14" applyFont="1" applyBorder="1" applyAlignment="1">
      <alignment horizontal="center" vertical="center" wrapText="1"/>
    </xf>
    <xf numFmtId="0" fontId="4" fillId="0" borderId="11" xfId="14" applyFont="1" applyBorder="1" applyAlignment="1">
      <alignment vertical="center" wrapText="1"/>
    </xf>
    <xf numFmtId="0" fontId="4" fillId="0" borderId="12" xfId="14" applyFont="1" applyBorder="1" applyAlignment="1">
      <alignment vertical="center" wrapText="1"/>
    </xf>
    <xf numFmtId="3" fontId="4" fillId="0" borderId="4" xfId="14" applyNumberFormat="1" applyFont="1" applyBorder="1" applyAlignment="1">
      <alignment horizontal="center" vertical="center" wrapText="1"/>
    </xf>
    <xf numFmtId="0" fontId="25" fillId="0" borderId="3" xfId="14" applyFont="1" applyBorder="1" applyAlignment="1">
      <alignment horizontal="center" vertical="center" wrapText="1"/>
    </xf>
    <xf numFmtId="0" fontId="6" fillId="0" borderId="4" xfId="14" applyFont="1" applyBorder="1" applyAlignment="1">
      <alignment horizontal="center" vertical="center" wrapText="1"/>
    </xf>
    <xf numFmtId="0" fontId="25" fillId="0" borderId="3" xfId="14" applyFont="1" applyBorder="1" applyAlignment="1">
      <alignment vertical="center" wrapText="1"/>
    </xf>
    <xf numFmtId="0" fontId="25" fillId="0" borderId="5" xfId="14" applyFont="1" applyBorder="1" applyAlignment="1">
      <alignment vertical="center" wrapText="1"/>
    </xf>
    <xf numFmtId="3" fontId="6" fillId="0" borderId="4" xfId="14" applyNumberFormat="1" applyFont="1" applyBorder="1" applyAlignment="1">
      <alignment horizontal="center" vertical="center" wrapText="1"/>
    </xf>
    <xf numFmtId="0" fontId="58" fillId="0" borderId="0" xfId="14" applyFont="1"/>
    <xf numFmtId="0" fontId="4" fillId="0" borderId="6" xfId="14" applyFont="1" applyBorder="1" applyAlignment="1">
      <alignment horizontal="center" vertical="center" wrapText="1"/>
    </xf>
    <xf numFmtId="167" fontId="4" fillId="0" borderId="6" xfId="14" applyNumberFormat="1" applyFont="1" applyBorder="1" applyAlignment="1">
      <alignment horizontal="center" vertical="center" wrapText="1"/>
    </xf>
    <xf numFmtId="167" fontId="4" fillId="0" borderId="0" xfId="14" applyNumberFormat="1" applyFont="1"/>
    <xf numFmtId="0" fontId="4" fillId="0" borderId="0" xfId="14" applyFont="1"/>
    <xf numFmtId="0" fontId="4" fillId="0" borderId="7" xfId="14" applyFont="1" applyBorder="1" applyAlignment="1">
      <alignment horizontal="center" vertical="center" wrapText="1"/>
    </xf>
    <xf numFmtId="167" fontId="4" fillId="0" borderId="7" xfId="14" applyNumberFormat="1" applyFont="1" applyBorder="1" applyAlignment="1">
      <alignment horizontal="center" vertical="center" wrapText="1"/>
    </xf>
    <xf numFmtId="0" fontId="6" fillId="0" borderId="7" xfId="14" applyFont="1" applyBorder="1" applyAlignment="1">
      <alignment horizontal="center" vertical="center" wrapText="1"/>
    </xf>
    <xf numFmtId="0" fontId="6" fillId="0" borderId="7" xfId="14" applyFont="1" applyBorder="1" applyAlignment="1">
      <alignment vertical="center" wrapText="1"/>
    </xf>
    <xf numFmtId="0" fontId="6" fillId="0" borderId="7" xfId="14" applyFont="1" applyBorder="1" applyAlignment="1">
      <alignment horizontal="center" vertical="center"/>
    </xf>
    <xf numFmtId="1" fontId="6" fillId="0" borderId="7" xfId="14" applyNumberFormat="1" applyFont="1" applyBorder="1" applyAlignment="1">
      <alignment horizontal="center" vertical="center" wrapText="1"/>
    </xf>
    <xf numFmtId="0" fontId="6" fillId="0" borderId="7" xfId="14" applyFont="1" applyBorder="1" applyAlignment="1">
      <alignment vertical="center"/>
    </xf>
    <xf numFmtId="43" fontId="6" fillId="0" borderId="7" xfId="23" applyFont="1" applyFill="1" applyBorder="1" applyAlignment="1">
      <alignment horizontal="center" vertical="center" wrapText="1"/>
    </xf>
    <xf numFmtId="0" fontId="6" fillId="0" borderId="7" xfId="14" applyFont="1" applyBorder="1"/>
    <xf numFmtId="167" fontId="6" fillId="0" borderId="0" xfId="14" applyNumberFormat="1" applyFont="1"/>
    <xf numFmtId="1" fontId="6" fillId="0" borderId="7" xfId="37" applyNumberFormat="1" applyFont="1" applyBorder="1" applyAlignment="1">
      <alignment horizontal="center" vertical="center" wrapText="1"/>
    </xf>
    <xf numFmtId="3" fontId="4" fillId="0" borderId="7" xfId="14" applyNumberFormat="1" applyFont="1" applyBorder="1" applyAlignment="1">
      <alignment horizontal="right" vertical="center" wrapText="1"/>
    </xf>
    <xf numFmtId="0" fontId="4" fillId="0" borderId="7" xfId="14" quotePrefix="1" applyFont="1" applyBorder="1" applyAlignment="1">
      <alignment horizontal="center" vertical="center" wrapText="1"/>
    </xf>
    <xf numFmtId="0" fontId="6" fillId="0" borderId="7" xfId="6" applyFont="1" applyBorder="1" applyAlignment="1">
      <alignment horizontal="center" vertical="center" wrapText="1"/>
    </xf>
    <xf numFmtId="3" fontId="6" fillId="0" borderId="7" xfId="37" applyNumberFormat="1" applyFont="1" applyBorder="1" applyAlignment="1">
      <alignment horizontal="center" vertical="center" wrapText="1"/>
    </xf>
    <xf numFmtId="3" fontId="6" fillId="0" borderId="7" xfId="14" applyNumberFormat="1" applyFont="1" applyBorder="1" applyAlignment="1">
      <alignment horizontal="center" vertical="center"/>
    </xf>
    <xf numFmtId="3" fontId="6" fillId="0" borderId="7" xfId="14" applyNumberFormat="1" applyFont="1" applyBorder="1" applyAlignment="1">
      <alignment horizontal="center" vertical="center" wrapText="1"/>
    </xf>
    <xf numFmtId="0" fontId="6" fillId="0" borderId="7" xfId="14" applyFont="1" applyBorder="1" applyAlignment="1">
      <alignment horizontal="left" vertical="center" wrapText="1"/>
    </xf>
    <xf numFmtId="2" fontId="6" fillId="0" borderId="7" xfId="14" applyNumberFormat="1" applyFont="1" applyBorder="1" applyAlignment="1">
      <alignment horizontal="center" vertical="center" wrapText="1"/>
    </xf>
    <xf numFmtId="49" fontId="6" fillId="0" borderId="7" xfId="14" applyNumberFormat="1" applyFont="1" applyBorder="1" applyAlignment="1">
      <alignment horizontal="center" vertical="center" wrapText="1"/>
    </xf>
    <xf numFmtId="0" fontId="6" fillId="0" borderId="7" xfId="14" quotePrefix="1" applyFont="1" applyBorder="1" applyAlignment="1">
      <alignment horizontal="center" vertical="center" wrapText="1"/>
    </xf>
    <xf numFmtId="179" fontId="6" fillId="0" borderId="7" xfId="14" applyNumberFormat="1" applyFont="1" applyBorder="1" applyAlignment="1">
      <alignment vertical="center"/>
    </xf>
    <xf numFmtId="3" fontId="6" fillId="0" borderId="7" xfId="14" applyNumberFormat="1" applyFont="1" applyBorder="1" applyAlignment="1">
      <alignment vertical="center" wrapText="1"/>
    </xf>
    <xf numFmtId="0" fontId="6" fillId="0" borderId="7" xfId="6" quotePrefix="1" applyFont="1" applyBorder="1" applyAlignment="1">
      <alignment horizontal="center" vertical="center"/>
    </xf>
    <xf numFmtId="49" fontId="6" fillId="0" borderId="7" xfId="14" applyNumberFormat="1" applyFont="1" applyBorder="1" applyAlignment="1">
      <alignment horizontal="left" vertical="center" wrapText="1"/>
    </xf>
    <xf numFmtId="167" fontId="30" fillId="0" borderId="7" xfId="23" applyNumberFormat="1" applyFont="1" applyFill="1" applyBorder="1" applyAlignment="1">
      <alignment horizontal="center" vertical="center" wrapText="1"/>
    </xf>
    <xf numFmtId="2" fontId="30" fillId="0" borderId="7" xfId="14" applyNumberFormat="1" applyFont="1" applyBorder="1" applyAlignment="1">
      <alignment horizontal="center" vertical="center" wrapText="1"/>
    </xf>
    <xf numFmtId="49" fontId="30" fillId="0" borderId="7" xfId="14" applyNumberFormat="1" applyFont="1" applyBorder="1" applyAlignment="1">
      <alignment horizontal="center" vertical="center" wrapText="1"/>
    </xf>
    <xf numFmtId="167" fontId="6" fillId="0" borderId="7" xfId="23" applyNumberFormat="1" applyFont="1" applyFill="1" applyBorder="1" applyAlignment="1">
      <alignment horizontal="left" vertical="center" wrapText="1"/>
    </xf>
    <xf numFmtId="171" fontId="6" fillId="0" borderId="7" xfId="23" applyNumberFormat="1" applyFont="1" applyFill="1" applyBorder="1" applyAlignment="1">
      <alignment horizontal="left" vertical="center" wrapText="1"/>
    </xf>
    <xf numFmtId="3" fontId="6" fillId="0" borderId="7" xfId="14" applyNumberFormat="1" applyFont="1" applyBorder="1" applyAlignment="1">
      <alignment horizontal="right" vertical="center"/>
    </xf>
    <xf numFmtId="0" fontId="6" fillId="0" borderId="7" xfId="14" applyFont="1" applyBorder="1" applyAlignment="1">
      <alignment horizontal="justify" vertical="center"/>
    </xf>
    <xf numFmtId="173" fontId="6" fillId="0" borderId="7" xfId="14" applyNumberFormat="1" applyFont="1" applyBorder="1" applyAlignment="1">
      <alignment horizontal="center" vertical="center" wrapText="1"/>
    </xf>
    <xf numFmtId="167" fontId="6" fillId="0" borderId="7" xfId="14" applyNumberFormat="1" applyFont="1" applyBorder="1" applyAlignment="1">
      <alignment horizontal="right" vertical="center" wrapText="1"/>
    </xf>
    <xf numFmtId="3" fontId="6" fillId="0" borderId="7" xfId="14" applyNumberFormat="1" applyFont="1" applyBorder="1"/>
    <xf numFmtId="0" fontId="6" fillId="0" borderId="7" xfId="14" applyFont="1" applyBorder="1" applyAlignment="1">
      <alignment horizontal="right" vertical="center" wrapText="1"/>
    </xf>
    <xf numFmtId="3" fontId="4" fillId="0" borderId="7" xfId="14" applyNumberFormat="1" applyFont="1" applyBorder="1" applyAlignment="1">
      <alignment horizontal="center" vertical="center" wrapText="1"/>
    </xf>
    <xf numFmtId="2" fontId="6" fillId="0" borderId="7" xfId="14" applyNumberFormat="1" applyFont="1" applyBorder="1" applyAlignment="1" applyProtection="1">
      <alignment horizontal="center" vertical="center" wrapText="1"/>
      <protection locked="0"/>
    </xf>
    <xf numFmtId="0" fontId="4" fillId="0" borderId="7" xfId="14" applyFont="1" applyBorder="1" applyAlignment="1">
      <alignment horizontal="left" vertical="center" wrapText="1"/>
    </xf>
    <xf numFmtId="0" fontId="4" fillId="0" borderId="0" xfId="14" applyFont="1" applyAlignment="1">
      <alignment vertical="top"/>
    </xf>
    <xf numFmtId="167" fontId="4" fillId="0" borderId="7" xfId="23" applyNumberFormat="1" applyFont="1" applyFill="1" applyBorder="1" applyAlignment="1">
      <alignment horizontal="center" vertical="center" wrapText="1"/>
    </xf>
    <xf numFmtId="166" fontId="6" fillId="0" borderId="7" xfId="25" applyNumberFormat="1" applyFont="1" applyFill="1" applyBorder="1" applyAlignment="1">
      <alignment horizontal="right" vertical="center" wrapText="1"/>
    </xf>
    <xf numFmtId="2" fontId="6" fillId="0" borderId="7" xfId="26" applyNumberFormat="1" applyFont="1" applyFill="1" applyBorder="1" applyAlignment="1">
      <alignment horizontal="justify" vertical="center" wrapText="1"/>
    </xf>
    <xf numFmtId="3" fontId="6" fillId="0" borderId="7" xfId="36" applyNumberFormat="1" applyFont="1" applyFill="1" applyBorder="1" applyAlignment="1">
      <alignment vertical="center" wrapText="1"/>
    </xf>
    <xf numFmtId="3" fontId="6" fillId="0" borderId="7" xfId="14" applyNumberFormat="1" applyFont="1" applyBorder="1" applyAlignment="1">
      <alignment horizontal="right" vertical="center" wrapText="1"/>
    </xf>
    <xf numFmtId="167" fontId="6" fillId="0" borderId="7" xfId="25" applyNumberFormat="1" applyFont="1" applyFill="1" applyBorder="1" applyAlignment="1">
      <alignment horizontal="right" vertical="center" wrapText="1"/>
    </xf>
    <xf numFmtId="167" fontId="6" fillId="0" borderId="7" xfId="23" applyNumberFormat="1" applyFont="1" applyFill="1" applyBorder="1" applyAlignment="1">
      <alignment horizontal="left" vertical="center"/>
    </xf>
    <xf numFmtId="2" fontId="6" fillId="0" borderId="7" xfId="14" applyNumberFormat="1" applyFont="1" applyBorder="1" applyAlignment="1">
      <alignment horizontal="left" vertical="center" wrapText="1"/>
    </xf>
    <xf numFmtId="1" fontId="6" fillId="0" borderId="7" xfId="14" applyNumberFormat="1" applyFont="1" applyBorder="1" applyAlignment="1">
      <alignment horizontal="right" vertical="center" wrapText="1"/>
    </xf>
    <xf numFmtId="169" fontId="4" fillId="0" borderId="7" xfId="14" applyNumberFormat="1" applyFont="1" applyBorder="1" applyAlignment="1">
      <alignment horizontal="center" vertical="center" wrapText="1"/>
    </xf>
    <xf numFmtId="0" fontId="6" fillId="0" borderId="0" xfId="14" applyFont="1" applyAlignment="1">
      <alignment horizontal="center" vertical="center"/>
    </xf>
    <xf numFmtId="0" fontId="6" fillId="0" borderId="0" xfId="14" applyFont="1" applyAlignment="1">
      <alignment vertical="center"/>
    </xf>
    <xf numFmtId="0" fontId="6" fillId="0" borderId="0" xfId="14" applyFont="1" applyAlignment="1">
      <alignment horizontal="center" vertical="center" wrapText="1"/>
    </xf>
    <xf numFmtId="0" fontId="6" fillId="0" borderId="0" xfId="14" applyFont="1" applyAlignment="1">
      <alignment vertical="center" wrapText="1"/>
    </xf>
    <xf numFmtId="167" fontId="6" fillId="0" borderId="0" xfId="14" applyNumberFormat="1" applyFont="1" applyAlignment="1">
      <alignment vertical="center" wrapText="1"/>
    </xf>
    <xf numFmtId="3" fontId="6" fillId="0" borderId="0" xfId="14" applyNumberFormat="1" applyFont="1"/>
    <xf numFmtId="0" fontId="25" fillId="0" borderId="2" xfId="14" applyFont="1" applyBorder="1" applyAlignment="1">
      <alignment vertical="center" wrapText="1"/>
    </xf>
    <xf numFmtId="0" fontId="25" fillId="0" borderId="4" xfId="14" applyFont="1" applyBorder="1" applyAlignment="1">
      <alignment vertical="center" wrapText="1"/>
    </xf>
    <xf numFmtId="0" fontId="71" fillId="0" borderId="0" xfId="14" applyFont="1"/>
    <xf numFmtId="49" fontId="4" fillId="0" borderId="7" xfId="31" applyNumberFormat="1" applyFont="1" applyFill="1" applyBorder="1" applyAlignment="1" applyProtection="1">
      <alignment horizontal="center" vertical="center" wrapText="1"/>
    </xf>
    <xf numFmtId="173" fontId="4" fillId="0" borderId="7" xfId="31" applyNumberFormat="1" applyFont="1" applyFill="1" applyBorder="1" applyAlignment="1" applyProtection="1">
      <alignment horizontal="center" vertical="center" wrapText="1"/>
    </xf>
    <xf numFmtId="3" fontId="4" fillId="0" borderId="7" xfId="31" applyNumberFormat="1" applyFont="1" applyFill="1" applyBorder="1" applyAlignment="1" applyProtection="1">
      <alignment horizontal="right" vertical="center" wrapText="1"/>
    </xf>
    <xf numFmtId="169" fontId="4" fillId="0" borderId="7" xfId="18" applyNumberFormat="1" applyFont="1" applyFill="1" applyBorder="1" applyAlignment="1" applyProtection="1">
      <alignment horizontal="right" vertical="center" wrapText="1"/>
    </xf>
    <xf numFmtId="1" fontId="6" fillId="0" borderId="7" xfId="37" applyNumberFormat="1" applyFont="1" applyBorder="1" applyAlignment="1">
      <alignment horizontal="left" vertical="center" wrapText="1"/>
    </xf>
    <xf numFmtId="0" fontId="4" fillId="0" borderId="7" xfId="14" applyFont="1" applyBorder="1" applyAlignment="1">
      <alignment wrapText="1"/>
    </xf>
    <xf numFmtId="3" fontId="4" fillId="0" borderId="7" xfId="14" applyNumberFormat="1" applyFont="1" applyBorder="1" applyAlignment="1">
      <alignment wrapText="1"/>
    </xf>
    <xf numFmtId="167" fontId="4" fillId="0" borderId="7" xfId="18" applyNumberFormat="1" applyFont="1" applyFill="1" applyBorder="1" applyAlignment="1">
      <alignment wrapText="1"/>
    </xf>
    <xf numFmtId="0" fontId="4" fillId="0" borderId="7" xfId="14" applyFont="1" applyBorder="1" applyAlignment="1">
      <alignment vertical="center" wrapText="1"/>
    </xf>
    <xf numFmtId="1" fontId="4" fillId="0" borderId="7" xfId="37" applyNumberFormat="1" applyFont="1" applyBorder="1" applyAlignment="1">
      <alignment horizontal="center" vertical="center" wrapText="1"/>
    </xf>
    <xf numFmtId="0" fontId="6" fillId="0" borderId="7" xfId="14" applyFont="1" applyBorder="1" applyAlignment="1">
      <alignment wrapText="1"/>
    </xf>
    <xf numFmtId="0" fontId="4" fillId="0" borderId="7" xfId="4" quotePrefix="1" applyFont="1" applyBorder="1" applyAlignment="1">
      <alignment horizontal="center" vertical="center" wrapText="1"/>
    </xf>
    <xf numFmtId="0" fontId="4" fillId="0" borderId="7" xfId="4" applyFont="1" applyBorder="1" applyAlignment="1">
      <alignment horizontal="left" vertical="center" wrapText="1"/>
    </xf>
    <xf numFmtId="0" fontId="6" fillId="0" borderId="7" xfId="39" applyFont="1" applyBorder="1" applyAlignment="1">
      <alignment horizontal="left" vertical="center" wrapText="1"/>
    </xf>
    <xf numFmtId="3" fontId="4" fillId="0" borderId="7" xfId="14" applyNumberFormat="1" applyFont="1" applyBorder="1" applyAlignment="1">
      <alignment vertical="center" wrapText="1"/>
    </xf>
    <xf numFmtId="49" fontId="6" fillId="0" borderId="7" xfId="14" applyNumberFormat="1" applyFont="1" applyBorder="1" applyAlignment="1">
      <alignment horizontal="center" vertical="center"/>
    </xf>
    <xf numFmtId="1" fontId="6" fillId="0" borderId="7" xfId="37" applyNumberFormat="1" applyFont="1" applyBorder="1" applyAlignment="1">
      <alignment vertical="center" wrapText="1"/>
    </xf>
    <xf numFmtId="0" fontId="6" fillId="0" borderId="7" xfId="40" applyFont="1" applyBorder="1" applyAlignment="1">
      <alignment horizontal="center" vertical="center" wrapText="1"/>
    </xf>
    <xf numFmtId="0" fontId="4" fillId="0" borderId="7" xfId="4" applyFont="1" applyBorder="1" applyAlignment="1">
      <alignment horizontal="left" vertical="top" wrapText="1"/>
    </xf>
    <xf numFmtId="167" fontId="4" fillId="0" borderId="7" xfId="31" applyNumberFormat="1" applyFont="1" applyFill="1" applyBorder="1" applyAlignment="1" applyProtection="1">
      <alignment horizontal="center" vertical="center" wrapText="1"/>
    </xf>
    <xf numFmtId="0" fontId="6" fillId="0" borderId="7" xfId="14" applyFont="1" applyBorder="1" applyAlignment="1" applyProtection="1">
      <alignment vertical="center" wrapText="1"/>
      <protection locked="0"/>
    </xf>
    <xf numFmtId="0" fontId="6" fillId="0" borderId="7" xfId="14" applyFont="1" applyBorder="1" applyAlignment="1" applyProtection="1">
      <alignment horizontal="center" vertical="center" wrapText="1"/>
      <protection locked="0"/>
    </xf>
    <xf numFmtId="0" fontId="34" fillId="0" borderId="0" xfId="14" applyFont="1"/>
    <xf numFmtId="0" fontId="34" fillId="0" borderId="0" xfId="14" applyFont="1" applyAlignment="1">
      <alignment horizontal="center"/>
    </xf>
    <xf numFmtId="0" fontId="4" fillId="0" borderId="0" xfId="14" applyFont="1" applyAlignment="1">
      <alignment vertical="center"/>
    </xf>
    <xf numFmtId="0" fontId="4" fillId="0" borderId="13" xfId="14" applyFont="1" applyBorder="1" applyAlignment="1">
      <alignment horizontal="center" vertical="center" wrapText="1"/>
    </xf>
    <xf numFmtId="0" fontId="4" fillId="0" borderId="13" xfId="14" applyFont="1" applyBorder="1" applyAlignment="1">
      <alignment wrapText="1"/>
    </xf>
    <xf numFmtId="3" fontId="4" fillId="0" borderId="7" xfId="14" applyNumberFormat="1" applyFont="1" applyBorder="1" applyAlignment="1">
      <alignment vertical="center"/>
    </xf>
    <xf numFmtId="167" fontId="4" fillId="0" borderId="7" xfId="30" applyNumberFormat="1" applyFont="1" applyFill="1" applyBorder="1" applyAlignment="1">
      <alignment horizontal="center" vertical="top" wrapText="1"/>
    </xf>
    <xf numFmtId="49" fontId="4" fillId="0" borderId="7" xfId="30" applyNumberFormat="1" applyFont="1" applyFill="1" applyBorder="1" applyAlignment="1">
      <alignment horizontal="center" vertical="top" wrapText="1"/>
    </xf>
    <xf numFmtId="167" fontId="4" fillId="0" borderId="7" xfId="33" applyNumberFormat="1" applyFont="1" applyFill="1" applyBorder="1" applyAlignment="1">
      <alignment vertical="center"/>
    </xf>
    <xf numFmtId="169" fontId="4" fillId="0" borderId="7" xfId="18" applyNumberFormat="1" applyFont="1" applyFill="1" applyBorder="1" applyAlignment="1">
      <alignment horizontal="center" vertical="center" wrapText="1"/>
    </xf>
    <xf numFmtId="3" fontId="6" fillId="0" borderId="8" xfId="35" applyNumberFormat="1" applyFont="1" applyBorder="1" applyAlignment="1">
      <alignment horizontal="left" vertical="center" wrapText="1"/>
    </xf>
    <xf numFmtId="0" fontId="6" fillId="0" borderId="0" xfId="14" applyFont="1" applyAlignment="1">
      <alignment wrapText="1"/>
    </xf>
    <xf numFmtId="0" fontId="8" fillId="0" borderId="0" xfId="0" applyFont="1" applyAlignment="1">
      <alignment horizontal="center" vertical="center"/>
    </xf>
    <xf numFmtId="0" fontId="13" fillId="0" borderId="0" xfId="0" applyFont="1"/>
    <xf numFmtId="0" fontId="8" fillId="0" borderId="0" xfId="0" applyFont="1" applyAlignment="1">
      <alignment horizontal="center" vertical="center" wrapText="1"/>
    </xf>
    <xf numFmtId="0" fontId="5" fillId="0" borderId="0" xfId="0" applyFont="1"/>
    <xf numFmtId="0" fontId="7" fillId="0" borderId="0" xfId="0" applyFont="1" applyAlignment="1">
      <alignment horizontal="center" vertical="center"/>
    </xf>
    <xf numFmtId="0" fontId="7" fillId="0" borderId="0" xfId="0" applyFont="1" applyAlignment="1">
      <alignment horizontal="left" vertical="center"/>
    </xf>
    <xf numFmtId="0" fontId="7" fillId="0" borderId="0" xfId="0" applyFont="1" applyAlignment="1">
      <alignment vertical="center"/>
    </xf>
    <xf numFmtId="0" fontId="7" fillId="0" borderId="0" xfId="0" applyFont="1" applyAlignment="1">
      <alignment vertical="center" wrapText="1"/>
    </xf>
    <xf numFmtId="166" fontId="7" fillId="0" borderId="0" xfId="0" applyNumberFormat="1" applyFont="1" applyAlignment="1">
      <alignment vertical="center" wrapText="1"/>
    </xf>
    <xf numFmtId="0" fontId="7" fillId="0" borderId="0" xfId="0" applyFont="1"/>
    <xf numFmtId="0" fontId="4" fillId="0" borderId="3" xfId="0" applyFont="1" applyBorder="1" applyAlignment="1">
      <alignment horizontal="center" vertical="center" wrapText="1"/>
    </xf>
    <xf numFmtId="0" fontId="15" fillId="0" borderId="0" xfId="0" applyFont="1" applyAlignment="1">
      <alignment horizontal="center" vertical="center"/>
    </xf>
    <xf numFmtId="0" fontId="25" fillId="0" borderId="3"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3" xfId="0" applyFont="1" applyBorder="1" applyAlignment="1">
      <alignment horizontal="center" vertical="center"/>
    </xf>
    <xf numFmtId="0" fontId="66" fillId="0" borderId="0" xfId="0" applyFont="1" applyAlignment="1">
      <alignment horizontal="center"/>
    </xf>
    <xf numFmtId="0" fontId="66" fillId="0" borderId="3" xfId="0" applyFont="1" applyBorder="1" applyAlignment="1">
      <alignment horizontal="center"/>
    </xf>
    <xf numFmtId="0" fontId="4" fillId="0" borderId="16" xfId="0" applyFont="1" applyBorder="1" applyAlignment="1">
      <alignment horizontal="center" vertical="center" wrapText="1"/>
    </xf>
    <xf numFmtId="0" fontId="50" fillId="0" borderId="0" xfId="0" applyFont="1" applyAlignment="1">
      <alignment vertical="center"/>
    </xf>
    <xf numFmtId="0" fontId="50" fillId="0" borderId="3" xfId="0" applyFont="1" applyBorder="1" applyAlignment="1">
      <alignment vertical="center"/>
    </xf>
    <xf numFmtId="0" fontId="15" fillId="0" borderId="0" xfId="0" applyFont="1" applyAlignment="1">
      <alignment vertical="center"/>
    </xf>
    <xf numFmtId="0" fontId="4" fillId="0" borderId="7" xfId="0" applyFont="1" applyBorder="1" applyAlignment="1">
      <alignment horizontal="center" vertical="center" wrapText="1"/>
    </xf>
    <xf numFmtId="0" fontId="4" fillId="0" borderId="7" xfId="0" applyFont="1" applyBorder="1" applyAlignment="1">
      <alignment horizontal="left" vertical="center" wrapText="1"/>
    </xf>
    <xf numFmtId="0" fontId="6" fillId="0" borderId="7" xfId="0" quotePrefix="1" applyFont="1" applyBorder="1" applyAlignment="1">
      <alignment horizontal="center" vertical="center" wrapText="1"/>
    </xf>
    <xf numFmtId="0" fontId="6" fillId="0" borderId="7" xfId="0" applyFont="1" applyBorder="1" applyAlignment="1">
      <alignment horizontal="center" vertical="center" wrapText="1"/>
    </xf>
    <xf numFmtId="0" fontId="4" fillId="0" borderId="7" xfId="7" applyFont="1" applyBorder="1" applyAlignment="1">
      <alignment horizontal="center" vertical="center"/>
    </xf>
    <xf numFmtId="0" fontId="4" fillId="0" borderId="7" xfId="0" quotePrefix="1" applyFont="1" applyBorder="1" applyAlignment="1">
      <alignment horizontal="center" vertical="center" wrapText="1"/>
    </xf>
    <xf numFmtId="0" fontId="4" fillId="0" borderId="7" xfId="7" applyFont="1" applyBorder="1" applyAlignment="1">
      <alignment horizontal="left" vertical="center" wrapText="1"/>
    </xf>
    <xf numFmtId="0" fontId="6" fillId="0" borderId="7" xfId="0" applyFont="1" applyBorder="1" applyAlignment="1">
      <alignment horizontal="left" vertical="center" wrapText="1"/>
    </xf>
    <xf numFmtId="0" fontId="6" fillId="0" borderId="7" xfId="0" applyFont="1" applyBorder="1" applyAlignment="1">
      <alignment horizontal="center" vertical="center"/>
    </xf>
    <xf numFmtId="3" fontId="6" fillId="0" borderId="7" xfId="0" applyNumberFormat="1" applyFont="1" applyBorder="1" applyAlignment="1">
      <alignment horizontal="center" vertical="center" wrapText="1"/>
    </xf>
    <xf numFmtId="0" fontId="4" fillId="0" borderId="7" xfId="0" quotePrefix="1" applyFont="1" applyBorder="1" applyAlignment="1">
      <alignment horizontal="left" vertical="center" wrapText="1"/>
    </xf>
    <xf numFmtId="3" fontId="4" fillId="0" borderId="7" xfId="0" applyNumberFormat="1" applyFont="1" applyBorder="1" applyAlignment="1">
      <alignment horizontal="center" vertical="center" wrapText="1"/>
    </xf>
    <xf numFmtId="0" fontId="6" fillId="0" borderId="8" xfId="0" applyFont="1" applyBorder="1" applyAlignment="1">
      <alignment horizontal="center" vertical="center" wrapText="1"/>
    </xf>
    <xf numFmtId="0" fontId="25" fillId="0" borderId="0" xfId="0" applyFont="1" applyAlignment="1">
      <alignment vertical="center"/>
    </xf>
    <xf numFmtId="0" fontId="43" fillId="0" borderId="3" xfId="14" applyFont="1" applyBorder="1" applyAlignment="1">
      <alignment horizontal="center" vertical="center" wrapText="1"/>
    </xf>
    <xf numFmtId="0" fontId="43" fillId="0" borderId="5" xfId="14" applyFont="1" applyBorder="1" applyAlignment="1">
      <alignment horizontal="center" vertical="center" wrapText="1"/>
    </xf>
    <xf numFmtId="0" fontId="43" fillId="0" borderId="3" xfId="14" applyFont="1" applyBorder="1" applyAlignment="1">
      <alignment vertical="center" wrapText="1"/>
    </xf>
    <xf numFmtId="0" fontId="6" fillId="0" borderId="7" xfId="6" applyFont="1" applyBorder="1" applyAlignment="1">
      <alignment vertical="center" wrapText="1"/>
    </xf>
    <xf numFmtId="3" fontId="6" fillId="0" borderId="7" xfId="14" quotePrefix="1" applyNumberFormat="1" applyFont="1" applyBorder="1" applyAlignment="1">
      <alignment horizontal="center" vertical="center"/>
    </xf>
    <xf numFmtId="0" fontId="4" fillId="0" borderId="7" xfId="14" applyFont="1" applyBorder="1" applyAlignment="1">
      <alignment horizontal="center" vertical="center"/>
    </xf>
    <xf numFmtId="0" fontId="4" fillId="0" borderId="7" xfId="14" applyFont="1" applyBorder="1" applyAlignment="1">
      <alignment vertical="center"/>
    </xf>
    <xf numFmtId="0" fontId="4" fillId="0" borderId="7" xfId="14" quotePrefix="1" applyFont="1" applyBorder="1" applyAlignment="1">
      <alignment horizontal="center" vertical="center"/>
    </xf>
    <xf numFmtId="166" fontId="4" fillId="0" borderId="7" xfId="14" applyNumberFormat="1" applyFont="1" applyBorder="1" applyAlignment="1">
      <alignment vertical="center"/>
    </xf>
    <xf numFmtId="3" fontId="4" fillId="0" borderId="7" xfId="14" applyNumberFormat="1" applyFont="1" applyBorder="1" applyAlignment="1">
      <alignment horizontal="center" vertical="center"/>
    </xf>
    <xf numFmtId="0" fontId="6" fillId="0" borderId="7" xfId="6" quotePrefix="1" applyFont="1" applyBorder="1" applyAlignment="1">
      <alignment vertical="center" wrapText="1"/>
    </xf>
    <xf numFmtId="0" fontId="4" fillId="0" borderId="7" xfId="6" applyFont="1" applyBorder="1" applyAlignment="1">
      <alignment horizontal="center" vertical="center" wrapText="1"/>
    </xf>
    <xf numFmtId="0" fontId="4" fillId="0" borderId="7" xfId="4" applyFont="1" applyBorder="1" applyAlignment="1">
      <alignment vertical="center" wrapText="1"/>
    </xf>
    <xf numFmtId="179" fontId="4" fillId="0" borderId="7" xfId="31" applyNumberFormat="1" applyFont="1" applyFill="1" applyBorder="1" applyAlignment="1" applyProtection="1">
      <alignment horizontal="right" vertical="center" wrapText="1"/>
    </xf>
    <xf numFmtId="3" fontId="65" fillId="0" borderId="7" xfId="31" applyNumberFormat="1" applyFont="1" applyFill="1" applyBorder="1" applyAlignment="1" applyProtection="1">
      <alignment horizontal="center" vertical="center" wrapText="1"/>
    </xf>
    <xf numFmtId="3" fontId="6" fillId="0" borderId="8" xfId="14" quotePrefix="1" applyNumberFormat="1" applyFont="1" applyBorder="1" applyAlignment="1">
      <alignment horizontal="center" vertical="center"/>
    </xf>
    <xf numFmtId="0" fontId="6" fillId="0" borderId="8" xfId="6" applyFont="1" applyBorder="1" applyAlignment="1">
      <alignment vertical="center" wrapText="1"/>
    </xf>
    <xf numFmtId="0" fontId="6" fillId="0" borderId="8" xfId="14" applyFont="1" applyBorder="1" applyAlignment="1">
      <alignment horizontal="center" vertical="center" wrapText="1"/>
    </xf>
    <xf numFmtId="0" fontId="6" fillId="0" borderId="8" xfId="6" applyFont="1" applyBorder="1" applyAlignment="1">
      <alignment horizontal="center" vertical="center" wrapText="1"/>
    </xf>
    <xf numFmtId="0" fontId="6" fillId="0" borderId="8" xfId="14" applyFont="1" applyBorder="1" applyAlignment="1">
      <alignment horizontal="center" vertical="center"/>
    </xf>
    <xf numFmtId="3" fontId="6" fillId="0" borderId="8" xfId="14" applyNumberFormat="1" applyFont="1" applyBorder="1" applyAlignment="1">
      <alignment horizontal="center" vertical="center"/>
    </xf>
    <xf numFmtId="0" fontId="72" fillId="0" borderId="0" xfId="14" applyFont="1" applyAlignment="1">
      <alignment horizontal="center" vertical="center"/>
    </xf>
    <xf numFmtId="0" fontId="72" fillId="0" borderId="0" xfId="14" applyFont="1"/>
    <xf numFmtId="0" fontId="72" fillId="0" borderId="0" xfId="14" applyFont="1" applyAlignment="1">
      <alignment wrapText="1"/>
    </xf>
    <xf numFmtId="2" fontId="72" fillId="0" borderId="0" xfId="14" applyNumberFormat="1" applyFont="1"/>
    <xf numFmtId="169" fontId="72" fillId="0" borderId="0" xfId="18" applyNumberFormat="1" applyFont="1" applyFill="1"/>
    <xf numFmtId="0" fontId="5" fillId="0" borderId="0" xfId="0" applyFont="1" applyAlignment="1">
      <alignment vertical="center" wrapText="1"/>
    </xf>
    <xf numFmtId="167" fontId="13" fillId="0" borderId="0" xfId="0" applyNumberFormat="1" applyFont="1" applyAlignment="1">
      <alignment vertical="center" wrapText="1"/>
    </xf>
    <xf numFmtId="0" fontId="4" fillId="0" borderId="3" xfId="0" applyFont="1" applyBorder="1" applyAlignment="1">
      <alignment vertical="center" wrapText="1"/>
    </xf>
    <xf numFmtId="0" fontId="43" fillId="0" borderId="3" xfId="0" applyFont="1" applyBorder="1" applyAlignment="1">
      <alignment horizontal="center" vertical="center" wrapText="1"/>
    </xf>
    <xf numFmtId="0" fontId="67" fillId="0" borderId="0" xfId="0" applyFont="1" applyAlignment="1">
      <alignment vertical="center" wrapText="1"/>
    </xf>
    <xf numFmtId="3" fontId="4" fillId="0" borderId="6" xfId="0" applyNumberFormat="1" applyFont="1" applyBorder="1" applyAlignment="1">
      <alignment horizontal="center" vertical="center" wrapText="1"/>
    </xf>
    <xf numFmtId="0" fontId="8" fillId="0" borderId="0" xfId="0" applyFont="1" applyAlignment="1">
      <alignment vertical="center" wrapText="1"/>
    </xf>
    <xf numFmtId="167" fontId="4" fillId="0" borderId="3" xfId="0" applyNumberFormat="1" applyFont="1" applyBorder="1" applyAlignment="1">
      <alignment horizontal="center" vertical="center" wrapText="1"/>
    </xf>
    <xf numFmtId="0" fontId="6" fillId="0" borderId="7" xfId="0" applyFont="1" applyBorder="1" applyAlignment="1">
      <alignment vertical="center" wrapText="1"/>
    </xf>
    <xf numFmtId="0" fontId="6" fillId="0" borderId="3" xfId="0" applyFont="1" applyBorder="1" applyAlignment="1">
      <alignment vertical="center" wrapText="1"/>
    </xf>
    <xf numFmtId="0" fontId="3" fillId="0" borderId="0" xfId="0" applyFont="1" applyAlignment="1">
      <alignment vertical="center" wrapText="1"/>
    </xf>
    <xf numFmtId="0" fontId="29" fillId="0" borderId="0" xfId="0" applyFont="1" applyAlignment="1">
      <alignment vertical="center" wrapText="1"/>
    </xf>
    <xf numFmtId="49" fontId="6" fillId="0" borderId="7" xfId="0" applyNumberFormat="1" applyFont="1" applyBorder="1" applyAlignment="1">
      <alignment horizontal="center" vertical="center" wrapText="1"/>
    </xf>
    <xf numFmtId="1" fontId="6" fillId="0" borderId="7" xfId="11" applyNumberFormat="1" applyFont="1" applyBorder="1" applyAlignment="1">
      <alignment horizontal="center" vertical="center" wrapText="1"/>
    </xf>
    <xf numFmtId="0" fontId="6" fillId="0" borderId="7" xfId="17" applyFont="1" applyBorder="1" applyAlignment="1">
      <alignment vertical="center" wrapText="1"/>
    </xf>
    <xf numFmtId="0" fontId="6" fillId="0" borderId="7" xfId="0" applyFont="1" applyBorder="1" applyAlignment="1">
      <alignment horizontal="right" vertical="center" wrapText="1"/>
    </xf>
    <xf numFmtId="0" fontId="6" fillId="0" borderId="7" xfId="9" applyFont="1" applyBorder="1" applyAlignment="1">
      <alignment horizontal="center" vertical="center" wrapText="1"/>
    </xf>
    <xf numFmtId="0" fontId="30" fillId="0" borderId="7" xfId="0" applyFont="1" applyBorder="1" applyAlignment="1">
      <alignment horizontal="center" vertical="center" wrapText="1"/>
    </xf>
    <xf numFmtId="0" fontId="6" fillId="0" borderId="7" xfId="20" applyFont="1" applyBorder="1" applyAlignment="1">
      <alignment vertical="center" wrapText="1"/>
    </xf>
    <xf numFmtId="0" fontId="4" fillId="0" borderId="0" xfId="0" applyFont="1" applyAlignment="1">
      <alignment vertical="center" wrapText="1"/>
    </xf>
    <xf numFmtId="0" fontId="13" fillId="0" borderId="0" xfId="0" applyFont="1" applyAlignment="1">
      <alignment horizontal="left" vertical="center" wrapText="1"/>
    </xf>
    <xf numFmtId="0" fontId="46" fillId="0" borderId="7" xfId="21" applyFont="1" applyBorder="1" applyAlignment="1">
      <alignment horizontal="center" vertical="center" wrapText="1"/>
    </xf>
    <xf numFmtId="1" fontId="6" fillId="0" borderId="7" xfId="0" applyNumberFormat="1" applyFont="1" applyBorder="1" applyAlignment="1">
      <alignment horizontal="center" vertical="center" wrapText="1"/>
    </xf>
    <xf numFmtId="0" fontId="4" fillId="0" borderId="16" xfId="6" applyFont="1" applyBorder="1" applyAlignment="1">
      <alignment horizontal="center" vertical="center" wrapText="1"/>
    </xf>
    <xf numFmtId="3" fontId="4" fillId="0" borderId="16" xfId="0" applyNumberFormat="1" applyFont="1" applyBorder="1" applyAlignment="1">
      <alignment horizontal="center" vertical="center" wrapText="1"/>
    </xf>
    <xf numFmtId="0" fontId="4" fillId="0" borderId="8" xfId="0" applyFont="1" applyBorder="1" applyAlignment="1">
      <alignment horizontal="center" vertical="center" wrapText="1"/>
    </xf>
    <xf numFmtId="3" fontId="13" fillId="0" borderId="0" xfId="14" applyNumberFormat="1" applyFont="1" applyAlignment="1">
      <alignment horizontal="center" vertical="center"/>
    </xf>
    <xf numFmtId="3" fontId="13" fillId="0" borderId="0" xfId="14" applyNumberFormat="1" applyFont="1" applyAlignment="1">
      <alignment horizontal="justify" vertical="center"/>
    </xf>
    <xf numFmtId="3" fontId="13" fillId="0" borderId="0" xfId="14" applyNumberFormat="1" applyFont="1" applyAlignment="1">
      <alignment vertical="center"/>
    </xf>
    <xf numFmtId="3" fontId="13" fillId="0" borderId="0" xfId="14" applyNumberFormat="1" applyFont="1" applyAlignment="1">
      <alignment vertical="center" wrapText="1"/>
    </xf>
    <xf numFmtId="3" fontId="4" fillId="0" borderId="3" xfId="14" applyNumberFormat="1" applyFont="1" applyBorder="1" applyAlignment="1">
      <alignment horizontal="center" vertical="center" wrapText="1"/>
    </xf>
    <xf numFmtId="3" fontId="4" fillId="0" borderId="10" xfId="14" applyNumberFormat="1" applyFont="1" applyBorder="1" applyAlignment="1">
      <alignment vertical="center" wrapText="1"/>
    </xf>
    <xf numFmtId="3" fontId="4" fillId="0" borderId="14" xfId="14" applyNumberFormat="1" applyFont="1" applyBorder="1" applyAlignment="1">
      <alignment vertical="center" wrapText="1"/>
    </xf>
    <xf numFmtId="3" fontId="4" fillId="0" borderId="3" xfId="14" applyNumberFormat="1" applyFont="1" applyBorder="1" applyAlignment="1">
      <alignment vertical="center" wrapText="1"/>
    </xf>
    <xf numFmtId="3" fontId="25" fillId="0" borderId="3" xfId="14" applyNumberFormat="1" applyFont="1" applyBorder="1" applyAlignment="1">
      <alignment horizontal="center" vertical="center" wrapText="1"/>
    </xf>
    <xf numFmtId="3" fontId="25" fillId="0" borderId="14" xfId="14" applyNumberFormat="1" applyFont="1" applyBorder="1" applyAlignment="1">
      <alignment horizontal="center" vertical="center" wrapText="1"/>
    </xf>
    <xf numFmtId="3" fontId="25" fillId="0" borderId="17" xfId="14" applyNumberFormat="1" applyFont="1" applyBorder="1" applyAlignment="1">
      <alignment horizontal="center" vertical="center" wrapText="1"/>
    </xf>
    <xf numFmtId="3" fontId="4" fillId="0" borderId="6" xfId="14" applyNumberFormat="1" applyFont="1" applyBorder="1" applyAlignment="1">
      <alignment horizontal="center" vertical="center" wrapText="1"/>
    </xf>
    <xf numFmtId="166" fontId="4" fillId="0" borderId="6" xfId="30" applyNumberFormat="1" applyFont="1" applyFill="1" applyBorder="1" applyAlignment="1">
      <alignment horizontal="center" vertical="center" wrapText="1"/>
    </xf>
    <xf numFmtId="3" fontId="6" fillId="0" borderId="7" xfId="14" applyNumberFormat="1" applyFont="1" applyBorder="1" applyAlignment="1">
      <alignment horizontal="justify" vertical="center" wrapText="1"/>
    </xf>
    <xf numFmtId="3" fontId="4" fillId="0" borderId="7" xfId="14" applyNumberFormat="1" applyFont="1" applyBorder="1" applyAlignment="1">
      <alignment horizontal="justify" vertical="center" wrapText="1"/>
    </xf>
    <xf numFmtId="3" fontId="6" fillId="0" borderId="7" xfId="14" applyNumberFormat="1" applyFont="1" applyBorder="1" applyAlignment="1">
      <alignment horizontal="left" vertical="center" wrapText="1"/>
    </xf>
    <xf numFmtId="166" fontId="6" fillId="0" borderId="7" xfId="14" applyNumberFormat="1" applyFont="1" applyBorder="1" applyAlignment="1">
      <alignment horizontal="center" vertical="center" wrapText="1"/>
    </xf>
    <xf numFmtId="3" fontId="4" fillId="0" borderId="8" xfId="14" applyNumberFormat="1" applyFont="1" applyBorder="1" applyAlignment="1">
      <alignment horizontal="center" vertical="center" wrapText="1"/>
    </xf>
    <xf numFmtId="0" fontId="4" fillId="0" borderId="8" xfId="14" applyFont="1" applyBorder="1" applyAlignment="1">
      <alignment horizontal="center" vertical="center" wrapText="1"/>
    </xf>
    <xf numFmtId="166" fontId="4" fillId="0" borderId="8" xfId="30" applyNumberFormat="1" applyFont="1" applyFill="1" applyBorder="1" applyAlignment="1">
      <alignment horizontal="center" vertical="center" wrapText="1"/>
    </xf>
    <xf numFmtId="175" fontId="4" fillId="0" borderId="8" xfId="30" applyNumberFormat="1" applyFont="1" applyFill="1" applyBorder="1" applyAlignment="1">
      <alignment horizontal="center" vertical="center" wrapText="1"/>
    </xf>
    <xf numFmtId="0" fontId="13" fillId="0" borderId="0" xfId="0" applyFont="1" applyAlignment="1">
      <alignment vertical="center"/>
    </xf>
    <xf numFmtId="0" fontId="5" fillId="0" borderId="0" xfId="0" applyFont="1" applyAlignment="1">
      <alignment vertical="center"/>
    </xf>
    <xf numFmtId="0" fontId="33" fillId="0" borderId="0" xfId="0" applyFont="1" applyAlignment="1">
      <alignment horizontal="center" vertical="center"/>
    </xf>
    <xf numFmtId="0" fontId="15" fillId="0" borderId="0" xfId="0" applyFont="1" applyAlignment="1">
      <alignment horizontal="center" vertical="center" wrapText="1"/>
    </xf>
    <xf numFmtId="0" fontId="43" fillId="0" borderId="11" xfId="0" applyFont="1" applyBorder="1" applyAlignment="1">
      <alignment horizontal="center" vertical="center" wrapText="1"/>
    </xf>
    <xf numFmtId="0" fontId="66" fillId="0" borderId="3" xfId="0" applyFont="1" applyBorder="1" applyAlignment="1">
      <alignment horizontal="center" vertical="center" wrapText="1"/>
    </xf>
    <xf numFmtId="0" fontId="4" fillId="0" borderId="6" xfId="0" applyFont="1" applyBorder="1" applyAlignment="1">
      <alignment horizontal="center" vertical="center" wrapText="1"/>
    </xf>
    <xf numFmtId="164" fontId="4" fillId="0" borderId="7" xfId="22" applyFont="1" applyFill="1" applyBorder="1" applyAlignment="1">
      <alignment horizontal="center" vertical="center" wrapText="1"/>
    </xf>
    <xf numFmtId="3" fontId="15" fillId="0" borderId="3" xfId="0" applyNumberFormat="1" applyFont="1" applyBorder="1" applyAlignment="1">
      <alignment horizontal="center" vertical="center" wrapText="1"/>
    </xf>
    <xf numFmtId="3" fontId="6" fillId="0" borderId="7" xfId="0" applyNumberFormat="1" applyFont="1" applyBorder="1" applyAlignment="1">
      <alignment horizontal="center" vertical="center"/>
    </xf>
    <xf numFmtId="0" fontId="6" fillId="0" borderId="7" xfId="6" applyFont="1" applyBorder="1" applyAlignment="1">
      <alignment horizontal="left" vertical="center" wrapText="1"/>
    </xf>
    <xf numFmtId="0" fontId="6" fillId="0" borderId="7" xfId="0" applyFont="1" applyBorder="1" applyAlignment="1">
      <alignment vertical="center"/>
    </xf>
    <xf numFmtId="3" fontId="6" fillId="0" borderId="7" xfId="0" applyNumberFormat="1" applyFont="1" applyBorder="1" applyAlignment="1">
      <alignment horizontal="center" wrapText="1"/>
    </xf>
    <xf numFmtId="164" fontId="6" fillId="0" borderId="7" xfId="22" applyFont="1" applyFill="1" applyBorder="1" applyAlignment="1">
      <alignment vertical="center" wrapText="1"/>
    </xf>
    <xf numFmtId="0" fontId="4" fillId="0" borderId="7" xfId="7" applyFont="1" applyBorder="1" applyAlignment="1">
      <alignment horizontal="center" vertical="center" wrapText="1"/>
    </xf>
    <xf numFmtId="0" fontId="4" fillId="0" borderId="7" xfId="7" applyFont="1" applyBorder="1" applyAlignment="1">
      <alignment vertical="center" wrapText="1"/>
    </xf>
    <xf numFmtId="164" fontId="4" fillId="0" borderId="7" xfId="22" applyFont="1" applyFill="1" applyBorder="1" applyAlignment="1">
      <alignment vertical="center" wrapText="1"/>
    </xf>
    <xf numFmtId="164" fontId="4" fillId="0" borderId="7" xfId="22" applyFont="1" applyFill="1" applyBorder="1" applyAlignment="1">
      <alignment horizontal="left" vertical="center" wrapText="1"/>
    </xf>
    <xf numFmtId="180" fontId="6" fillId="0" borderId="7" xfId="22" applyNumberFormat="1" applyFont="1" applyFill="1" applyBorder="1" applyAlignment="1">
      <alignment horizontal="center" vertical="center" wrapText="1"/>
    </xf>
    <xf numFmtId="164" fontId="4" fillId="0" borderId="7" xfId="22" quotePrefix="1" applyFont="1" applyFill="1" applyBorder="1" applyAlignment="1">
      <alignment horizontal="center" vertical="center" wrapText="1"/>
    </xf>
    <xf numFmtId="179" fontId="6" fillId="0" borderId="7" xfId="0" applyNumberFormat="1" applyFont="1" applyBorder="1" applyAlignment="1">
      <alignment horizontal="right" vertical="center" wrapText="1"/>
    </xf>
    <xf numFmtId="180" fontId="4" fillId="0" borderId="7" xfId="22" applyNumberFormat="1" applyFont="1" applyFill="1" applyBorder="1" applyAlignment="1">
      <alignment horizontal="center" vertical="center" wrapText="1"/>
    </xf>
    <xf numFmtId="0" fontId="43" fillId="0" borderId="7" xfId="0" applyFont="1" applyBorder="1" applyAlignment="1">
      <alignment horizontal="center" vertical="center" wrapText="1"/>
    </xf>
    <xf numFmtId="3" fontId="6" fillId="0" borderId="7" xfId="0" quotePrefix="1" applyNumberFormat="1" applyFont="1" applyBorder="1" applyAlignment="1">
      <alignment horizontal="center" vertical="center"/>
    </xf>
    <xf numFmtId="3" fontId="6" fillId="0" borderId="8" xfId="0" quotePrefix="1" applyNumberFormat="1" applyFont="1" applyBorder="1" applyAlignment="1">
      <alignment horizontal="center" vertical="center"/>
    </xf>
    <xf numFmtId="3" fontId="6" fillId="0" borderId="8" xfId="0" applyNumberFormat="1" applyFont="1" applyBorder="1" applyAlignment="1">
      <alignment horizontal="center" vertical="center" wrapText="1"/>
    </xf>
    <xf numFmtId="0" fontId="6" fillId="0" borderId="8" xfId="0" applyFont="1" applyBorder="1" applyAlignment="1">
      <alignment horizontal="center" vertical="center"/>
    </xf>
    <xf numFmtId="164" fontId="6" fillId="0" borderId="8" xfId="22" applyFont="1" applyFill="1" applyBorder="1" applyAlignment="1">
      <alignment horizontal="center" vertical="center"/>
    </xf>
    <xf numFmtId="164" fontId="6" fillId="0" borderId="8" xfId="22" applyFont="1" applyFill="1" applyBorder="1" applyAlignment="1">
      <alignment horizontal="center" vertical="center" wrapText="1"/>
    </xf>
    <xf numFmtId="0" fontId="14" fillId="0" borderId="8" xfId="0" applyFont="1" applyBorder="1" applyAlignment="1">
      <alignment horizontal="center" vertical="center" wrapText="1"/>
    </xf>
    <xf numFmtId="2" fontId="13" fillId="0" borderId="0" xfId="0" applyNumberFormat="1" applyFont="1" applyAlignment="1">
      <alignment horizontal="center" vertical="center"/>
    </xf>
    <xf numFmtId="0" fontId="51" fillId="0" borderId="0" xfId="0" applyFont="1" applyAlignment="1">
      <alignment vertical="center"/>
    </xf>
    <xf numFmtId="49" fontId="13" fillId="0" borderId="0" xfId="0" applyNumberFormat="1" applyFont="1" applyAlignment="1">
      <alignment vertical="center"/>
    </xf>
    <xf numFmtId="0" fontId="43" fillId="0" borderId="3" xfId="0" applyFont="1" applyBorder="1" applyAlignment="1">
      <alignment vertical="center" wrapText="1"/>
    </xf>
    <xf numFmtId="0" fontId="44" fillId="0" borderId="3" xfId="0" applyFont="1" applyBorder="1" applyAlignment="1">
      <alignment horizontal="center" vertical="center" wrapText="1"/>
    </xf>
    <xf numFmtId="0" fontId="42" fillId="0" borderId="3" xfId="0" applyFont="1" applyBorder="1" applyAlignment="1">
      <alignment horizontal="center" vertical="center" wrapText="1"/>
    </xf>
    <xf numFmtId="1" fontId="43" fillId="0" borderId="4" xfId="18" applyNumberFormat="1" applyFont="1" applyFill="1" applyBorder="1" applyAlignment="1">
      <alignment horizontal="center" vertical="center" wrapText="1"/>
    </xf>
    <xf numFmtId="49" fontId="68" fillId="0" borderId="4" xfId="18" applyNumberFormat="1" applyFont="1" applyFill="1" applyBorder="1" applyAlignment="1">
      <alignment horizontal="center" vertical="center" wrapText="1"/>
    </xf>
    <xf numFmtId="2" fontId="43" fillId="0" borderId="7" xfId="0" applyNumberFormat="1" applyFont="1" applyBorder="1" applyAlignment="1">
      <alignment horizontal="center" vertical="center" wrapText="1"/>
    </xf>
    <xf numFmtId="167" fontId="43" fillId="0" borderId="7" xfId="18" applyNumberFormat="1" applyFont="1" applyFill="1" applyBorder="1" applyAlignment="1">
      <alignment horizontal="center" vertical="center" wrapText="1"/>
    </xf>
    <xf numFmtId="1" fontId="45" fillId="0" borderId="7" xfId="18" quotePrefix="1" applyNumberFormat="1" applyFont="1" applyFill="1" applyBorder="1" applyAlignment="1">
      <alignment horizontal="center" vertical="center"/>
    </xf>
    <xf numFmtId="167" fontId="45" fillId="0" borderId="7" xfId="18" quotePrefix="1" applyNumberFormat="1" applyFont="1" applyFill="1" applyBorder="1" applyAlignment="1">
      <alignment horizontal="left" vertical="center" wrapText="1"/>
    </xf>
    <xf numFmtId="167" fontId="45" fillId="0" borderId="7" xfId="18" quotePrefix="1" applyNumberFormat="1" applyFont="1" applyFill="1" applyBorder="1" applyAlignment="1">
      <alignment horizontal="center" vertical="center" wrapText="1"/>
    </xf>
    <xf numFmtId="49" fontId="45" fillId="0" borderId="7" xfId="18" quotePrefix="1" applyNumberFormat="1" applyFont="1" applyFill="1" applyBorder="1" applyAlignment="1">
      <alignment horizontal="center" vertical="center" wrapText="1"/>
    </xf>
    <xf numFmtId="167" fontId="3" fillId="0" borderId="3" xfId="18" applyNumberFormat="1" applyFont="1" applyFill="1" applyBorder="1" applyAlignment="1">
      <alignment horizontal="center" vertical="center" wrapText="1"/>
    </xf>
    <xf numFmtId="167" fontId="45" fillId="0" borderId="7" xfId="18" applyNumberFormat="1" applyFont="1" applyFill="1" applyBorder="1" applyAlignment="1">
      <alignment horizontal="right" vertical="center" wrapText="1"/>
    </xf>
    <xf numFmtId="169" fontId="45" fillId="0" borderId="7" xfId="18" applyNumberFormat="1" applyFont="1" applyFill="1" applyBorder="1" applyAlignment="1">
      <alignment horizontal="center" vertical="center" wrapText="1"/>
    </xf>
    <xf numFmtId="167" fontId="45" fillId="0" borderId="7" xfId="18" applyNumberFormat="1" applyFont="1" applyFill="1" applyBorder="1" applyAlignment="1">
      <alignment horizontal="left" vertical="center" wrapText="1"/>
    </xf>
    <xf numFmtId="167" fontId="45" fillId="0" borderId="7" xfId="18" quotePrefix="1" applyNumberFormat="1" applyFont="1" applyFill="1" applyBorder="1" applyAlignment="1">
      <alignment horizontal="right" vertical="center"/>
    </xf>
    <xf numFmtId="0" fontId="45" fillId="0" borderId="7" xfId="0" quotePrefix="1" applyFont="1" applyBorder="1" applyAlignment="1">
      <alignment horizontal="left" vertical="center" wrapText="1"/>
    </xf>
    <xf numFmtId="0" fontId="45" fillId="0" borderId="7" xfId="0" quotePrefix="1" applyFont="1" applyBorder="1" applyAlignment="1">
      <alignment horizontal="center" vertical="center" wrapText="1"/>
    </xf>
    <xf numFmtId="0" fontId="45" fillId="0" borderId="7" xfId="6" applyFont="1" applyBorder="1" applyAlignment="1">
      <alignment horizontal="center" vertical="center" wrapText="1"/>
    </xf>
    <xf numFmtId="0" fontId="45" fillId="0" borderId="7" xfId="0" applyFont="1" applyBorder="1" applyAlignment="1">
      <alignment horizontal="center" vertical="center"/>
    </xf>
    <xf numFmtId="0" fontId="45" fillId="0" borderId="7" xfId="0" applyFont="1" applyBorder="1" applyAlignment="1">
      <alignment horizontal="center" vertical="center" wrapText="1"/>
    </xf>
    <xf numFmtId="1" fontId="45" fillId="0" borderId="7" xfId="11" applyNumberFormat="1" applyFont="1" applyBorder="1" applyAlignment="1">
      <alignment horizontal="center" vertical="center" wrapText="1"/>
    </xf>
    <xf numFmtId="167" fontId="45" fillId="0" borderId="7" xfId="18" applyNumberFormat="1" applyFont="1" applyFill="1" applyBorder="1" applyAlignment="1">
      <alignment horizontal="center" vertical="center"/>
    </xf>
    <xf numFmtId="167" fontId="45" fillId="0" borderId="7" xfId="18" applyNumberFormat="1" applyFont="1" applyFill="1" applyBorder="1" applyAlignment="1">
      <alignment horizontal="right" vertical="center"/>
    </xf>
    <xf numFmtId="4" fontId="45" fillId="0" borderId="7" xfId="0" applyNumberFormat="1" applyFont="1" applyBorder="1" applyAlignment="1">
      <alignment horizontal="center" vertical="center"/>
    </xf>
    <xf numFmtId="0" fontId="43" fillId="0" borderId="7" xfId="0" applyFont="1" applyBorder="1" applyAlignment="1">
      <alignment horizontal="left" vertical="center" wrapText="1"/>
    </xf>
    <xf numFmtId="49" fontId="43" fillId="0" borderId="7" xfId="18" applyNumberFormat="1" applyFont="1" applyFill="1" applyBorder="1" applyAlignment="1">
      <alignment horizontal="center" vertical="center" wrapText="1"/>
    </xf>
    <xf numFmtId="167" fontId="3" fillId="0" borderId="3" xfId="18" quotePrefix="1" applyNumberFormat="1" applyFont="1" applyFill="1" applyBorder="1" applyAlignment="1">
      <alignment horizontal="right" vertical="center" wrapText="1"/>
    </xf>
    <xf numFmtId="167" fontId="3" fillId="0" borderId="3" xfId="18" applyNumberFormat="1" applyFont="1" applyFill="1" applyBorder="1" applyAlignment="1">
      <alignment horizontal="right" vertical="center" wrapText="1"/>
    </xf>
    <xf numFmtId="0" fontId="45" fillId="0" borderId="7" xfId="6" applyFont="1" applyBorder="1" applyAlignment="1">
      <alignment horizontal="left" vertical="center" wrapText="1"/>
    </xf>
    <xf numFmtId="3" fontId="45" fillId="0" borderId="7" xfId="11" quotePrefix="1" applyNumberFormat="1" applyFont="1" applyBorder="1" applyAlignment="1">
      <alignment horizontal="center" vertical="center" wrapText="1"/>
    </xf>
    <xf numFmtId="3" fontId="45" fillId="0" borderId="7" xfId="0" quotePrefix="1" applyNumberFormat="1" applyFont="1" applyBorder="1" applyAlignment="1">
      <alignment horizontal="center" vertical="center" wrapText="1"/>
    </xf>
    <xf numFmtId="3" fontId="45" fillId="0" borderId="7" xfId="0" applyNumberFormat="1" applyFont="1" applyBorder="1" applyAlignment="1">
      <alignment horizontal="center" vertical="center" wrapText="1"/>
    </xf>
    <xf numFmtId="168" fontId="45" fillId="0" borderId="7" xfId="18" applyNumberFormat="1" applyFont="1" applyFill="1" applyBorder="1" applyAlignment="1">
      <alignment horizontal="right" vertical="center" wrapText="1"/>
    </xf>
    <xf numFmtId="173" fontId="45" fillId="0" borderId="7" xfId="11" quotePrefix="1" applyNumberFormat="1" applyFont="1" applyBorder="1" applyAlignment="1">
      <alignment horizontal="right" vertical="center" wrapText="1"/>
    </xf>
    <xf numFmtId="4" fontId="45" fillId="0" borderId="7" xfId="0" quotePrefix="1" applyNumberFormat="1" applyFont="1" applyBorder="1" applyAlignment="1">
      <alignment horizontal="right" vertical="center" wrapText="1"/>
    </xf>
    <xf numFmtId="0" fontId="43" fillId="0" borderId="7" xfId="0" applyFont="1" applyBorder="1" applyAlignment="1">
      <alignment horizontal="center" vertical="center"/>
    </xf>
    <xf numFmtId="164" fontId="43" fillId="0" borderId="7" xfId="22" applyFont="1" applyFill="1" applyBorder="1" applyAlignment="1">
      <alignment horizontal="left" vertical="center" wrapText="1"/>
    </xf>
    <xf numFmtId="167" fontId="43" fillId="0" borderId="7" xfId="18" applyNumberFormat="1" applyFont="1" applyFill="1" applyBorder="1" applyAlignment="1">
      <alignment horizontal="left" vertical="center" wrapText="1"/>
    </xf>
    <xf numFmtId="167" fontId="45" fillId="0" borderId="7" xfId="18" applyNumberFormat="1" applyFont="1" applyFill="1" applyBorder="1" applyAlignment="1">
      <alignment vertical="center"/>
    </xf>
    <xf numFmtId="169" fontId="45" fillId="0" borderId="7" xfId="18" applyNumberFormat="1" applyFont="1" applyFill="1" applyBorder="1" applyAlignment="1">
      <alignment vertical="center"/>
    </xf>
    <xf numFmtId="169" fontId="43" fillId="0" borderId="7" xfId="18" applyNumberFormat="1" applyFont="1" applyFill="1" applyBorder="1" applyAlignment="1">
      <alignment horizontal="center" vertical="center" wrapText="1"/>
    </xf>
    <xf numFmtId="167" fontId="29" fillId="0" borderId="3" xfId="18" quotePrefix="1" applyNumberFormat="1" applyFont="1" applyFill="1" applyBorder="1" applyAlignment="1">
      <alignment horizontal="right" vertical="center" wrapText="1"/>
    </xf>
    <xf numFmtId="167" fontId="29" fillId="0" borderId="3" xfId="18" quotePrefix="1" applyNumberFormat="1" applyFont="1" applyFill="1" applyBorder="1" applyAlignment="1">
      <alignment horizontal="center" vertical="center" wrapText="1"/>
    </xf>
    <xf numFmtId="4" fontId="45" fillId="0" borderId="7" xfId="0" applyNumberFormat="1" applyFont="1" applyBorder="1" applyAlignment="1">
      <alignment horizontal="center" vertical="center" wrapText="1"/>
    </xf>
    <xf numFmtId="3" fontId="45" fillId="0" borderId="7" xfId="0" quotePrefix="1" applyNumberFormat="1" applyFont="1" applyBorder="1" applyAlignment="1">
      <alignment horizontal="right" vertical="center" wrapText="1"/>
    </xf>
    <xf numFmtId="3" fontId="45" fillId="0" borderId="7" xfId="0" applyNumberFormat="1" applyFont="1" applyBorder="1" applyAlignment="1">
      <alignment horizontal="right" vertical="center" wrapText="1"/>
    </xf>
    <xf numFmtId="0" fontId="45" fillId="0" borderId="7" xfId="0" applyFont="1" applyBorder="1" applyAlignment="1">
      <alignment vertical="center"/>
    </xf>
    <xf numFmtId="0" fontId="45" fillId="0" borderId="8" xfId="0" quotePrefix="1" applyFont="1" applyBorder="1" applyAlignment="1">
      <alignment horizontal="center" vertical="center" wrapText="1"/>
    </xf>
    <xf numFmtId="0" fontId="45" fillId="0" borderId="8" xfId="0" quotePrefix="1" applyFont="1" applyBorder="1" applyAlignment="1">
      <alignment horizontal="left" vertical="center" wrapText="1"/>
    </xf>
    <xf numFmtId="0" fontId="45" fillId="0" borderId="8" xfId="6" applyFont="1" applyBorder="1" applyAlignment="1">
      <alignment horizontal="center" vertical="center" wrapText="1"/>
    </xf>
    <xf numFmtId="0" fontId="45" fillId="0" borderId="8" xfId="0" applyFont="1" applyBorder="1" applyAlignment="1">
      <alignment horizontal="center" vertical="center"/>
    </xf>
    <xf numFmtId="3" fontId="45" fillId="0" borderId="8" xfId="0" applyNumberFormat="1" applyFont="1" applyBorder="1" applyAlignment="1">
      <alignment horizontal="center" vertical="center" wrapText="1"/>
    </xf>
    <xf numFmtId="3" fontId="45" fillId="0" borderId="8" xfId="0" quotePrefix="1" applyNumberFormat="1" applyFont="1" applyBorder="1" applyAlignment="1">
      <alignment horizontal="right" vertical="center" wrapText="1"/>
    </xf>
    <xf numFmtId="0" fontId="45" fillId="0" borderId="8" xfId="0" quotePrefix="1" applyFont="1" applyBorder="1" applyAlignment="1">
      <alignment horizontal="right" vertical="center" wrapText="1"/>
    </xf>
    <xf numFmtId="0" fontId="5" fillId="0" borderId="1" xfId="14" applyFont="1" applyBorder="1" applyAlignment="1">
      <alignment vertical="center"/>
    </xf>
    <xf numFmtId="3" fontId="4" fillId="0" borderId="6" xfId="14" applyNumberFormat="1" applyFont="1" applyBorder="1" applyAlignment="1">
      <alignment horizontal="right" vertical="center" wrapText="1"/>
    </xf>
    <xf numFmtId="3" fontId="34" fillId="0" borderId="0" xfId="14" applyNumberFormat="1" applyFont="1"/>
    <xf numFmtId="0" fontId="6" fillId="0" borderId="7" xfId="14" applyFont="1" applyBorder="1" applyAlignment="1">
      <alignment horizontal="justify" vertical="center" wrapText="1"/>
    </xf>
    <xf numFmtId="0" fontId="6" fillId="0" borderId="7" xfId="14" applyFont="1" applyBorder="1" applyAlignment="1">
      <alignment horizontal="right" vertical="center"/>
    </xf>
    <xf numFmtId="3" fontId="6" fillId="0" borderId="7" xfId="27" quotePrefix="1" applyNumberFormat="1" applyFont="1" applyBorder="1" applyAlignment="1">
      <alignment horizontal="center" vertical="center" wrapText="1"/>
    </xf>
    <xf numFmtId="3" fontId="4" fillId="0" borderId="7" xfId="14" applyNumberFormat="1" applyFont="1" applyBorder="1" applyAlignment="1">
      <alignment horizontal="right" vertical="center"/>
    </xf>
    <xf numFmtId="0" fontId="4" fillId="0" borderId="7" xfId="14" applyFont="1" applyBorder="1" applyAlignment="1">
      <alignment horizontal="right" vertical="center"/>
    </xf>
    <xf numFmtId="0" fontId="4" fillId="0" borderId="7" xfId="14" applyFont="1" applyBorder="1" applyAlignment="1">
      <alignment horizontal="justify" vertical="center" wrapText="1"/>
    </xf>
    <xf numFmtId="3" fontId="6" fillId="0" borderId="7" xfId="14" applyNumberFormat="1" applyFont="1" applyBorder="1" applyAlignment="1">
      <alignment vertical="center"/>
    </xf>
    <xf numFmtId="0" fontId="6" fillId="0" borderId="8" xfId="14" applyFont="1" applyBorder="1" applyAlignment="1">
      <alignment horizontal="justify" vertical="center" wrapText="1"/>
    </xf>
    <xf numFmtId="3" fontId="4" fillId="0" borderId="8" xfId="14" applyNumberFormat="1" applyFont="1" applyBorder="1" applyAlignment="1">
      <alignment horizontal="right" vertical="center" wrapText="1"/>
    </xf>
    <xf numFmtId="3" fontId="6" fillId="0" borderId="8" xfId="14" applyNumberFormat="1" applyFont="1" applyBorder="1" applyAlignment="1">
      <alignment vertical="center"/>
    </xf>
    <xf numFmtId="0" fontId="6" fillId="0" borderId="8" xfId="14" applyFont="1" applyBorder="1" applyAlignment="1">
      <alignment vertical="center"/>
    </xf>
    <xf numFmtId="0" fontId="3" fillId="0" borderId="0" xfId="14" applyFont="1" applyAlignment="1">
      <alignment horizontal="center" vertical="center" wrapText="1"/>
    </xf>
    <xf numFmtId="0" fontId="3" fillId="0" borderId="0" xfId="14" applyFont="1" applyAlignment="1">
      <alignment horizontal="justify" vertical="center" wrapText="1"/>
    </xf>
    <xf numFmtId="0" fontId="29" fillId="0" borderId="0" xfId="14" applyFont="1" applyAlignment="1">
      <alignment horizontal="center" vertical="center" wrapText="1"/>
    </xf>
    <xf numFmtId="3" fontId="29" fillId="0" borderId="0" xfId="14" applyNumberFormat="1" applyFont="1" applyAlignment="1">
      <alignment horizontal="center" vertical="center" wrapText="1"/>
    </xf>
    <xf numFmtId="3" fontId="29" fillId="0" borderId="0" xfId="14" applyNumberFormat="1" applyFont="1" applyAlignment="1">
      <alignment horizontal="right" vertical="center" wrapText="1"/>
    </xf>
    <xf numFmtId="3" fontId="3" fillId="0" borderId="0" xfId="14" applyNumberFormat="1" applyFont="1" applyAlignment="1">
      <alignment vertical="center"/>
    </xf>
    <xf numFmtId="0" fontId="3" fillId="0" borderId="0" xfId="14" applyFont="1" applyAlignment="1">
      <alignment vertical="center"/>
    </xf>
    <xf numFmtId="0" fontId="4" fillId="0" borderId="3" xfId="14" applyFont="1" applyBorder="1" applyAlignment="1">
      <alignment horizontal="center" vertical="center"/>
    </xf>
    <xf numFmtId="0" fontId="69" fillId="0" borderId="0" xfId="14" applyFont="1" applyAlignment="1">
      <alignment horizontal="center"/>
    </xf>
    <xf numFmtId="0" fontId="4" fillId="0" borderId="7" xfId="9" applyFont="1" applyBorder="1" applyAlignment="1">
      <alignment horizontal="center" vertical="center" wrapText="1"/>
    </xf>
    <xf numFmtId="1" fontId="4" fillId="0" borderId="7" xfId="14" applyNumberFormat="1" applyFont="1" applyBorder="1" applyAlignment="1">
      <alignment horizontal="center" vertical="center"/>
    </xf>
    <xf numFmtId="1" fontId="6" fillId="0" borderId="7" xfId="14" applyNumberFormat="1" applyFont="1" applyBorder="1" applyAlignment="1">
      <alignment horizontal="center" vertical="center"/>
    </xf>
    <xf numFmtId="0" fontId="6" fillId="0" borderId="7" xfId="9" quotePrefix="1" applyFont="1" applyBorder="1" applyAlignment="1">
      <alignment horizontal="center" vertical="center" wrapText="1"/>
    </xf>
    <xf numFmtId="167" fontId="6" fillId="0" borderId="7" xfId="36" quotePrefix="1" applyNumberFormat="1" applyFont="1" applyFill="1" applyBorder="1" applyAlignment="1">
      <alignment horizontal="right" vertical="center"/>
    </xf>
    <xf numFmtId="0" fontId="6" fillId="0" borderId="7" xfId="14" quotePrefix="1" applyFont="1" applyBorder="1" applyAlignment="1">
      <alignment horizontal="center" vertical="center"/>
    </xf>
    <xf numFmtId="1" fontId="6" fillId="0" borderId="7" xfId="11" quotePrefix="1" applyNumberFormat="1" applyFont="1" applyBorder="1" applyAlignment="1">
      <alignment horizontal="center" vertical="center" wrapText="1"/>
    </xf>
    <xf numFmtId="0" fontId="6" fillId="0" borderId="7" xfId="28" applyNumberFormat="1" applyFont="1" applyFill="1" applyBorder="1" applyAlignment="1">
      <alignment horizontal="justify" vertical="center" wrapText="1"/>
    </xf>
    <xf numFmtId="3" fontId="6" fillId="0" borderId="7" xfId="11" quotePrefix="1" applyNumberFormat="1" applyFont="1" applyBorder="1" applyAlignment="1">
      <alignment horizontal="center" vertical="center" wrapText="1"/>
    </xf>
    <xf numFmtId="0" fontId="6" fillId="0" borderId="7" xfId="27" applyFont="1" applyBorder="1" applyAlignment="1">
      <alignment horizontal="justify" vertical="center" wrapText="1"/>
    </xf>
    <xf numFmtId="169" fontId="6" fillId="0" borderId="7" xfId="36" applyNumberFormat="1" applyFont="1" applyFill="1" applyBorder="1" applyAlignment="1">
      <alignment horizontal="right" vertical="center"/>
    </xf>
    <xf numFmtId="0" fontId="6" fillId="0" borderId="7" xfId="14" quotePrefix="1" applyFont="1" applyBorder="1" applyAlignment="1">
      <alignment horizontal="justify" vertical="center" wrapText="1"/>
    </xf>
    <xf numFmtId="3" fontId="6" fillId="0" borderId="7" xfId="14" quotePrefix="1" applyNumberFormat="1" applyFont="1" applyBorder="1" applyAlignment="1">
      <alignment horizontal="center" vertical="center" wrapText="1"/>
    </xf>
    <xf numFmtId="169" fontId="6" fillId="0" borderId="7" xfId="36" applyNumberFormat="1" applyFont="1" applyFill="1" applyBorder="1" applyAlignment="1">
      <alignment horizontal="right" vertical="center" wrapText="1"/>
    </xf>
    <xf numFmtId="169" fontId="6" fillId="0" borderId="7" xfId="36" applyNumberFormat="1" applyFont="1" applyFill="1" applyBorder="1" applyAlignment="1">
      <alignment vertical="center"/>
    </xf>
    <xf numFmtId="0" fontId="6" fillId="0" borderId="7" xfId="27" quotePrefix="1" applyFont="1" applyBorder="1" applyAlignment="1">
      <alignment horizontal="center" vertical="center" wrapText="1"/>
    </xf>
    <xf numFmtId="178" fontId="6" fillId="0" borderId="7" xfId="29" quotePrefix="1" applyNumberFormat="1" applyFont="1" applyFill="1" applyBorder="1" applyAlignment="1">
      <alignment horizontal="center" vertical="center" wrapText="1"/>
    </xf>
    <xf numFmtId="178" fontId="6" fillId="0" borderId="7" xfId="36" quotePrefix="1" applyNumberFormat="1" applyFont="1" applyFill="1" applyBorder="1" applyAlignment="1">
      <alignment horizontal="center" vertical="center" wrapText="1"/>
    </xf>
    <xf numFmtId="171" fontId="6" fillId="0" borderId="7" xfId="36" applyNumberFormat="1" applyFont="1" applyFill="1" applyBorder="1" applyAlignment="1">
      <alignment horizontal="justify" vertical="center"/>
    </xf>
    <xf numFmtId="171" fontId="6" fillId="0" borderId="7" xfId="36" quotePrefix="1" applyNumberFormat="1" applyFont="1" applyFill="1" applyBorder="1" applyAlignment="1">
      <alignment horizontal="center" vertical="center"/>
    </xf>
    <xf numFmtId="171" fontId="6" fillId="0" borderId="7" xfId="36" quotePrefix="1" applyNumberFormat="1" applyFont="1" applyFill="1" applyBorder="1" applyAlignment="1">
      <alignment horizontal="center" vertical="center" wrapText="1"/>
    </xf>
    <xf numFmtId="3" fontId="6" fillId="0" borderId="7" xfId="36" quotePrefix="1" applyNumberFormat="1" applyFont="1" applyFill="1" applyBorder="1" applyAlignment="1">
      <alignment horizontal="right" vertical="center" wrapText="1"/>
    </xf>
    <xf numFmtId="3" fontId="6" fillId="0" borderId="7" xfId="36" quotePrefix="1" applyNumberFormat="1" applyFont="1" applyFill="1" applyBorder="1" applyAlignment="1">
      <alignment horizontal="right" vertical="center"/>
    </xf>
    <xf numFmtId="0" fontId="6" fillId="0" borderId="7" xfId="36" quotePrefix="1" applyNumberFormat="1" applyFont="1" applyFill="1" applyBorder="1" applyAlignment="1">
      <alignment horizontal="center" vertical="center" wrapText="1"/>
    </xf>
    <xf numFmtId="171" fontId="6" fillId="0" borderId="7" xfId="36" applyNumberFormat="1" applyFont="1" applyFill="1" applyBorder="1" applyAlignment="1">
      <alignment horizontal="right" vertical="center"/>
    </xf>
    <xf numFmtId="0" fontId="6" fillId="0" borderId="7" xfId="14" applyFont="1" applyBorder="1" applyAlignment="1" applyProtection="1">
      <alignment horizontal="justify" vertical="center" wrapText="1"/>
      <protection locked="0"/>
    </xf>
    <xf numFmtId="167" fontId="6" fillId="0" borderId="7" xfId="36" applyNumberFormat="1" applyFont="1" applyFill="1" applyBorder="1" applyAlignment="1">
      <alignment horizontal="justify" vertical="center" wrapText="1"/>
    </xf>
    <xf numFmtId="0" fontId="8" fillId="0" borderId="0" xfId="0" applyFont="1" applyAlignment="1">
      <alignment horizontal="center" vertical="center"/>
    </xf>
    <xf numFmtId="0" fontId="4" fillId="0" borderId="3" xfId="0" applyFont="1" applyBorder="1" applyAlignment="1">
      <alignment horizontal="center" vertical="center" wrapText="1"/>
    </xf>
    <xf numFmtId="0" fontId="6" fillId="0" borderId="7" xfId="0" applyFont="1" applyFill="1" applyBorder="1" applyAlignment="1">
      <alignment horizontal="center" vertical="center" wrapText="1"/>
    </xf>
    <xf numFmtId="0" fontId="34" fillId="0" borderId="0" xfId="0" applyFont="1" applyFill="1"/>
    <xf numFmtId="0" fontId="34" fillId="0" borderId="3" xfId="0" applyFont="1" applyFill="1" applyBorder="1"/>
    <xf numFmtId="0" fontId="7" fillId="0" borderId="0" xfId="0" applyFont="1" applyFill="1" applyAlignment="1">
      <alignment vertical="top"/>
    </xf>
    <xf numFmtId="0" fontId="0" fillId="0" borderId="0" xfId="0" applyFill="1"/>
    <xf numFmtId="0" fontId="8" fillId="0" borderId="0" xfId="0" applyFont="1" applyAlignment="1">
      <alignment vertical="center"/>
    </xf>
    <xf numFmtId="169" fontId="4" fillId="0" borderId="16" xfId="18" applyNumberFormat="1" applyFont="1" applyFill="1" applyBorder="1" applyAlignment="1">
      <alignment horizontal="center" vertical="center" wrapText="1"/>
    </xf>
    <xf numFmtId="169" fontId="4" fillId="0" borderId="7" xfId="18" quotePrefix="1" applyNumberFormat="1" applyFont="1" applyFill="1" applyBorder="1" applyAlignment="1">
      <alignment horizontal="center" vertical="center" wrapText="1"/>
    </xf>
    <xf numFmtId="0" fontId="6" fillId="0" borderId="7" xfId="0" applyFont="1" applyFill="1" applyBorder="1" applyAlignment="1">
      <alignment horizontal="left" vertical="center" wrapText="1"/>
    </xf>
    <xf numFmtId="0" fontId="8" fillId="0" borderId="0" xfId="14" applyFont="1" applyAlignment="1">
      <alignment horizontal="center" vertical="center"/>
    </xf>
    <xf numFmtId="0" fontId="8" fillId="0" borderId="0" xfId="14" applyFont="1" applyAlignment="1">
      <alignment horizontal="center" vertical="center" wrapText="1"/>
    </xf>
    <xf numFmtId="0" fontId="5" fillId="0" borderId="0" xfId="14" applyFont="1" applyAlignment="1">
      <alignment horizontal="center" vertical="center" wrapText="1"/>
    </xf>
    <xf numFmtId="0" fontId="4" fillId="0" borderId="3" xfId="14" applyFont="1" applyBorder="1" applyAlignment="1">
      <alignment horizontal="center" vertical="center" wrapText="1"/>
    </xf>
    <xf numFmtId="0" fontId="4" fillId="0" borderId="2" xfId="14" applyFont="1" applyBorder="1" applyAlignment="1">
      <alignment horizontal="center" vertical="center" wrapText="1"/>
    </xf>
    <xf numFmtId="0" fontId="4" fillId="0" borderId="4" xfId="14" applyFont="1" applyBorder="1" applyAlignment="1">
      <alignment horizontal="center" vertical="center" wrapText="1"/>
    </xf>
    <xf numFmtId="0" fontId="4" fillId="0" borderId="5" xfId="14" applyFont="1" applyBorder="1" applyAlignment="1">
      <alignment horizontal="center" vertical="center" wrapText="1"/>
    </xf>
    <xf numFmtId="0" fontId="4" fillId="0" borderId="10" xfId="14" applyFont="1" applyBorder="1" applyAlignment="1">
      <alignment horizontal="center" vertical="center" wrapText="1"/>
    </xf>
    <xf numFmtId="0" fontId="4" fillId="0" borderId="9" xfId="14" applyFont="1" applyBorder="1" applyAlignment="1">
      <alignment horizontal="center" vertical="center" wrapText="1"/>
    </xf>
    <xf numFmtId="0" fontId="4" fillId="0" borderId="15" xfId="14" applyFont="1" applyBorder="1" applyAlignment="1">
      <alignment horizontal="center" vertical="center" wrapText="1"/>
    </xf>
    <xf numFmtId="0" fontId="4" fillId="0" borderId="18" xfId="14" applyFont="1" applyBorder="1" applyAlignment="1">
      <alignment horizontal="center" vertical="center" wrapText="1"/>
    </xf>
    <xf numFmtId="0" fontId="4" fillId="0" borderId="0" xfId="14" applyFont="1" applyAlignment="1">
      <alignment horizontal="center" vertical="center" wrapText="1"/>
    </xf>
    <xf numFmtId="0" fontId="4" fillId="0" borderId="20" xfId="14" applyFont="1" applyBorder="1" applyAlignment="1">
      <alignment horizontal="center" vertical="center" wrapText="1"/>
    </xf>
    <xf numFmtId="0" fontId="25" fillId="0" borderId="2" xfId="14" applyFont="1" applyBorder="1" applyAlignment="1">
      <alignment horizontal="center" vertical="center" wrapText="1"/>
    </xf>
    <xf numFmtId="0" fontId="25" fillId="0" borderId="4" xfId="14" applyFont="1" applyBorder="1" applyAlignment="1">
      <alignment horizontal="center" vertical="center" wrapText="1"/>
    </xf>
    <xf numFmtId="0" fontId="25" fillId="0" borderId="5" xfId="14" applyFont="1" applyBorder="1" applyAlignment="1">
      <alignment horizontal="center" vertical="center" wrapText="1"/>
    </xf>
    <xf numFmtId="0" fontId="25" fillId="0" borderId="9" xfId="14" applyFont="1" applyBorder="1" applyAlignment="1">
      <alignment horizontal="center" vertical="center" wrapText="1"/>
    </xf>
    <xf numFmtId="0" fontId="25" fillId="0" borderId="15" xfId="14" applyFont="1" applyBorder="1" applyAlignment="1">
      <alignment horizontal="center" vertical="center" wrapText="1"/>
    </xf>
    <xf numFmtId="0" fontId="25" fillId="0" borderId="20" xfId="14" applyFont="1" applyBorder="1" applyAlignment="1">
      <alignment horizontal="center" vertical="center" wrapText="1"/>
    </xf>
    <xf numFmtId="0" fontId="25" fillId="0" borderId="17" xfId="14" applyFont="1" applyBorder="1" applyAlignment="1">
      <alignment horizontal="center" vertical="center" wrapText="1"/>
    </xf>
    <xf numFmtId="0" fontId="4" fillId="0" borderId="14" xfId="14" applyFont="1" applyBorder="1" applyAlignment="1">
      <alignment horizontal="center" vertical="center" wrapText="1"/>
    </xf>
    <xf numFmtId="0" fontId="4" fillId="0" borderId="1" xfId="14" applyFont="1" applyBorder="1" applyAlignment="1">
      <alignment horizontal="center" vertical="center" wrapText="1"/>
    </xf>
    <xf numFmtId="0" fontId="4" fillId="0" borderId="17" xfId="14" applyFont="1" applyBorder="1" applyAlignment="1">
      <alignment horizontal="center" vertical="center" wrapText="1"/>
    </xf>
    <xf numFmtId="0" fontId="4" fillId="0" borderId="11" xfId="14" applyFont="1" applyBorder="1" applyAlignment="1">
      <alignment horizontal="center" vertical="center" wrapText="1"/>
    </xf>
    <xf numFmtId="0" fontId="4" fillId="0" borderId="12" xfId="14" applyFont="1" applyBorder="1" applyAlignment="1">
      <alignment horizontal="center" vertical="center" wrapText="1"/>
    </xf>
    <xf numFmtId="0" fontId="25" fillId="0" borderId="11" xfId="14" applyFont="1" applyBorder="1" applyAlignment="1">
      <alignment horizontal="center" vertical="center" wrapText="1"/>
    </xf>
    <xf numFmtId="0" fontId="25" fillId="0" borderId="12" xfId="14" applyFont="1" applyBorder="1" applyAlignment="1">
      <alignment horizontal="center" vertical="center" wrapText="1"/>
    </xf>
    <xf numFmtId="0" fontId="25" fillId="0" borderId="13" xfId="14" applyFont="1" applyBorder="1" applyAlignment="1">
      <alignment horizontal="center" vertical="center" wrapText="1"/>
    </xf>
    <xf numFmtId="0" fontId="30" fillId="0" borderId="1" xfId="14" applyFont="1" applyBorder="1" applyAlignment="1">
      <alignment horizontal="center" vertical="center"/>
    </xf>
    <xf numFmtId="3" fontId="4" fillId="0" borderId="2" xfId="14" applyNumberFormat="1" applyFont="1" applyBorder="1" applyAlignment="1">
      <alignment horizontal="center" vertical="center" wrapText="1"/>
    </xf>
    <xf numFmtId="3" fontId="4" fillId="0" borderId="4" xfId="14" applyNumberFormat="1" applyFont="1" applyBorder="1" applyAlignment="1">
      <alignment horizontal="center" vertical="center" wrapText="1"/>
    </xf>
    <xf numFmtId="3" fontId="4" fillId="0" borderId="5" xfId="14" applyNumberFormat="1" applyFont="1" applyBorder="1" applyAlignment="1">
      <alignment horizontal="center" vertical="center" wrapText="1"/>
    </xf>
    <xf numFmtId="0" fontId="25" fillId="0" borderId="9" xfId="14" applyFont="1" applyBorder="1" applyAlignment="1">
      <alignment horizontal="left" vertical="center" wrapText="1"/>
    </xf>
    <xf numFmtId="0" fontId="6" fillId="0" borderId="9" xfId="14" applyFont="1" applyBorder="1" applyAlignment="1">
      <alignment horizontal="left" vertical="center"/>
    </xf>
    <xf numFmtId="0" fontId="6" fillId="0" borderId="0" xfId="14" applyFont="1" applyAlignment="1">
      <alignment horizontal="left" vertical="center"/>
    </xf>
    <xf numFmtId="0" fontId="25" fillId="0" borderId="3" xfId="14" applyFont="1" applyBorder="1" applyAlignment="1">
      <alignment horizontal="center" vertical="center" wrapText="1"/>
    </xf>
    <xf numFmtId="0" fontId="10" fillId="0" borderId="0" xfId="14" applyFont="1" applyAlignment="1">
      <alignment horizontal="center" vertical="center"/>
    </xf>
    <xf numFmtId="0" fontId="10" fillId="0" borderId="0" xfId="14" applyFont="1" applyAlignment="1">
      <alignment horizontal="center" vertical="center" wrapText="1"/>
    </xf>
    <xf numFmtId="0" fontId="12" fillId="0" borderId="0" xfId="14" applyFont="1" applyAlignment="1">
      <alignment horizontal="center" vertical="center" wrapText="1"/>
    </xf>
    <xf numFmtId="0" fontId="30" fillId="0" borderId="0" xfId="14" applyFont="1" applyAlignment="1">
      <alignment horizontal="center" vertical="center"/>
    </xf>
    <xf numFmtId="0" fontId="4" fillId="0" borderId="19" xfId="31" applyFont="1" applyFill="1" applyBorder="1" applyAlignment="1" applyProtection="1">
      <alignment horizontal="center" vertical="center" wrapText="1"/>
    </xf>
    <xf numFmtId="0" fontId="25" fillId="0" borderId="19" xfId="31" applyFont="1" applyFill="1" applyBorder="1" applyAlignment="1" applyProtection="1">
      <alignment horizontal="center" vertical="center" wrapText="1"/>
    </xf>
    <xf numFmtId="3" fontId="4" fillId="0" borderId="19" xfId="31" applyNumberFormat="1" applyFont="1" applyFill="1" applyBorder="1" applyAlignment="1" applyProtection="1">
      <alignment horizontal="center" vertical="center" wrapText="1"/>
    </xf>
    <xf numFmtId="0" fontId="4" fillId="0" borderId="19" xfId="31" applyFont="1" applyFill="1" applyBorder="1" applyAlignment="1" applyProtection="1">
      <alignment horizontal="center" vertical="center"/>
    </xf>
    <xf numFmtId="43" fontId="4" fillId="0" borderId="19" xfId="31" applyNumberFormat="1" applyFont="1" applyFill="1" applyBorder="1" applyAlignment="1" applyProtection="1">
      <alignment horizontal="center" vertical="center" wrapText="1"/>
    </xf>
    <xf numFmtId="49" fontId="4" fillId="0" borderId="2" xfId="30" applyNumberFormat="1" applyFont="1" applyFill="1" applyBorder="1" applyAlignment="1">
      <alignment horizontal="center" vertical="center" wrapText="1"/>
    </xf>
    <xf numFmtId="49" fontId="4" fillId="0" borderId="4" xfId="30" applyNumberFormat="1" applyFont="1" applyFill="1" applyBorder="1" applyAlignment="1">
      <alignment horizontal="center" vertical="center" wrapText="1"/>
    </xf>
    <xf numFmtId="167" fontId="4" fillId="0" borderId="3" xfId="30" applyNumberFormat="1" applyFont="1" applyFill="1" applyBorder="1" applyAlignment="1">
      <alignment horizontal="center" vertical="center" wrapText="1"/>
    </xf>
    <xf numFmtId="167" fontId="4" fillId="0" borderId="2" xfId="30" applyNumberFormat="1" applyFont="1" applyFill="1" applyBorder="1" applyAlignment="1">
      <alignment horizontal="center" vertical="center" wrapText="1"/>
    </xf>
    <xf numFmtId="167" fontId="4" fillId="0" borderId="4" xfId="30" applyNumberFormat="1" applyFont="1" applyFill="1" applyBorder="1" applyAlignment="1">
      <alignment horizontal="center" vertical="center" wrapText="1"/>
    </xf>
    <xf numFmtId="167" fontId="4" fillId="0" borderId="5" xfId="30" applyNumberFormat="1" applyFont="1" applyFill="1" applyBorder="1" applyAlignment="1">
      <alignment horizontal="center" vertical="center" wrapText="1"/>
    </xf>
    <xf numFmtId="167" fontId="25" fillId="0" borderId="3" xfId="30" applyNumberFormat="1" applyFont="1" applyFill="1" applyBorder="1" applyAlignment="1">
      <alignment horizontal="center" vertical="center" wrapText="1"/>
    </xf>
    <xf numFmtId="167" fontId="25" fillId="0" borderId="2" xfId="30" applyNumberFormat="1" applyFont="1" applyFill="1" applyBorder="1" applyAlignment="1">
      <alignment horizontal="center" vertical="center" wrapText="1"/>
    </xf>
    <xf numFmtId="167" fontId="25" fillId="0" borderId="10" xfId="30" applyNumberFormat="1" applyFont="1" applyFill="1" applyBorder="1" applyAlignment="1">
      <alignment horizontal="center" vertical="center" wrapText="1"/>
    </xf>
    <xf numFmtId="167" fontId="25" fillId="0" borderId="9" xfId="30" applyNumberFormat="1" applyFont="1" applyFill="1" applyBorder="1" applyAlignment="1">
      <alignment horizontal="center" vertical="center" wrapText="1"/>
    </xf>
    <xf numFmtId="167" fontId="25" fillId="0" borderId="15" xfId="30" applyNumberFormat="1" applyFont="1" applyFill="1" applyBorder="1" applyAlignment="1">
      <alignment horizontal="center" vertical="center" wrapText="1"/>
    </xf>
    <xf numFmtId="167" fontId="25" fillId="0" borderId="14" xfId="30" applyNumberFormat="1" applyFont="1" applyFill="1" applyBorder="1" applyAlignment="1">
      <alignment horizontal="center" vertical="center" wrapText="1"/>
    </xf>
    <xf numFmtId="167" fontId="25" fillId="0" borderId="1" xfId="30" applyNumberFormat="1" applyFont="1" applyFill="1" applyBorder="1" applyAlignment="1">
      <alignment horizontal="center" vertical="center" wrapText="1"/>
    </xf>
    <xf numFmtId="167" fontId="25" fillId="0" borderId="17" xfId="30" applyNumberFormat="1" applyFont="1" applyFill="1" applyBorder="1" applyAlignment="1">
      <alignment horizontal="center" vertical="center" wrapText="1"/>
    </xf>
    <xf numFmtId="167" fontId="4" fillId="0" borderId="11" xfId="30" applyNumberFormat="1" applyFont="1" applyFill="1" applyBorder="1" applyAlignment="1">
      <alignment horizontal="center" vertical="center" wrapText="1"/>
    </xf>
    <xf numFmtId="167" fontId="4" fillId="0" borderId="12" xfId="30" applyNumberFormat="1" applyFont="1" applyFill="1" applyBorder="1" applyAlignment="1">
      <alignment horizontal="center" vertical="center" wrapText="1"/>
    </xf>
    <xf numFmtId="167" fontId="4" fillId="0" borderId="13" xfId="30" applyNumberFormat="1" applyFont="1" applyFill="1" applyBorder="1" applyAlignment="1">
      <alignment horizontal="center" vertical="center" wrapText="1"/>
    </xf>
    <xf numFmtId="167" fontId="4" fillId="0" borderId="10" xfId="30" applyNumberFormat="1" applyFont="1" applyFill="1" applyBorder="1" applyAlignment="1">
      <alignment horizontal="center" vertical="center" wrapText="1"/>
    </xf>
    <xf numFmtId="167" fontId="4" fillId="0" borderId="18" xfId="30" applyNumberFormat="1" applyFont="1" applyFill="1" applyBorder="1" applyAlignment="1">
      <alignment horizontal="center" vertical="center" wrapText="1"/>
    </xf>
    <xf numFmtId="167" fontId="30" fillId="0" borderId="1" xfId="30" applyNumberFormat="1" applyFont="1" applyFill="1" applyBorder="1" applyAlignment="1">
      <alignment horizontal="center" vertical="center"/>
    </xf>
    <xf numFmtId="0" fontId="5" fillId="0" borderId="0" xfId="0" applyFont="1" applyAlignment="1">
      <alignment horizontal="center" vertical="center" wrapText="1"/>
    </xf>
    <xf numFmtId="0" fontId="4" fillId="0" borderId="3"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8" fillId="0" borderId="0" xfId="0" applyFont="1" applyAlignment="1">
      <alignment horizontal="center" vertical="center" wrapText="1"/>
    </xf>
    <xf numFmtId="0" fontId="15" fillId="0" borderId="0" xfId="0" applyFont="1" applyAlignment="1">
      <alignment horizontal="center" vertical="center"/>
    </xf>
    <xf numFmtId="0" fontId="30" fillId="0" borderId="1" xfId="0" applyFont="1" applyBorder="1" applyAlignment="1">
      <alignment horizontal="right" vertical="center" wrapText="1"/>
    </xf>
    <xf numFmtId="0" fontId="25" fillId="0" borderId="0" xfId="14" applyFont="1" applyAlignment="1">
      <alignment horizontal="left" vertical="center" wrapText="1"/>
    </xf>
    <xf numFmtId="0" fontId="25" fillId="0" borderId="0" xfId="14" applyFont="1" applyAlignment="1">
      <alignment horizontal="left" vertical="center"/>
    </xf>
    <xf numFmtId="0" fontId="4" fillId="0" borderId="13" xfId="14" applyFont="1" applyBorder="1" applyAlignment="1">
      <alignment horizontal="center" vertical="center" wrapText="1"/>
    </xf>
    <xf numFmtId="169" fontId="25" fillId="0" borderId="3" xfId="18" applyNumberFormat="1" applyFont="1" applyFill="1" applyBorder="1" applyAlignment="1">
      <alignment horizontal="center" vertical="center" wrapText="1"/>
    </xf>
    <xf numFmtId="2" fontId="25" fillId="0" borderId="3" xfId="14" applyNumberFormat="1" applyFont="1" applyBorder="1" applyAlignment="1">
      <alignment horizontal="center" vertical="center" wrapText="1"/>
    </xf>
    <xf numFmtId="167" fontId="4" fillId="0" borderId="3" xfId="18" applyNumberFormat="1"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4" xfId="0" applyFont="1" applyBorder="1" applyAlignment="1">
      <alignment horizontal="center" vertical="center" wrapText="1"/>
    </xf>
    <xf numFmtId="0" fontId="25" fillId="0" borderId="5" xfId="0" applyFont="1" applyBorder="1" applyAlignment="1">
      <alignment horizontal="center" vertical="center" wrapText="1"/>
    </xf>
    <xf numFmtId="0" fontId="30" fillId="0" borderId="0" xfId="0" applyFont="1" applyAlignment="1">
      <alignment horizontal="center" vertical="center" wrapText="1"/>
    </xf>
    <xf numFmtId="171" fontId="25" fillId="0" borderId="3" xfId="18" applyNumberFormat="1" applyFont="1" applyFill="1" applyBorder="1" applyAlignment="1">
      <alignment horizontal="center" vertical="center" wrapText="1"/>
    </xf>
    <xf numFmtId="0" fontId="8" fillId="0" borderId="1" xfId="0" applyFont="1" applyBorder="1" applyAlignment="1">
      <alignment horizontal="center" vertical="center" wrapText="1"/>
    </xf>
    <xf numFmtId="171" fontId="8" fillId="0" borderId="1" xfId="18" applyNumberFormat="1" applyFont="1" applyFill="1" applyBorder="1" applyAlignment="1">
      <alignment horizontal="center" vertical="center" wrapText="1"/>
    </xf>
    <xf numFmtId="167" fontId="25" fillId="0" borderId="2" xfId="18" applyNumberFormat="1" applyFont="1" applyFill="1" applyBorder="1" applyAlignment="1">
      <alignment horizontal="center" vertical="center" wrapText="1"/>
    </xf>
    <xf numFmtId="167" fontId="25" fillId="0" borderId="4" xfId="18" applyNumberFormat="1" applyFont="1" applyFill="1" applyBorder="1" applyAlignment="1">
      <alignment horizontal="center" vertical="center" wrapText="1"/>
    </xf>
    <xf numFmtId="167" fontId="25" fillId="0" borderId="5" xfId="18" applyNumberFormat="1" applyFont="1" applyFill="1" applyBorder="1" applyAlignment="1">
      <alignment horizontal="center" vertical="center" wrapText="1"/>
    </xf>
    <xf numFmtId="43" fontId="5" fillId="0" borderId="0" xfId="18" applyFont="1" applyFill="1" applyAlignment="1">
      <alignment horizontal="center" vertical="center" wrapText="1"/>
    </xf>
    <xf numFmtId="43" fontId="4" fillId="0" borderId="3" xfId="18" applyFont="1" applyFill="1" applyBorder="1" applyAlignment="1">
      <alignment horizontal="center" vertical="center" wrapText="1"/>
    </xf>
    <xf numFmtId="3" fontId="25" fillId="0" borderId="2" xfId="14" applyNumberFormat="1" applyFont="1" applyBorder="1" applyAlignment="1">
      <alignment horizontal="center" vertical="center" wrapText="1"/>
    </xf>
    <xf numFmtId="3" fontId="25" fillId="0" borderId="4" xfId="14" applyNumberFormat="1" applyFont="1" applyBorder="1" applyAlignment="1">
      <alignment horizontal="center" vertical="center" wrapText="1"/>
    </xf>
    <xf numFmtId="3" fontId="25" fillId="0" borderId="5" xfId="14" applyNumberFormat="1" applyFont="1" applyBorder="1" applyAlignment="1">
      <alignment horizontal="center" vertical="center" wrapText="1"/>
    </xf>
    <xf numFmtId="3" fontId="4" fillId="0" borderId="3" xfId="14" applyNumberFormat="1" applyFont="1" applyBorder="1" applyAlignment="1">
      <alignment horizontal="center" vertical="center" wrapText="1"/>
    </xf>
    <xf numFmtId="3" fontId="25" fillId="0" borderId="3" xfId="14" applyNumberFormat="1" applyFont="1" applyBorder="1" applyAlignment="1">
      <alignment horizontal="center" vertical="center" wrapText="1"/>
    </xf>
    <xf numFmtId="3" fontId="25" fillId="0" borderId="14" xfId="14" applyNumberFormat="1" applyFont="1" applyBorder="1" applyAlignment="1">
      <alignment horizontal="center" vertical="center" wrapText="1"/>
    </xf>
    <xf numFmtId="3" fontId="25" fillId="0" borderId="17" xfId="14" applyNumberFormat="1" applyFont="1" applyBorder="1" applyAlignment="1">
      <alignment horizontal="center" vertical="center" wrapText="1"/>
    </xf>
    <xf numFmtId="3" fontId="25" fillId="0" borderId="11" xfId="14" applyNumberFormat="1" applyFont="1" applyBorder="1" applyAlignment="1">
      <alignment horizontal="center" vertical="center" wrapText="1"/>
    </xf>
    <xf numFmtId="3" fontId="25" fillId="0" borderId="12" xfId="14" applyNumberFormat="1" applyFont="1" applyBorder="1" applyAlignment="1">
      <alignment horizontal="center" vertical="center" wrapText="1"/>
    </xf>
    <xf numFmtId="3" fontId="25" fillId="0" borderId="13" xfId="14" applyNumberFormat="1" applyFont="1" applyBorder="1" applyAlignment="1">
      <alignment horizontal="center" vertical="center" wrapText="1"/>
    </xf>
    <xf numFmtId="3" fontId="25" fillId="0" borderId="15" xfId="14" applyNumberFormat="1" applyFont="1" applyBorder="1" applyAlignment="1">
      <alignment horizontal="center" vertical="center" wrapText="1"/>
    </xf>
    <xf numFmtId="3" fontId="25" fillId="0" borderId="20" xfId="14" applyNumberFormat="1" applyFont="1" applyBorder="1" applyAlignment="1">
      <alignment horizontal="center" vertical="center" wrapText="1"/>
    </xf>
    <xf numFmtId="3" fontId="4" fillId="0" borderId="10" xfId="14" applyNumberFormat="1" applyFont="1" applyBorder="1" applyAlignment="1">
      <alignment horizontal="center" vertical="center" wrapText="1"/>
    </xf>
    <xf numFmtId="3" fontId="4" fillId="0" borderId="18" xfId="14" applyNumberFormat="1" applyFont="1" applyBorder="1" applyAlignment="1">
      <alignment horizontal="center" vertical="center" wrapText="1"/>
    </xf>
    <xf numFmtId="3" fontId="4" fillId="0" borderId="14" xfId="14" applyNumberFormat="1" applyFont="1" applyBorder="1" applyAlignment="1">
      <alignment horizontal="center" vertical="center" wrapText="1"/>
    </xf>
    <xf numFmtId="3" fontId="4" fillId="0" borderId="11" xfId="14" applyNumberFormat="1" applyFont="1" applyBorder="1" applyAlignment="1">
      <alignment horizontal="center" vertical="center" wrapText="1"/>
    </xf>
    <xf numFmtId="3" fontId="4" fillId="0" borderId="12" xfId="14" applyNumberFormat="1" applyFont="1" applyBorder="1" applyAlignment="1">
      <alignment horizontal="center" vertical="center" wrapText="1"/>
    </xf>
    <xf numFmtId="3" fontId="4" fillId="0" borderId="13" xfId="14" applyNumberFormat="1" applyFont="1" applyBorder="1" applyAlignment="1">
      <alignment horizontal="center" vertical="center" wrapText="1"/>
    </xf>
    <xf numFmtId="3" fontId="25" fillId="0" borderId="10" xfId="14" applyNumberFormat="1" applyFont="1" applyBorder="1" applyAlignment="1">
      <alignment horizontal="center" vertical="center" wrapText="1"/>
    </xf>
    <xf numFmtId="3" fontId="25" fillId="0" borderId="9" xfId="14" applyNumberFormat="1" applyFont="1" applyBorder="1" applyAlignment="1">
      <alignment horizontal="center" vertical="center" wrapText="1"/>
    </xf>
    <xf numFmtId="3" fontId="4" fillId="0" borderId="9" xfId="14" applyNumberFormat="1" applyFont="1" applyBorder="1" applyAlignment="1">
      <alignment horizontal="center" vertical="center" wrapText="1"/>
    </xf>
    <xf numFmtId="3" fontId="4" fillId="0" borderId="15" xfId="14" applyNumberFormat="1" applyFont="1" applyBorder="1" applyAlignment="1">
      <alignment horizontal="center" vertical="center" wrapText="1"/>
    </xf>
    <xf numFmtId="3" fontId="4" fillId="0" borderId="20" xfId="14" applyNumberFormat="1" applyFont="1" applyBorder="1" applyAlignment="1">
      <alignment horizontal="center" vertical="center" wrapText="1"/>
    </xf>
    <xf numFmtId="3" fontId="4" fillId="0" borderId="17" xfId="14" applyNumberFormat="1" applyFont="1" applyBorder="1" applyAlignment="1">
      <alignment horizontal="center" vertical="center" wrapText="1"/>
    </xf>
    <xf numFmtId="3" fontId="5" fillId="0" borderId="1" xfId="14" applyNumberFormat="1" applyFont="1" applyBorder="1" applyAlignment="1">
      <alignment horizontal="center" vertical="center" wrapText="1"/>
    </xf>
    <xf numFmtId="0" fontId="8" fillId="0" borderId="0" xfId="0" applyFont="1" applyAlignment="1">
      <alignment horizontal="center" vertical="center"/>
    </xf>
    <xf numFmtId="0" fontId="4" fillId="0" borderId="10"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7" xfId="0" applyFont="1" applyBorder="1" applyAlignment="1">
      <alignment horizontal="center" vertical="center" wrapText="1"/>
    </xf>
    <xf numFmtId="3" fontId="22" fillId="0" borderId="0" xfId="0" applyNumberFormat="1" applyFont="1" applyAlignment="1">
      <alignment vertical="top" wrapText="1"/>
    </xf>
    <xf numFmtId="3" fontId="22" fillId="0" borderId="0" xfId="0" applyNumberFormat="1" applyFont="1" applyAlignment="1">
      <alignment vertical="top"/>
    </xf>
    <xf numFmtId="0" fontId="30" fillId="0" borderId="1" xfId="0" applyFont="1" applyBorder="1" applyAlignment="1">
      <alignment horizontal="center" vertical="center"/>
    </xf>
    <xf numFmtId="0" fontId="15" fillId="0" borderId="3" xfId="0" applyFont="1" applyBorder="1" applyAlignment="1">
      <alignment horizontal="center" vertical="center" wrapText="1"/>
    </xf>
    <xf numFmtId="0" fontId="34" fillId="4" borderId="0" xfId="0" applyFont="1" applyFill="1" applyAlignment="1">
      <alignment horizontal="center" vertical="center" wrapText="1"/>
    </xf>
    <xf numFmtId="0" fontId="15" fillId="3" borderId="3" xfId="0" applyFont="1" applyFill="1" applyBorder="1" applyAlignment="1">
      <alignment horizontal="center" vertical="center"/>
    </xf>
    <xf numFmtId="3" fontId="5" fillId="0" borderId="0" xfId="0" applyNumberFormat="1" applyFont="1" applyAlignment="1">
      <alignment horizontal="center" vertical="center" wrapText="1"/>
    </xf>
    <xf numFmtId="2" fontId="43" fillId="0" borderId="3" xfId="0" applyNumberFormat="1" applyFont="1" applyBorder="1" applyAlignment="1">
      <alignment horizontal="center" vertical="center" wrapText="1"/>
    </xf>
    <xf numFmtId="0" fontId="43" fillId="0" borderId="3" xfId="0" applyFont="1" applyBorder="1" applyAlignment="1">
      <alignment horizontal="center" vertical="center" wrapText="1"/>
    </xf>
    <xf numFmtId="0" fontId="44" fillId="0" borderId="3" xfId="0" applyFont="1" applyBorder="1" applyAlignment="1">
      <alignment horizontal="center" vertical="center" wrapText="1"/>
    </xf>
    <xf numFmtId="49" fontId="43" fillId="0" borderId="3" xfId="0" applyNumberFormat="1" applyFont="1" applyBorder="1" applyAlignment="1">
      <alignment horizontal="center" vertical="center" wrapText="1"/>
    </xf>
    <xf numFmtId="0" fontId="50" fillId="0" borderId="3" xfId="0" applyFont="1" applyBorder="1" applyAlignment="1">
      <alignment horizontal="center" vertical="center"/>
    </xf>
    <xf numFmtId="0" fontId="50" fillId="0" borderId="1" xfId="0" applyFont="1" applyBorder="1" applyAlignment="1">
      <alignment horizontal="center" vertical="center"/>
    </xf>
    <xf numFmtId="0" fontId="42" fillId="0" borderId="4" xfId="0" applyFont="1" applyBorder="1" applyAlignment="1">
      <alignment horizontal="center" vertical="center" wrapText="1"/>
    </xf>
    <xf numFmtId="0" fontId="42" fillId="0" borderId="5"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4" xfId="0" applyFont="1" applyBorder="1" applyAlignment="1">
      <alignment horizontal="center" vertical="center" wrapText="1"/>
    </xf>
    <xf numFmtId="0" fontId="43" fillId="0" borderId="5" xfId="0" applyFont="1" applyBorder="1" applyAlignment="1">
      <alignment horizontal="center" vertical="center" wrapText="1"/>
    </xf>
    <xf numFmtId="0" fontId="5" fillId="0" borderId="1" xfId="0" applyFont="1" applyBorder="1" applyAlignment="1">
      <alignment horizontal="center" vertical="center"/>
    </xf>
    <xf numFmtId="3" fontId="25" fillId="0" borderId="0" xfId="0" applyNumberFormat="1" applyFont="1" applyAlignment="1">
      <alignment horizontal="left" vertical="center" wrapText="1"/>
    </xf>
    <xf numFmtId="3" fontId="25" fillId="0" borderId="0" xfId="0" applyNumberFormat="1" applyFont="1" applyAlignment="1">
      <alignment horizontal="left" vertical="center"/>
    </xf>
    <xf numFmtId="167" fontId="44" fillId="0" borderId="3" xfId="18" applyNumberFormat="1" applyFont="1" applyFill="1" applyBorder="1" applyAlignment="1">
      <alignment horizontal="center" vertical="center" wrapText="1"/>
    </xf>
    <xf numFmtId="0" fontId="5" fillId="0" borderId="0" xfId="14" applyFont="1" applyAlignment="1">
      <alignment horizontal="center" vertical="center"/>
    </xf>
    <xf numFmtId="0" fontId="5" fillId="0" borderId="1" xfId="14" applyFont="1" applyBorder="1" applyAlignment="1">
      <alignment horizontal="center" vertical="center"/>
    </xf>
    <xf numFmtId="3" fontId="25" fillId="0" borderId="0" xfId="0" applyNumberFormat="1" applyFont="1" applyAlignment="1">
      <alignment vertical="top" wrapText="1"/>
    </xf>
    <xf numFmtId="3" fontId="25" fillId="0" borderId="0" xfId="0" applyNumberFormat="1" applyFont="1" applyAlignment="1">
      <alignment vertical="top"/>
    </xf>
    <xf numFmtId="0" fontId="4" fillId="0" borderId="11" xfId="14" applyFont="1" applyBorder="1" applyAlignment="1">
      <alignment horizontal="center" vertical="center"/>
    </xf>
    <xf numFmtId="0" fontId="4" fillId="0" borderId="12" xfId="14" applyFont="1" applyBorder="1" applyAlignment="1">
      <alignment horizontal="center" vertical="center"/>
    </xf>
    <xf numFmtId="0" fontId="4" fillId="0" borderId="13" xfId="14" applyFont="1" applyBorder="1" applyAlignment="1">
      <alignment horizontal="center" vertical="center"/>
    </xf>
  </cellXfs>
  <cellStyles count="43">
    <cellStyle name="_KT_TG_2_PGIA-phieu tham tra Kho bac" xfId="28"/>
    <cellStyle name="Bình thường 2" xfId="4"/>
    <cellStyle name="Bình thường 3" xfId="7"/>
    <cellStyle name="Comma" xfId="18" builtinId="3"/>
    <cellStyle name="Comma [0]" xfId="22" builtinId="6"/>
    <cellStyle name="Comma 10" xfId="23"/>
    <cellStyle name="Comma 10 10" xfId="26"/>
    <cellStyle name="Comma 10 3" xfId="33"/>
    <cellStyle name="Comma 12" xfId="38"/>
    <cellStyle name="Comma 16 3" xfId="24"/>
    <cellStyle name="Comma 2" xfId="19"/>
    <cellStyle name="Comma 2 2" xfId="41"/>
    <cellStyle name="Comma 2 5" xfId="25"/>
    <cellStyle name="Comma 3" xfId="30"/>
    <cellStyle name="Comma 4" xfId="36"/>
    <cellStyle name="Comma 60" xfId="29"/>
    <cellStyle name="Comma 60 2" xfId="32"/>
    <cellStyle name="Dấu phẩy 2" xfId="1"/>
    <cellStyle name="Dấu phẩy 3" xfId="5"/>
    <cellStyle name="Dấu phẩy 4" xfId="8"/>
    <cellStyle name="Normal" xfId="0" builtinId="0"/>
    <cellStyle name="Normal 10" xfId="10"/>
    <cellStyle name="Normal 10 2 4 2 5 2 2" xfId="3"/>
    <cellStyle name="Normal 10 2 4 2 7 2" xfId="2"/>
    <cellStyle name="Normal 10 4" xfId="16"/>
    <cellStyle name="Normal 10 5" xfId="13"/>
    <cellStyle name="Normal 11 3 4" xfId="15"/>
    <cellStyle name="Normal 12" xfId="9"/>
    <cellStyle name="Normal 2" xfId="31"/>
    <cellStyle name="Normal 2 28" xfId="20"/>
    <cellStyle name="Normal 2 44" xfId="21"/>
    <cellStyle name="Normal 3 2" xfId="35"/>
    <cellStyle name="Normal 4" xfId="34"/>
    <cellStyle name="Normal 4 2" xfId="12"/>
    <cellStyle name="Normal 4 4" xfId="6"/>
    <cellStyle name="Normal 58" xfId="17"/>
    <cellStyle name="Normal 69_Phu bieur theo CV 71 của Phòng dan toc" xfId="27"/>
    <cellStyle name="Normal 80 2 2 5" xfId="14"/>
    <cellStyle name="Normal_Bieu mau (CV )" xfId="11"/>
    <cellStyle name="Normal_Bieu mau (CV ) 2 2" xfId="37"/>
    <cellStyle name="Normal_Sheet1" xfId="39"/>
    <cellStyle name="Normal_Sheet1_1" xfId="40"/>
    <cellStyle name="Style 1 4" xfId="42"/>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s>
  <tableStyles count="0" defaultTableStyle="TableStyleMedium2" defaultPivotStyle="PivotStyleLight16"/>
  <colors>
    <mruColors>
      <color rgb="FFCCECFF"/>
      <color rgb="FFFFCC99"/>
      <color rgb="FFFFCCCC"/>
      <color rgb="FFFF9966"/>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1</xdr:col>
      <xdr:colOff>1270000</xdr:colOff>
      <xdr:row>24</xdr:row>
      <xdr:rowOff>0</xdr:rowOff>
    </xdr:from>
    <xdr:ext cx="0" cy="718457"/>
    <xdr:sp macro="" textlink="">
      <xdr:nvSpPr>
        <xdr:cNvPr id="2" name="Text Box 2">
          <a:extLst>
            <a:ext uri="{FF2B5EF4-FFF2-40B4-BE49-F238E27FC236}">
              <a16:creationId xmlns:a16="http://schemas.microsoft.com/office/drawing/2014/main" id="{50392F3B-35D8-4A88-B881-87526AAD16D3}"/>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 name="Text Box 1">
          <a:extLst>
            <a:ext uri="{FF2B5EF4-FFF2-40B4-BE49-F238E27FC236}">
              <a16:creationId xmlns:a16="http://schemas.microsoft.com/office/drawing/2014/main" id="{C09E7D4D-4196-42AE-BB6D-FC793A5007E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 name="Text Box 2">
          <a:extLst>
            <a:ext uri="{FF2B5EF4-FFF2-40B4-BE49-F238E27FC236}">
              <a16:creationId xmlns:a16="http://schemas.microsoft.com/office/drawing/2014/main" id="{D33BD40B-3ACF-4C3D-8CB6-CCD732BD685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 name="Text Box 1">
          <a:extLst>
            <a:ext uri="{FF2B5EF4-FFF2-40B4-BE49-F238E27FC236}">
              <a16:creationId xmlns:a16="http://schemas.microsoft.com/office/drawing/2014/main" id="{15DF1B56-DE6E-49A4-9E33-1193A0A6FD3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 name="Text Box 2">
          <a:extLst>
            <a:ext uri="{FF2B5EF4-FFF2-40B4-BE49-F238E27FC236}">
              <a16:creationId xmlns:a16="http://schemas.microsoft.com/office/drawing/2014/main" id="{A7DC1A67-03ED-41AF-A997-5A13E529605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 name="Text Box 1">
          <a:extLst>
            <a:ext uri="{FF2B5EF4-FFF2-40B4-BE49-F238E27FC236}">
              <a16:creationId xmlns:a16="http://schemas.microsoft.com/office/drawing/2014/main" id="{94333491-26ED-4CDA-8568-D909A3BB925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 name="Text Box 2">
          <a:extLst>
            <a:ext uri="{FF2B5EF4-FFF2-40B4-BE49-F238E27FC236}">
              <a16:creationId xmlns:a16="http://schemas.microsoft.com/office/drawing/2014/main" id="{930357D4-F6DA-46C9-BAA6-0622AD30193B}"/>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 name="Text Box 1">
          <a:extLst>
            <a:ext uri="{FF2B5EF4-FFF2-40B4-BE49-F238E27FC236}">
              <a16:creationId xmlns:a16="http://schemas.microsoft.com/office/drawing/2014/main" id="{DBC4C88F-868D-40EB-AD62-EBF957F14E1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 name="Text Box 2">
          <a:extLst>
            <a:ext uri="{FF2B5EF4-FFF2-40B4-BE49-F238E27FC236}">
              <a16:creationId xmlns:a16="http://schemas.microsoft.com/office/drawing/2014/main" id="{A0454A0A-55EB-4EB1-B57C-33E8C06203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1" name="Text Box 2">
          <a:extLst>
            <a:ext uri="{FF2B5EF4-FFF2-40B4-BE49-F238E27FC236}">
              <a16:creationId xmlns:a16="http://schemas.microsoft.com/office/drawing/2014/main" id="{C5701C3C-B52E-45A0-9F29-13B66E3F9D80}"/>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 name="Text Box 1">
          <a:extLst>
            <a:ext uri="{FF2B5EF4-FFF2-40B4-BE49-F238E27FC236}">
              <a16:creationId xmlns:a16="http://schemas.microsoft.com/office/drawing/2014/main" id="{2E09BAB0-C4E8-4DAB-8005-4964B29133D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 name="Text Box 2">
          <a:extLst>
            <a:ext uri="{FF2B5EF4-FFF2-40B4-BE49-F238E27FC236}">
              <a16:creationId xmlns:a16="http://schemas.microsoft.com/office/drawing/2014/main" id="{792E7539-D249-42D4-B75E-A735AEB6202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 name="Text Box 2">
          <a:extLst>
            <a:ext uri="{FF2B5EF4-FFF2-40B4-BE49-F238E27FC236}">
              <a16:creationId xmlns:a16="http://schemas.microsoft.com/office/drawing/2014/main" id="{7477B7BD-30F2-446B-9CFD-54EF490C99BA}"/>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 name="Text Box 1">
          <a:extLst>
            <a:ext uri="{FF2B5EF4-FFF2-40B4-BE49-F238E27FC236}">
              <a16:creationId xmlns:a16="http://schemas.microsoft.com/office/drawing/2014/main" id="{8458B61D-E991-4218-9916-D48F53649C0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 name="Text Box 2">
          <a:extLst>
            <a:ext uri="{FF2B5EF4-FFF2-40B4-BE49-F238E27FC236}">
              <a16:creationId xmlns:a16="http://schemas.microsoft.com/office/drawing/2014/main" id="{924C357B-3D8D-42F8-9130-C401613A5EA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7" name="Text Box 2">
          <a:extLst>
            <a:ext uri="{FF2B5EF4-FFF2-40B4-BE49-F238E27FC236}">
              <a16:creationId xmlns:a16="http://schemas.microsoft.com/office/drawing/2014/main" id="{AA914BDC-49FE-40C4-B9E6-177989C7CC93}"/>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8" name="Text Box 1">
          <a:extLst>
            <a:ext uri="{FF2B5EF4-FFF2-40B4-BE49-F238E27FC236}">
              <a16:creationId xmlns:a16="http://schemas.microsoft.com/office/drawing/2014/main" id="{9372D613-99FD-4763-8CB8-27EB5D4BA14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9" name="Text Box 2">
          <a:extLst>
            <a:ext uri="{FF2B5EF4-FFF2-40B4-BE49-F238E27FC236}">
              <a16:creationId xmlns:a16="http://schemas.microsoft.com/office/drawing/2014/main" id="{2507F971-B302-4BBD-A969-368C0F3B4D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20" name="Text Box 2">
          <a:extLst>
            <a:ext uri="{FF2B5EF4-FFF2-40B4-BE49-F238E27FC236}">
              <a16:creationId xmlns:a16="http://schemas.microsoft.com/office/drawing/2014/main" id="{956059ED-0EA6-4F5E-B417-7A7AADB03EC5}"/>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1" name="Text Box 1">
          <a:extLst>
            <a:ext uri="{FF2B5EF4-FFF2-40B4-BE49-F238E27FC236}">
              <a16:creationId xmlns:a16="http://schemas.microsoft.com/office/drawing/2014/main" id="{CB2A7817-8EA1-48BA-AC12-E3F08F5BE8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2" name="Text Box 2">
          <a:extLst>
            <a:ext uri="{FF2B5EF4-FFF2-40B4-BE49-F238E27FC236}">
              <a16:creationId xmlns:a16="http://schemas.microsoft.com/office/drawing/2014/main" id="{3AC82227-40C7-4FFF-BDDB-2A20A49B0EB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23" name="Text Box 2">
          <a:extLst>
            <a:ext uri="{FF2B5EF4-FFF2-40B4-BE49-F238E27FC236}">
              <a16:creationId xmlns:a16="http://schemas.microsoft.com/office/drawing/2014/main" id="{AED5F527-CAF2-4E35-9747-8DF15C9455CA}"/>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4" name="Text Box 1">
          <a:extLst>
            <a:ext uri="{FF2B5EF4-FFF2-40B4-BE49-F238E27FC236}">
              <a16:creationId xmlns:a16="http://schemas.microsoft.com/office/drawing/2014/main" id="{C35C2919-BF5B-4195-814F-53C1E3D38EA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5" name="Text Box 2">
          <a:extLst>
            <a:ext uri="{FF2B5EF4-FFF2-40B4-BE49-F238E27FC236}">
              <a16:creationId xmlns:a16="http://schemas.microsoft.com/office/drawing/2014/main" id="{A21F7626-975E-4974-A5E6-B994379777F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26" name="Text Box 2">
          <a:extLst>
            <a:ext uri="{FF2B5EF4-FFF2-40B4-BE49-F238E27FC236}">
              <a16:creationId xmlns:a16="http://schemas.microsoft.com/office/drawing/2014/main" id="{8F965A8E-4E80-4BA9-9943-F7140F718F9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7" name="Text Box 1">
          <a:extLst>
            <a:ext uri="{FF2B5EF4-FFF2-40B4-BE49-F238E27FC236}">
              <a16:creationId xmlns:a16="http://schemas.microsoft.com/office/drawing/2014/main" id="{0ADEEC3A-77E1-47A1-B978-E66E3C45BCC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8" name="Text Box 2">
          <a:extLst>
            <a:ext uri="{FF2B5EF4-FFF2-40B4-BE49-F238E27FC236}">
              <a16:creationId xmlns:a16="http://schemas.microsoft.com/office/drawing/2014/main" id="{78080279-AC96-4C75-A6B9-74E414BF3A4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9" name="Text Box 1">
          <a:extLst>
            <a:ext uri="{FF2B5EF4-FFF2-40B4-BE49-F238E27FC236}">
              <a16:creationId xmlns:a16="http://schemas.microsoft.com/office/drawing/2014/main" id="{BA633FA8-4247-4ABA-9295-968F07B04D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0" name="Text Box 2">
          <a:extLst>
            <a:ext uri="{FF2B5EF4-FFF2-40B4-BE49-F238E27FC236}">
              <a16:creationId xmlns:a16="http://schemas.microsoft.com/office/drawing/2014/main" id="{B154021B-1B80-470F-B5AA-D92A8ECD797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1" name="Text Box 1">
          <a:extLst>
            <a:ext uri="{FF2B5EF4-FFF2-40B4-BE49-F238E27FC236}">
              <a16:creationId xmlns:a16="http://schemas.microsoft.com/office/drawing/2014/main" id="{A864ADF2-5633-487A-A818-60631E07472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2" name="Text Box 2">
          <a:extLst>
            <a:ext uri="{FF2B5EF4-FFF2-40B4-BE49-F238E27FC236}">
              <a16:creationId xmlns:a16="http://schemas.microsoft.com/office/drawing/2014/main" id="{9CF9CE8A-37E0-4D1A-BF09-1BEE3E71008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33" name="Text Box 1">
          <a:extLst>
            <a:ext uri="{FF2B5EF4-FFF2-40B4-BE49-F238E27FC236}">
              <a16:creationId xmlns:a16="http://schemas.microsoft.com/office/drawing/2014/main" id="{02BF6AC0-FABF-4A3C-A07D-3F8A0B63030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34" name="Text Box 2">
          <a:extLst>
            <a:ext uri="{FF2B5EF4-FFF2-40B4-BE49-F238E27FC236}">
              <a16:creationId xmlns:a16="http://schemas.microsoft.com/office/drawing/2014/main" id="{0C1DBAFA-E842-4E7A-A163-F1DCD62C70BC}"/>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5" name="Text Box 1">
          <a:extLst>
            <a:ext uri="{FF2B5EF4-FFF2-40B4-BE49-F238E27FC236}">
              <a16:creationId xmlns:a16="http://schemas.microsoft.com/office/drawing/2014/main" id="{E26748A8-7916-44F6-A383-6444882DFCC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6" name="Text Box 2">
          <a:extLst>
            <a:ext uri="{FF2B5EF4-FFF2-40B4-BE49-F238E27FC236}">
              <a16:creationId xmlns:a16="http://schemas.microsoft.com/office/drawing/2014/main" id="{66A2A5AA-0559-48D4-888E-BD8010F1D4D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37" name="Text Box 1">
          <a:extLst>
            <a:ext uri="{FF2B5EF4-FFF2-40B4-BE49-F238E27FC236}">
              <a16:creationId xmlns:a16="http://schemas.microsoft.com/office/drawing/2014/main" id="{B3CDE52C-2796-4A15-A87C-7B9A0EF20BF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38" name="Text Box 2">
          <a:extLst>
            <a:ext uri="{FF2B5EF4-FFF2-40B4-BE49-F238E27FC236}">
              <a16:creationId xmlns:a16="http://schemas.microsoft.com/office/drawing/2014/main" id="{9823FD55-3F63-4FFF-80C4-5F2D73F49AF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9" name="Text Box 1">
          <a:extLst>
            <a:ext uri="{FF2B5EF4-FFF2-40B4-BE49-F238E27FC236}">
              <a16:creationId xmlns:a16="http://schemas.microsoft.com/office/drawing/2014/main" id="{C18C3879-F535-4758-8FE4-B4955D7B564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0" name="Text Box 2">
          <a:extLst>
            <a:ext uri="{FF2B5EF4-FFF2-40B4-BE49-F238E27FC236}">
              <a16:creationId xmlns:a16="http://schemas.microsoft.com/office/drawing/2014/main" id="{308281FB-E9F9-4773-A03E-9A3DBADD30B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1" name="Text Box 1">
          <a:extLst>
            <a:ext uri="{FF2B5EF4-FFF2-40B4-BE49-F238E27FC236}">
              <a16:creationId xmlns:a16="http://schemas.microsoft.com/office/drawing/2014/main" id="{B8F69177-808A-400E-8238-342E47CB84A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2" name="Text Box 2">
          <a:extLst>
            <a:ext uri="{FF2B5EF4-FFF2-40B4-BE49-F238E27FC236}">
              <a16:creationId xmlns:a16="http://schemas.microsoft.com/office/drawing/2014/main" id="{8AB50D6D-B7EE-48C4-B5F8-F770CA8D5E3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3" name="Text Box 1">
          <a:extLst>
            <a:ext uri="{FF2B5EF4-FFF2-40B4-BE49-F238E27FC236}">
              <a16:creationId xmlns:a16="http://schemas.microsoft.com/office/drawing/2014/main" id="{F03F0C83-EEBA-4E93-8811-B1EB6893C5A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4" name="Text Box 2">
          <a:extLst>
            <a:ext uri="{FF2B5EF4-FFF2-40B4-BE49-F238E27FC236}">
              <a16:creationId xmlns:a16="http://schemas.microsoft.com/office/drawing/2014/main" id="{F4273974-49B1-458B-BB64-B34BF90DFFD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45" name="Text Box 2">
          <a:extLst>
            <a:ext uri="{FF2B5EF4-FFF2-40B4-BE49-F238E27FC236}">
              <a16:creationId xmlns:a16="http://schemas.microsoft.com/office/drawing/2014/main" id="{5A489B5F-AEB9-42BC-89E3-984231CDC77A}"/>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6" name="Text Box 1">
          <a:extLst>
            <a:ext uri="{FF2B5EF4-FFF2-40B4-BE49-F238E27FC236}">
              <a16:creationId xmlns:a16="http://schemas.microsoft.com/office/drawing/2014/main" id="{63F19168-86EC-41E2-B2C7-D1011C60F49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7" name="Text Box 2">
          <a:extLst>
            <a:ext uri="{FF2B5EF4-FFF2-40B4-BE49-F238E27FC236}">
              <a16:creationId xmlns:a16="http://schemas.microsoft.com/office/drawing/2014/main" id="{8DF3FE44-65E6-4812-B4CE-AC550F7ED8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8" name="Text Box 1">
          <a:extLst>
            <a:ext uri="{FF2B5EF4-FFF2-40B4-BE49-F238E27FC236}">
              <a16:creationId xmlns:a16="http://schemas.microsoft.com/office/drawing/2014/main" id="{441A08B2-8920-4357-87DE-F64AE7D0C6B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9" name="Text Box 2">
          <a:extLst>
            <a:ext uri="{FF2B5EF4-FFF2-40B4-BE49-F238E27FC236}">
              <a16:creationId xmlns:a16="http://schemas.microsoft.com/office/drawing/2014/main" id="{F50A653A-EAB5-4290-A000-28349B1CC6C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50" name="Text Box 1">
          <a:extLst>
            <a:ext uri="{FF2B5EF4-FFF2-40B4-BE49-F238E27FC236}">
              <a16:creationId xmlns:a16="http://schemas.microsoft.com/office/drawing/2014/main" id="{3F0458D0-A068-4B86-8C79-3CF83F57A53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51" name="Text Box 2">
          <a:extLst>
            <a:ext uri="{FF2B5EF4-FFF2-40B4-BE49-F238E27FC236}">
              <a16:creationId xmlns:a16="http://schemas.microsoft.com/office/drawing/2014/main" id="{0E2FE212-943A-40E8-A267-CE0062781B6C}"/>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2" name="Text Box 1">
          <a:extLst>
            <a:ext uri="{FF2B5EF4-FFF2-40B4-BE49-F238E27FC236}">
              <a16:creationId xmlns:a16="http://schemas.microsoft.com/office/drawing/2014/main" id="{E3D58EDF-752B-43D5-9D2B-A6C4AFAC00D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3" name="Text Box 2">
          <a:extLst>
            <a:ext uri="{FF2B5EF4-FFF2-40B4-BE49-F238E27FC236}">
              <a16:creationId xmlns:a16="http://schemas.microsoft.com/office/drawing/2014/main" id="{E88CB49F-0FAB-4AE1-95CA-29B93935B24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54" name="Text Box 2">
          <a:extLst>
            <a:ext uri="{FF2B5EF4-FFF2-40B4-BE49-F238E27FC236}">
              <a16:creationId xmlns:a16="http://schemas.microsoft.com/office/drawing/2014/main" id="{498BB5F8-1944-41BA-AEF7-CC775506CD03}"/>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5" name="Text Box 1">
          <a:extLst>
            <a:ext uri="{FF2B5EF4-FFF2-40B4-BE49-F238E27FC236}">
              <a16:creationId xmlns:a16="http://schemas.microsoft.com/office/drawing/2014/main" id="{49E09BE7-6388-48C4-98D1-DCECDCF4AED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6" name="Text Box 2">
          <a:extLst>
            <a:ext uri="{FF2B5EF4-FFF2-40B4-BE49-F238E27FC236}">
              <a16:creationId xmlns:a16="http://schemas.microsoft.com/office/drawing/2014/main" id="{CE7B7AA5-CB57-44D7-A032-1361E8A9722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57" name="Text Box 2">
          <a:extLst>
            <a:ext uri="{FF2B5EF4-FFF2-40B4-BE49-F238E27FC236}">
              <a16:creationId xmlns:a16="http://schemas.microsoft.com/office/drawing/2014/main" id="{3AA05E85-B727-40C2-8502-CB1DCCB71A31}"/>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8" name="Text Box 1">
          <a:extLst>
            <a:ext uri="{FF2B5EF4-FFF2-40B4-BE49-F238E27FC236}">
              <a16:creationId xmlns:a16="http://schemas.microsoft.com/office/drawing/2014/main" id="{529BCDDE-4219-4F83-B49E-571AC60301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9" name="Text Box 2">
          <a:extLst>
            <a:ext uri="{FF2B5EF4-FFF2-40B4-BE49-F238E27FC236}">
              <a16:creationId xmlns:a16="http://schemas.microsoft.com/office/drawing/2014/main" id="{D16FFD5B-5A00-4DC1-A0B0-AA414794D71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60" name="Text Box 2">
          <a:extLst>
            <a:ext uri="{FF2B5EF4-FFF2-40B4-BE49-F238E27FC236}">
              <a16:creationId xmlns:a16="http://schemas.microsoft.com/office/drawing/2014/main" id="{25099FE1-65CA-4F67-AC6C-1F92FDE00B7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1" name="Text Box 1">
          <a:extLst>
            <a:ext uri="{FF2B5EF4-FFF2-40B4-BE49-F238E27FC236}">
              <a16:creationId xmlns:a16="http://schemas.microsoft.com/office/drawing/2014/main" id="{2B7960A7-909B-4653-A37A-F116C05A1A6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2" name="Text Box 2">
          <a:extLst>
            <a:ext uri="{FF2B5EF4-FFF2-40B4-BE49-F238E27FC236}">
              <a16:creationId xmlns:a16="http://schemas.microsoft.com/office/drawing/2014/main" id="{079B5D1A-52C6-4D37-AB10-F0C80A7EEB2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63" name="Text Box 2">
          <a:extLst>
            <a:ext uri="{FF2B5EF4-FFF2-40B4-BE49-F238E27FC236}">
              <a16:creationId xmlns:a16="http://schemas.microsoft.com/office/drawing/2014/main" id="{92E31932-14DD-4D04-8959-8B783DC7E4F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4" name="Text Box 1">
          <a:extLst>
            <a:ext uri="{FF2B5EF4-FFF2-40B4-BE49-F238E27FC236}">
              <a16:creationId xmlns:a16="http://schemas.microsoft.com/office/drawing/2014/main" id="{F7ED0711-E0A1-4D67-8E74-672D923CAC0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5" name="Text Box 2">
          <a:extLst>
            <a:ext uri="{FF2B5EF4-FFF2-40B4-BE49-F238E27FC236}">
              <a16:creationId xmlns:a16="http://schemas.microsoft.com/office/drawing/2014/main" id="{84926C2E-B56B-4CC6-99F4-FA0DB365AF3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66" name="Text Box 2">
          <a:extLst>
            <a:ext uri="{FF2B5EF4-FFF2-40B4-BE49-F238E27FC236}">
              <a16:creationId xmlns:a16="http://schemas.microsoft.com/office/drawing/2014/main" id="{6155D8C2-E67D-4B89-AD36-B19CE11D831D}"/>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7" name="Text Box 1">
          <a:extLst>
            <a:ext uri="{FF2B5EF4-FFF2-40B4-BE49-F238E27FC236}">
              <a16:creationId xmlns:a16="http://schemas.microsoft.com/office/drawing/2014/main" id="{A8DE760A-1896-4504-9453-54F96DB0C45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8" name="Text Box 2">
          <a:extLst>
            <a:ext uri="{FF2B5EF4-FFF2-40B4-BE49-F238E27FC236}">
              <a16:creationId xmlns:a16="http://schemas.microsoft.com/office/drawing/2014/main" id="{24A7ADD3-F308-40F6-B32B-0078166089E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69" name="Text Box 2">
          <a:extLst>
            <a:ext uri="{FF2B5EF4-FFF2-40B4-BE49-F238E27FC236}">
              <a16:creationId xmlns:a16="http://schemas.microsoft.com/office/drawing/2014/main" id="{EE36F57D-2ACD-4206-899E-3AF01C935CE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0" name="Text Box 1">
          <a:extLst>
            <a:ext uri="{FF2B5EF4-FFF2-40B4-BE49-F238E27FC236}">
              <a16:creationId xmlns:a16="http://schemas.microsoft.com/office/drawing/2014/main" id="{7D2A1300-706E-4B62-AD67-ECD0D535BB0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1" name="Text Box 2">
          <a:extLst>
            <a:ext uri="{FF2B5EF4-FFF2-40B4-BE49-F238E27FC236}">
              <a16:creationId xmlns:a16="http://schemas.microsoft.com/office/drawing/2014/main" id="{787EC15F-28DD-4BA1-B702-BFB11177C4B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2" name="Text Box 1">
          <a:extLst>
            <a:ext uri="{FF2B5EF4-FFF2-40B4-BE49-F238E27FC236}">
              <a16:creationId xmlns:a16="http://schemas.microsoft.com/office/drawing/2014/main" id="{77D77E53-9871-4C29-89F4-F83E64935E3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3" name="Text Box 2">
          <a:extLst>
            <a:ext uri="{FF2B5EF4-FFF2-40B4-BE49-F238E27FC236}">
              <a16:creationId xmlns:a16="http://schemas.microsoft.com/office/drawing/2014/main" id="{5F915A24-0DE5-4A0F-B413-D7712470CC3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4" name="Text Box 1">
          <a:extLst>
            <a:ext uri="{FF2B5EF4-FFF2-40B4-BE49-F238E27FC236}">
              <a16:creationId xmlns:a16="http://schemas.microsoft.com/office/drawing/2014/main" id="{642C5655-5C16-42EA-8F2F-077DD9E85F7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5" name="Text Box 2">
          <a:extLst>
            <a:ext uri="{FF2B5EF4-FFF2-40B4-BE49-F238E27FC236}">
              <a16:creationId xmlns:a16="http://schemas.microsoft.com/office/drawing/2014/main" id="{6600B1EE-3915-4651-A52B-AA7E0E49E74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6" name="Text Box 1">
          <a:extLst>
            <a:ext uri="{FF2B5EF4-FFF2-40B4-BE49-F238E27FC236}">
              <a16:creationId xmlns:a16="http://schemas.microsoft.com/office/drawing/2014/main" id="{F7073711-C5F8-486B-8588-5A99A1889A7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7" name="Text Box 2">
          <a:extLst>
            <a:ext uri="{FF2B5EF4-FFF2-40B4-BE49-F238E27FC236}">
              <a16:creationId xmlns:a16="http://schemas.microsoft.com/office/drawing/2014/main" id="{C11D515E-15D6-4BA9-9730-703DB4ACCAEC}"/>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8" name="Text Box 1">
          <a:extLst>
            <a:ext uri="{FF2B5EF4-FFF2-40B4-BE49-F238E27FC236}">
              <a16:creationId xmlns:a16="http://schemas.microsoft.com/office/drawing/2014/main" id="{4DC2CD85-5530-4695-A18D-36B286BE8A3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9" name="Text Box 2">
          <a:extLst>
            <a:ext uri="{FF2B5EF4-FFF2-40B4-BE49-F238E27FC236}">
              <a16:creationId xmlns:a16="http://schemas.microsoft.com/office/drawing/2014/main" id="{F64038A1-6455-4008-A36B-7115C608E2E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0" name="Text Box 1">
          <a:extLst>
            <a:ext uri="{FF2B5EF4-FFF2-40B4-BE49-F238E27FC236}">
              <a16:creationId xmlns:a16="http://schemas.microsoft.com/office/drawing/2014/main" id="{4DB3C909-3609-47FC-B0A8-9D59FADA05B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1" name="Text Box 2">
          <a:extLst>
            <a:ext uri="{FF2B5EF4-FFF2-40B4-BE49-F238E27FC236}">
              <a16:creationId xmlns:a16="http://schemas.microsoft.com/office/drawing/2014/main" id="{4E8D645B-BBD6-4346-A3F8-A8DD7DBBB62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2" name="Text Box 1">
          <a:extLst>
            <a:ext uri="{FF2B5EF4-FFF2-40B4-BE49-F238E27FC236}">
              <a16:creationId xmlns:a16="http://schemas.microsoft.com/office/drawing/2014/main" id="{B2B7A837-8EDD-42B1-9132-C71B0000B9A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3" name="Text Box 2">
          <a:extLst>
            <a:ext uri="{FF2B5EF4-FFF2-40B4-BE49-F238E27FC236}">
              <a16:creationId xmlns:a16="http://schemas.microsoft.com/office/drawing/2014/main" id="{272CFC7D-3FA6-4C4B-8C3B-C00B60C8846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4" name="Text Box 1">
          <a:extLst>
            <a:ext uri="{FF2B5EF4-FFF2-40B4-BE49-F238E27FC236}">
              <a16:creationId xmlns:a16="http://schemas.microsoft.com/office/drawing/2014/main" id="{CD1ED73A-6ACB-47DE-A40A-23A43F69625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5" name="Text Box 2">
          <a:extLst>
            <a:ext uri="{FF2B5EF4-FFF2-40B4-BE49-F238E27FC236}">
              <a16:creationId xmlns:a16="http://schemas.microsoft.com/office/drawing/2014/main" id="{EC830739-0374-4F4B-A352-62205DC6519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6" name="Text Box 1">
          <a:extLst>
            <a:ext uri="{FF2B5EF4-FFF2-40B4-BE49-F238E27FC236}">
              <a16:creationId xmlns:a16="http://schemas.microsoft.com/office/drawing/2014/main" id="{5C34087D-7E74-489E-B0FC-3F780805B0F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7" name="Text Box 2">
          <a:extLst>
            <a:ext uri="{FF2B5EF4-FFF2-40B4-BE49-F238E27FC236}">
              <a16:creationId xmlns:a16="http://schemas.microsoft.com/office/drawing/2014/main" id="{B9A35613-2526-4772-9B60-60ED97CAB84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8" name="Text Box 1">
          <a:extLst>
            <a:ext uri="{FF2B5EF4-FFF2-40B4-BE49-F238E27FC236}">
              <a16:creationId xmlns:a16="http://schemas.microsoft.com/office/drawing/2014/main" id="{B1FA7243-B25B-4CD9-A036-706EB9C9CA1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9" name="Text Box 2">
          <a:extLst>
            <a:ext uri="{FF2B5EF4-FFF2-40B4-BE49-F238E27FC236}">
              <a16:creationId xmlns:a16="http://schemas.microsoft.com/office/drawing/2014/main" id="{2D086642-1A42-4897-8139-2487A0294A8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0" name="Text Box 2">
          <a:extLst>
            <a:ext uri="{FF2B5EF4-FFF2-40B4-BE49-F238E27FC236}">
              <a16:creationId xmlns:a16="http://schemas.microsoft.com/office/drawing/2014/main" id="{9DA72170-5992-4B50-9CE4-3098E40C58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1" name="Text Box 1">
          <a:extLst>
            <a:ext uri="{FF2B5EF4-FFF2-40B4-BE49-F238E27FC236}">
              <a16:creationId xmlns:a16="http://schemas.microsoft.com/office/drawing/2014/main" id="{D33E23E3-0F0C-4CF7-BAC0-50A66687344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2" name="Text Box 2">
          <a:extLst>
            <a:ext uri="{FF2B5EF4-FFF2-40B4-BE49-F238E27FC236}">
              <a16:creationId xmlns:a16="http://schemas.microsoft.com/office/drawing/2014/main" id="{DC457A3E-DC23-4534-90B4-8D97060F61B1}"/>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3" name="Text Box 1">
          <a:extLst>
            <a:ext uri="{FF2B5EF4-FFF2-40B4-BE49-F238E27FC236}">
              <a16:creationId xmlns:a16="http://schemas.microsoft.com/office/drawing/2014/main" id="{F8981732-9518-439A-9409-3F06B0BDA41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4" name="Text Box 2">
          <a:extLst>
            <a:ext uri="{FF2B5EF4-FFF2-40B4-BE49-F238E27FC236}">
              <a16:creationId xmlns:a16="http://schemas.microsoft.com/office/drawing/2014/main" id="{A7610AD2-D8EA-4F0C-B4B0-FBF43A55382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5" name="Text Box 1">
          <a:extLst>
            <a:ext uri="{FF2B5EF4-FFF2-40B4-BE49-F238E27FC236}">
              <a16:creationId xmlns:a16="http://schemas.microsoft.com/office/drawing/2014/main" id="{E14B6478-F52A-4A5D-8651-0ABDA597F7E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6" name="Text Box 2">
          <a:extLst>
            <a:ext uri="{FF2B5EF4-FFF2-40B4-BE49-F238E27FC236}">
              <a16:creationId xmlns:a16="http://schemas.microsoft.com/office/drawing/2014/main" id="{BA2E0CD0-4ECE-4075-8EEA-87A7C91B155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7" name="Text Box 1">
          <a:extLst>
            <a:ext uri="{FF2B5EF4-FFF2-40B4-BE49-F238E27FC236}">
              <a16:creationId xmlns:a16="http://schemas.microsoft.com/office/drawing/2014/main" id="{1BFC185A-5EE5-4CFF-82CB-23C1710C3AB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8" name="Text Box 2">
          <a:extLst>
            <a:ext uri="{FF2B5EF4-FFF2-40B4-BE49-F238E27FC236}">
              <a16:creationId xmlns:a16="http://schemas.microsoft.com/office/drawing/2014/main" id="{2270CF27-1B53-4569-AA31-2B9CF767962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9" name="Text Box 1">
          <a:extLst>
            <a:ext uri="{FF2B5EF4-FFF2-40B4-BE49-F238E27FC236}">
              <a16:creationId xmlns:a16="http://schemas.microsoft.com/office/drawing/2014/main" id="{6998C807-71E6-4B71-A01D-6635A437BC3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0" name="Text Box 2">
          <a:extLst>
            <a:ext uri="{FF2B5EF4-FFF2-40B4-BE49-F238E27FC236}">
              <a16:creationId xmlns:a16="http://schemas.microsoft.com/office/drawing/2014/main" id="{9C899964-6E56-4850-A9C3-1F314B665D7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01" name="Text Box 1">
          <a:extLst>
            <a:ext uri="{FF2B5EF4-FFF2-40B4-BE49-F238E27FC236}">
              <a16:creationId xmlns:a16="http://schemas.microsoft.com/office/drawing/2014/main" id="{5ED7774C-D575-4E54-9B9D-1A895490175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02" name="Text Box 2">
          <a:extLst>
            <a:ext uri="{FF2B5EF4-FFF2-40B4-BE49-F238E27FC236}">
              <a16:creationId xmlns:a16="http://schemas.microsoft.com/office/drawing/2014/main" id="{ACAA9914-DD0A-48F2-BDD8-1E99A8406F5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03" name="Text Box 1">
          <a:extLst>
            <a:ext uri="{FF2B5EF4-FFF2-40B4-BE49-F238E27FC236}">
              <a16:creationId xmlns:a16="http://schemas.microsoft.com/office/drawing/2014/main" id="{61E037AC-03D5-4001-BD6D-6FF6AA78E57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04" name="Text Box 2">
          <a:extLst>
            <a:ext uri="{FF2B5EF4-FFF2-40B4-BE49-F238E27FC236}">
              <a16:creationId xmlns:a16="http://schemas.microsoft.com/office/drawing/2014/main" id="{381AE25F-FE47-44CC-917B-87C20A269B9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5" name="Text Box 1">
          <a:extLst>
            <a:ext uri="{FF2B5EF4-FFF2-40B4-BE49-F238E27FC236}">
              <a16:creationId xmlns:a16="http://schemas.microsoft.com/office/drawing/2014/main" id="{041F3BCE-6180-4769-B243-D5944D8893B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6" name="Text Box 2">
          <a:extLst>
            <a:ext uri="{FF2B5EF4-FFF2-40B4-BE49-F238E27FC236}">
              <a16:creationId xmlns:a16="http://schemas.microsoft.com/office/drawing/2014/main" id="{9CFBBD0B-E308-49AE-8FF9-05EF58E9965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07" name="Text Box 1">
          <a:extLst>
            <a:ext uri="{FF2B5EF4-FFF2-40B4-BE49-F238E27FC236}">
              <a16:creationId xmlns:a16="http://schemas.microsoft.com/office/drawing/2014/main" id="{9F93084C-46CD-40B8-B3B3-515909FB416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08" name="Text Box 2">
          <a:extLst>
            <a:ext uri="{FF2B5EF4-FFF2-40B4-BE49-F238E27FC236}">
              <a16:creationId xmlns:a16="http://schemas.microsoft.com/office/drawing/2014/main" id="{A9C05129-2BFD-4E62-B1F1-005154C821B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09" name="Text Box 1">
          <a:extLst>
            <a:ext uri="{FF2B5EF4-FFF2-40B4-BE49-F238E27FC236}">
              <a16:creationId xmlns:a16="http://schemas.microsoft.com/office/drawing/2014/main" id="{D665FF26-48C4-4CDB-9934-D167C2EB0A3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10" name="Text Box 2">
          <a:extLst>
            <a:ext uri="{FF2B5EF4-FFF2-40B4-BE49-F238E27FC236}">
              <a16:creationId xmlns:a16="http://schemas.microsoft.com/office/drawing/2014/main" id="{B2EDBDA7-6AC1-45A2-86A1-4358D050311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1" name="Text Box 1">
          <a:extLst>
            <a:ext uri="{FF2B5EF4-FFF2-40B4-BE49-F238E27FC236}">
              <a16:creationId xmlns:a16="http://schemas.microsoft.com/office/drawing/2014/main" id="{D270A65E-6FFF-448C-8CF2-B04C6E3EA02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2" name="Text Box 2">
          <a:extLst>
            <a:ext uri="{FF2B5EF4-FFF2-40B4-BE49-F238E27FC236}">
              <a16:creationId xmlns:a16="http://schemas.microsoft.com/office/drawing/2014/main" id="{8EA8B406-65B6-4F84-91E3-F0B26C17037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13" name="Text Box 2">
          <a:extLst>
            <a:ext uri="{FF2B5EF4-FFF2-40B4-BE49-F238E27FC236}">
              <a16:creationId xmlns:a16="http://schemas.microsoft.com/office/drawing/2014/main" id="{DD012074-52AF-4A43-8E0B-25A7B0830CF4}"/>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4" name="Text Box 1">
          <a:extLst>
            <a:ext uri="{FF2B5EF4-FFF2-40B4-BE49-F238E27FC236}">
              <a16:creationId xmlns:a16="http://schemas.microsoft.com/office/drawing/2014/main" id="{BDAB6080-1481-4FF8-A720-F3144E0B79A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5" name="Text Box 2">
          <a:extLst>
            <a:ext uri="{FF2B5EF4-FFF2-40B4-BE49-F238E27FC236}">
              <a16:creationId xmlns:a16="http://schemas.microsoft.com/office/drawing/2014/main" id="{5C063015-CC01-46A7-B071-DDFBBFFE231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6" name="Text Box 1">
          <a:extLst>
            <a:ext uri="{FF2B5EF4-FFF2-40B4-BE49-F238E27FC236}">
              <a16:creationId xmlns:a16="http://schemas.microsoft.com/office/drawing/2014/main" id="{B060C287-4F97-40F3-857C-B61A873A3A8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7" name="Text Box 2">
          <a:extLst>
            <a:ext uri="{FF2B5EF4-FFF2-40B4-BE49-F238E27FC236}">
              <a16:creationId xmlns:a16="http://schemas.microsoft.com/office/drawing/2014/main" id="{07B45CCB-0B4B-4E52-9325-ADDE37021CA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18" name="Text Box 1">
          <a:extLst>
            <a:ext uri="{FF2B5EF4-FFF2-40B4-BE49-F238E27FC236}">
              <a16:creationId xmlns:a16="http://schemas.microsoft.com/office/drawing/2014/main" id="{C688DEC4-53DC-48B9-89A7-840D85BCD78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19" name="Text Box 2">
          <a:extLst>
            <a:ext uri="{FF2B5EF4-FFF2-40B4-BE49-F238E27FC236}">
              <a16:creationId xmlns:a16="http://schemas.microsoft.com/office/drawing/2014/main" id="{A0362B58-EF13-40CA-8AF1-3491FD36FD8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0" name="Text Box 1">
          <a:extLst>
            <a:ext uri="{FF2B5EF4-FFF2-40B4-BE49-F238E27FC236}">
              <a16:creationId xmlns:a16="http://schemas.microsoft.com/office/drawing/2014/main" id="{B6BA9CE1-F5FC-4A89-A23E-2F57B2C5576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1" name="Text Box 2">
          <a:extLst>
            <a:ext uri="{FF2B5EF4-FFF2-40B4-BE49-F238E27FC236}">
              <a16:creationId xmlns:a16="http://schemas.microsoft.com/office/drawing/2014/main" id="{D0048AB0-CAE6-48AF-BA3D-295293BE019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22" name="Text Box 2">
          <a:extLst>
            <a:ext uri="{FF2B5EF4-FFF2-40B4-BE49-F238E27FC236}">
              <a16:creationId xmlns:a16="http://schemas.microsoft.com/office/drawing/2014/main" id="{3F2F2779-9200-44A1-917D-4E6D74F8BD71}"/>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3" name="Text Box 1">
          <a:extLst>
            <a:ext uri="{FF2B5EF4-FFF2-40B4-BE49-F238E27FC236}">
              <a16:creationId xmlns:a16="http://schemas.microsoft.com/office/drawing/2014/main" id="{187FE193-D35E-436C-9975-E2EB514F4AA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4" name="Text Box 2">
          <a:extLst>
            <a:ext uri="{FF2B5EF4-FFF2-40B4-BE49-F238E27FC236}">
              <a16:creationId xmlns:a16="http://schemas.microsoft.com/office/drawing/2014/main" id="{00435AC7-2980-428A-B30B-595DEF086D0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25" name="Text Box 2">
          <a:extLst>
            <a:ext uri="{FF2B5EF4-FFF2-40B4-BE49-F238E27FC236}">
              <a16:creationId xmlns:a16="http://schemas.microsoft.com/office/drawing/2014/main" id="{10881019-4105-4ACE-A56E-075D75312F04}"/>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6" name="Text Box 1">
          <a:extLst>
            <a:ext uri="{FF2B5EF4-FFF2-40B4-BE49-F238E27FC236}">
              <a16:creationId xmlns:a16="http://schemas.microsoft.com/office/drawing/2014/main" id="{26678F09-4011-46A4-BF17-A50D9A0C47A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7" name="Text Box 2">
          <a:extLst>
            <a:ext uri="{FF2B5EF4-FFF2-40B4-BE49-F238E27FC236}">
              <a16:creationId xmlns:a16="http://schemas.microsoft.com/office/drawing/2014/main" id="{10B42022-FF46-43F7-B87C-5B3365CD6D1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28" name="Text Box 2">
          <a:extLst>
            <a:ext uri="{FF2B5EF4-FFF2-40B4-BE49-F238E27FC236}">
              <a16:creationId xmlns:a16="http://schemas.microsoft.com/office/drawing/2014/main" id="{AC53D1E3-494C-464D-8707-7424C8011ED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9" name="Text Box 1">
          <a:extLst>
            <a:ext uri="{FF2B5EF4-FFF2-40B4-BE49-F238E27FC236}">
              <a16:creationId xmlns:a16="http://schemas.microsoft.com/office/drawing/2014/main" id="{F9B36A0A-7339-40CC-85DB-7532CAD57AA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0" name="Text Box 2">
          <a:extLst>
            <a:ext uri="{FF2B5EF4-FFF2-40B4-BE49-F238E27FC236}">
              <a16:creationId xmlns:a16="http://schemas.microsoft.com/office/drawing/2014/main" id="{5C1DCE85-4C20-4353-9355-A8AFDA61875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31" name="Text Box 2">
          <a:extLst>
            <a:ext uri="{FF2B5EF4-FFF2-40B4-BE49-F238E27FC236}">
              <a16:creationId xmlns:a16="http://schemas.microsoft.com/office/drawing/2014/main" id="{0B5471F3-4EF5-4437-8E4B-3E0534F87E94}"/>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2" name="Text Box 1">
          <a:extLst>
            <a:ext uri="{FF2B5EF4-FFF2-40B4-BE49-F238E27FC236}">
              <a16:creationId xmlns:a16="http://schemas.microsoft.com/office/drawing/2014/main" id="{66420F70-6875-4293-961D-8B3D35E8803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3" name="Text Box 2">
          <a:extLst>
            <a:ext uri="{FF2B5EF4-FFF2-40B4-BE49-F238E27FC236}">
              <a16:creationId xmlns:a16="http://schemas.microsoft.com/office/drawing/2014/main" id="{7759A000-FB3F-4CA2-802E-4E094258914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34" name="Text Box 2">
          <a:extLst>
            <a:ext uri="{FF2B5EF4-FFF2-40B4-BE49-F238E27FC236}">
              <a16:creationId xmlns:a16="http://schemas.microsoft.com/office/drawing/2014/main" id="{D9CB142B-414C-4D7B-97AE-2735875E2187}"/>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5" name="Text Box 1">
          <a:extLst>
            <a:ext uri="{FF2B5EF4-FFF2-40B4-BE49-F238E27FC236}">
              <a16:creationId xmlns:a16="http://schemas.microsoft.com/office/drawing/2014/main" id="{09A208D3-D318-46BE-BDA7-3853F649032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6" name="Text Box 2">
          <a:extLst>
            <a:ext uri="{FF2B5EF4-FFF2-40B4-BE49-F238E27FC236}">
              <a16:creationId xmlns:a16="http://schemas.microsoft.com/office/drawing/2014/main" id="{A0D18535-713A-44F9-8DBC-0EA189FBCD4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37" name="Text Box 2">
          <a:extLst>
            <a:ext uri="{FF2B5EF4-FFF2-40B4-BE49-F238E27FC236}">
              <a16:creationId xmlns:a16="http://schemas.microsoft.com/office/drawing/2014/main" id="{D7AC8C3F-6B83-4515-9A3A-E71CE9FB1947}"/>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8" name="Text Box 1">
          <a:extLst>
            <a:ext uri="{FF2B5EF4-FFF2-40B4-BE49-F238E27FC236}">
              <a16:creationId xmlns:a16="http://schemas.microsoft.com/office/drawing/2014/main" id="{C08DFF1B-084D-4590-A43F-D8015EB1F74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9" name="Text Box 2">
          <a:extLst>
            <a:ext uri="{FF2B5EF4-FFF2-40B4-BE49-F238E27FC236}">
              <a16:creationId xmlns:a16="http://schemas.microsoft.com/office/drawing/2014/main" id="{868A6F69-52DC-4ACB-A2AA-E5FA7991701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0" name="Text Box 1">
          <a:extLst>
            <a:ext uri="{FF2B5EF4-FFF2-40B4-BE49-F238E27FC236}">
              <a16:creationId xmlns:a16="http://schemas.microsoft.com/office/drawing/2014/main" id="{3F4695E4-3C39-46EE-9954-24F33745F74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1" name="Text Box 2">
          <a:extLst>
            <a:ext uri="{FF2B5EF4-FFF2-40B4-BE49-F238E27FC236}">
              <a16:creationId xmlns:a16="http://schemas.microsoft.com/office/drawing/2014/main" id="{B104CF6D-CEC6-4079-B9E7-75581614D97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2" name="Text Box 1">
          <a:extLst>
            <a:ext uri="{FF2B5EF4-FFF2-40B4-BE49-F238E27FC236}">
              <a16:creationId xmlns:a16="http://schemas.microsoft.com/office/drawing/2014/main" id="{8EB45F47-EC8F-4868-B9FD-C69B315B36D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3" name="Text Box 2">
          <a:extLst>
            <a:ext uri="{FF2B5EF4-FFF2-40B4-BE49-F238E27FC236}">
              <a16:creationId xmlns:a16="http://schemas.microsoft.com/office/drawing/2014/main" id="{1087F6E9-3B97-442D-97A2-630D4F280A2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44" name="Text Box 1">
          <a:extLst>
            <a:ext uri="{FF2B5EF4-FFF2-40B4-BE49-F238E27FC236}">
              <a16:creationId xmlns:a16="http://schemas.microsoft.com/office/drawing/2014/main" id="{6538CBA0-8738-411A-A5E2-141CF62D6A6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45" name="Text Box 2">
          <a:extLst>
            <a:ext uri="{FF2B5EF4-FFF2-40B4-BE49-F238E27FC236}">
              <a16:creationId xmlns:a16="http://schemas.microsoft.com/office/drawing/2014/main" id="{880ED624-09E0-4470-BA1B-3239E436607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6" name="Text Box 1">
          <a:extLst>
            <a:ext uri="{FF2B5EF4-FFF2-40B4-BE49-F238E27FC236}">
              <a16:creationId xmlns:a16="http://schemas.microsoft.com/office/drawing/2014/main" id="{4206D91E-D360-48F2-B2B3-5DFF6663AF2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7" name="Text Box 2">
          <a:extLst>
            <a:ext uri="{FF2B5EF4-FFF2-40B4-BE49-F238E27FC236}">
              <a16:creationId xmlns:a16="http://schemas.microsoft.com/office/drawing/2014/main" id="{B354553A-83BC-480A-B4F8-242F77451C1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48" name="Text Box 1">
          <a:extLst>
            <a:ext uri="{FF2B5EF4-FFF2-40B4-BE49-F238E27FC236}">
              <a16:creationId xmlns:a16="http://schemas.microsoft.com/office/drawing/2014/main" id="{3B566A56-3223-4FEF-B58D-9BC33A38B6BC}"/>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49" name="Text Box 2">
          <a:extLst>
            <a:ext uri="{FF2B5EF4-FFF2-40B4-BE49-F238E27FC236}">
              <a16:creationId xmlns:a16="http://schemas.microsoft.com/office/drawing/2014/main" id="{ABEBE79F-5507-4246-BA27-C5C9A55034D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0" name="Text Box 2">
          <a:extLst>
            <a:ext uri="{FF2B5EF4-FFF2-40B4-BE49-F238E27FC236}">
              <a16:creationId xmlns:a16="http://schemas.microsoft.com/office/drawing/2014/main" id="{12D8327A-9173-4D7F-86B9-DEA0986F1C3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1" name="Text Box 1">
          <a:extLst>
            <a:ext uri="{FF2B5EF4-FFF2-40B4-BE49-F238E27FC236}">
              <a16:creationId xmlns:a16="http://schemas.microsoft.com/office/drawing/2014/main" id="{F495DF8D-05C9-416F-A09C-7670C9D44BF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2" name="Text Box 2">
          <a:extLst>
            <a:ext uri="{FF2B5EF4-FFF2-40B4-BE49-F238E27FC236}">
              <a16:creationId xmlns:a16="http://schemas.microsoft.com/office/drawing/2014/main" id="{9012DCBA-4A18-4ECF-83E2-28074E89221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3" name="Text Box 1">
          <a:extLst>
            <a:ext uri="{FF2B5EF4-FFF2-40B4-BE49-F238E27FC236}">
              <a16:creationId xmlns:a16="http://schemas.microsoft.com/office/drawing/2014/main" id="{D1071514-7C23-43BB-9842-8301D2A466F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4" name="Text Box 2">
          <a:extLst>
            <a:ext uri="{FF2B5EF4-FFF2-40B4-BE49-F238E27FC236}">
              <a16:creationId xmlns:a16="http://schemas.microsoft.com/office/drawing/2014/main" id="{744E70BC-263D-41D5-8C63-73458BA09B2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5" name="Text Box 1">
          <a:extLst>
            <a:ext uri="{FF2B5EF4-FFF2-40B4-BE49-F238E27FC236}">
              <a16:creationId xmlns:a16="http://schemas.microsoft.com/office/drawing/2014/main" id="{6F3BF63D-0AA0-4614-9E0E-458B59AEDD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6" name="Text Box 2">
          <a:extLst>
            <a:ext uri="{FF2B5EF4-FFF2-40B4-BE49-F238E27FC236}">
              <a16:creationId xmlns:a16="http://schemas.microsoft.com/office/drawing/2014/main" id="{FFC0AC97-8B96-45DF-BAFC-8DE78A2EF4A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7" name="Text Box 2">
          <a:extLst>
            <a:ext uri="{FF2B5EF4-FFF2-40B4-BE49-F238E27FC236}">
              <a16:creationId xmlns:a16="http://schemas.microsoft.com/office/drawing/2014/main" id="{99F0CD43-0057-4CB4-A49C-D79AD2B40FE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8" name="Text Box 1">
          <a:extLst>
            <a:ext uri="{FF2B5EF4-FFF2-40B4-BE49-F238E27FC236}">
              <a16:creationId xmlns:a16="http://schemas.microsoft.com/office/drawing/2014/main" id="{2F53D817-2A81-4A24-8F43-D31A2000F54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9" name="Text Box 2">
          <a:extLst>
            <a:ext uri="{FF2B5EF4-FFF2-40B4-BE49-F238E27FC236}">
              <a16:creationId xmlns:a16="http://schemas.microsoft.com/office/drawing/2014/main" id="{0B379021-2E54-418E-81FE-32ECFB0FF67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0" name="Text Box 1">
          <a:extLst>
            <a:ext uri="{FF2B5EF4-FFF2-40B4-BE49-F238E27FC236}">
              <a16:creationId xmlns:a16="http://schemas.microsoft.com/office/drawing/2014/main" id="{87591C64-DBDF-4D01-B748-89FBEBDE324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1" name="Text Box 2">
          <a:extLst>
            <a:ext uri="{FF2B5EF4-FFF2-40B4-BE49-F238E27FC236}">
              <a16:creationId xmlns:a16="http://schemas.microsoft.com/office/drawing/2014/main" id="{28584D61-AA9E-4AC1-8346-98574BBAFDC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62" name="Text Box 1">
          <a:extLst>
            <a:ext uri="{FF2B5EF4-FFF2-40B4-BE49-F238E27FC236}">
              <a16:creationId xmlns:a16="http://schemas.microsoft.com/office/drawing/2014/main" id="{02B46C79-16C5-4223-9174-A5D2019A3B7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63" name="Text Box 2">
          <a:extLst>
            <a:ext uri="{FF2B5EF4-FFF2-40B4-BE49-F238E27FC236}">
              <a16:creationId xmlns:a16="http://schemas.microsoft.com/office/drawing/2014/main" id="{62710864-060B-4A95-ABA1-460B656EED2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64" name="Text Box 1">
          <a:extLst>
            <a:ext uri="{FF2B5EF4-FFF2-40B4-BE49-F238E27FC236}">
              <a16:creationId xmlns:a16="http://schemas.microsoft.com/office/drawing/2014/main" id="{379D6419-6216-448B-8583-79104F6D719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65" name="Text Box 2">
          <a:extLst>
            <a:ext uri="{FF2B5EF4-FFF2-40B4-BE49-F238E27FC236}">
              <a16:creationId xmlns:a16="http://schemas.microsoft.com/office/drawing/2014/main" id="{AA99B55B-BFA1-4361-9C5E-41596B394DC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6" name="Text Box 1">
          <a:extLst>
            <a:ext uri="{FF2B5EF4-FFF2-40B4-BE49-F238E27FC236}">
              <a16:creationId xmlns:a16="http://schemas.microsoft.com/office/drawing/2014/main" id="{271969BE-8A6B-41C3-90AF-C580EF3A99D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7" name="Text Box 2">
          <a:extLst>
            <a:ext uri="{FF2B5EF4-FFF2-40B4-BE49-F238E27FC236}">
              <a16:creationId xmlns:a16="http://schemas.microsoft.com/office/drawing/2014/main" id="{69ACFA5D-6710-4E1E-AD8B-7009824C1AF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68" name="Text Box 1">
          <a:extLst>
            <a:ext uri="{FF2B5EF4-FFF2-40B4-BE49-F238E27FC236}">
              <a16:creationId xmlns:a16="http://schemas.microsoft.com/office/drawing/2014/main" id="{671E1008-2319-4F8F-A0A1-E59953EFF16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69" name="Text Box 2">
          <a:extLst>
            <a:ext uri="{FF2B5EF4-FFF2-40B4-BE49-F238E27FC236}">
              <a16:creationId xmlns:a16="http://schemas.microsoft.com/office/drawing/2014/main" id="{149CAA23-CF4D-4D8F-B9D8-94FD3EA0F71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70" name="Text Box 1">
          <a:extLst>
            <a:ext uri="{FF2B5EF4-FFF2-40B4-BE49-F238E27FC236}">
              <a16:creationId xmlns:a16="http://schemas.microsoft.com/office/drawing/2014/main" id="{4AB182E7-19C9-4F6F-925E-29784B9302B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71" name="Text Box 2">
          <a:extLst>
            <a:ext uri="{FF2B5EF4-FFF2-40B4-BE49-F238E27FC236}">
              <a16:creationId xmlns:a16="http://schemas.microsoft.com/office/drawing/2014/main" id="{88E67C75-87BE-464F-B5F0-7EF66B91506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2" name="Text Box 1">
          <a:extLst>
            <a:ext uri="{FF2B5EF4-FFF2-40B4-BE49-F238E27FC236}">
              <a16:creationId xmlns:a16="http://schemas.microsoft.com/office/drawing/2014/main" id="{53DE5A6E-BC5C-46E5-8DEA-B912A3D18B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3" name="Text Box 2">
          <a:extLst>
            <a:ext uri="{FF2B5EF4-FFF2-40B4-BE49-F238E27FC236}">
              <a16:creationId xmlns:a16="http://schemas.microsoft.com/office/drawing/2014/main" id="{A93DCB7C-7C5C-4217-891E-39B168BEDBD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74" name="Text Box 1">
          <a:extLst>
            <a:ext uri="{FF2B5EF4-FFF2-40B4-BE49-F238E27FC236}">
              <a16:creationId xmlns:a16="http://schemas.microsoft.com/office/drawing/2014/main" id="{551A7354-88A9-432B-97D6-8AC9A03F2F9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75" name="Text Box 2">
          <a:extLst>
            <a:ext uri="{FF2B5EF4-FFF2-40B4-BE49-F238E27FC236}">
              <a16:creationId xmlns:a16="http://schemas.microsoft.com/office/drawing/2014/main" id="{77BA6DE3-CDAC-4514-8664-CABF8065DAD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76" name="Text Box 1">
          <a:extLst>
            <a:ext uri="{FF2B5EF4-FFF2-40B4-BE49-F238E27FC236}">
              <a16:creationId xmlns:a16="http://schemas.microsoft.com/office/drawing/2014/main" id="{0B2501EA-90A6-43CE-A7E2-83E891293C7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77" name="Text Box 2">
          <a:extLst>
            <a:ext uri="{FF2B5EF4-FFF2-40B4-BE49-F238E27FC236}">
              <a16:creationId xmlns:a16="http://schemas.microsoft.com/office/drawing/2014/main" id="{D2266983-7E00-4B45-AEC9-EDE0DEDDF3A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8" name="Text Box 1">
          <a:extLst>
            <a:ext uri="{FF2B5EF4-FFF2-40B4-BE49-F238E27FC236}">
              <a16:creationId xmlns:a16="http://schemas.microsoft.com/office/drawing/2014/main" id="{F9673B06-42E3-4F56-8D0C-8E9DD5DEC94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9" name="Text Box 2">
          <a:extLst>
            <a:ext uri="{FF2B5EF4-FFF2-40B4-BE49-F238E27FC236}">
              <a16:creationId xmlns:a16="http://schemas.microsoft.com/office/drawing/2014/main" id="{EE8A117B-2BC9-4638-83E9-8A3FEE4C378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80" name="Text Box 1">
          <a:extLst>
            <a:ext uri="{FF2B5EF4-FFF2-40B4-BE49-F238E27FC236}">
              <a16:creationId xmlns:a16="http://schemas.microsoft.com/office/drawing/2014/main" id="{E8BB3395-EEA5-4423-AE69-28FCFFF7B3B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81" name="Text Box 2">
          <a:extLst>
            <a:ext uri="{FF2B5EF4-FFF2-40B4-BE49-F238E27FC236}">
              <a16:creationId xmlns:a16="http://schemas.microsoft.com/office/drawing/2014/main" id="{6B933BC7-9D52-4D3D-8022-D6381B4659C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82" name="Text Box 1">
          <a:extLst>
            <a:ext uri="{FF2B5EF4-FFF2-40B4-BE49-F238E27FC236}">
              <a16:creationId xmlns:a16="http://schemas.microsoft.com/office/drawing/2014/main" id="{8F776F25-5407-4DEF-A7BC-0278B8F462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83" name="Text Box 2">
          <a:extLst>
            <a:ext uri="{FF2B5EF4-FFF2-40B4-BE49-F238E27FC236}">
              <a16:creationId xmlns:a16="http://schemas.microsoft.com/office/drawing/2014/main" id="{508E6B93-F810-47E7-86B5-C3C606B0B50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84" name="Text Box 1">
          <a:extLst>
            <a:ext uri="{FF2B5EF4-FFF2-40B4-BE49-F238E27FC236}">
              <a16:creationId xmlns:a16="http://schemas.microsoft.com/office/drawing/2014/main" id="{3EFA5068-DDE0-4BDB-9E6D-A97CBAC0362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85" name="Text Box 2">
          <a:extLst>
            <a:ext uri="{FF2B5EF4-FFF2-40B4-BE49-F238E27FC236}">
              <a16:creationId xmlns:a16="http://schemas.microsoft.com/office/drawing/2014/main" id="{49005466-4B1A-4B0C-AD18-9D885940E69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86" name="Text Box 1">
          <a:extLst>
            <a:ext uri="{FF2B5EF4-FFF2-40B4-BE49-F238E27FC236}">
              <a16:creationId xmlns:a16="http://schemas.microsoft.com/office/drawing/2014/main" id="{571D631C-8A28-489E-A7D8-68D8C8BC87E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87" name="Text Box 2">
          <a:extLst>
            <a:ext uri="{FF2B5EF4-FFF2-40B4-BE49-F238E27FC236}">
              <a16:creationId xmlns:a16="http://schemas.microsoft.com/office/drawing/2014/main" id="{14395E8A-2F1D-4F6B-BA15-59DA67A6B0B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88" name="Text Box 1">
          <a:extLst>
            <a:ext uri="{FF2B5EF4-FFF2-40B4-BE49-F238E27FC236}">
              <a16:creationId xmlns:a16="http://schemas.microsoft.com/office/drawing/2014/main" id="{36D83ECC-0ABB-43EA-A5E8-C34CA0DB8EF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89" name="Text Box 2">
          <a:extLst>
            <a:ext uri="{FF2B5EF4-FFF2-40B4-BE49-F238E27FC236}">
              <a16:creationId xmlns:a16="http://schemas.microsoft.com/office/drawing/2014/main" id="{38F651F7-204B-470D-BC00-96DE8748D06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90" name="Text Box 1">
          <a:extLst>
            <a:ext uri="{FF2B5EF4-FFF2-40B4-BE49-F238E27FC236}">
              <a16:creationId xmlns:a16="http://schemas.microsoft.com/office/drawing/2014/main" id="{A4EA7F9E-80D8-4A7D-B6BF-15394FE6B5A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91" name="Text Box 2">
          <a:extLst>
            <a:ext uri="{FF2B5EF4-FFF2-40B4-BE49-F238E27FC236}">
              <a16:creationId xmlns:a16="http://schemas.microsoft.com/office/drawing/2014/main" id="{C0B719E0-42D3-4180-9C9D-FC91D168874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92" name="Text Box 1">
          <a:extLst>
            <a:ext uri="{FF2B5EF4-FFF2-40B4-BE49-F238E27FC236}">
              <a16:creationId xmlns:a16="http://schemas.microsoft.com/office/drawing/2014/main" id="{F14CD939-8AC4-4F67-87DC-D127F3E8975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93" name="Text Box 2">
          <a:extLst>
            <a:ext uri="{FF2B5EF4-FFF2-40B4-BE49-F238E27FC236}">
              <a16:creationId xmlns:a16="http://schemas.microsoft.com/office/drawing/2014/main" id="{F12F0186-BDDC-447F-854A-49EFC53E769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94" name="Text Box 1">
          <a:extLst>
            <a:ext uri="{FF2B5EF4-FFF2-40B4-BE49-F238E27FC236}">
              <a16:creationId xmlns:a16="http://schemas.microsoft.com/office/drawing/2014/main" id="{D26F497A-4242-4159-AE98-C3A192A3367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95" name="Text Box 2">
          <a:extLst>
            <a:ext uri="{FF2B5EF4-FFF2-40B4-BE49-F238E27FC236}">
              <a16:creationId xmlns:a16="http://schemas.microsoft.com/office/drawing/2014/main" id="{99CE1238-6CBA-4FEF-9FDD-9F08330718C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96" name="Text Box 1">
          <a:extLst>
            <a:ext uri="{FF2B5EF4-FFF2-40B4-BE49-F238E27FC236}">
              <a16:creationId xmlns:a16="http://schemas.microsoft.com/office/drawing/2014/main" id="{9B10BA45-8070-4677-9B1E-29326EBCF3D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97" name="Text Box 2">
          <a:extLst>
            <a:ext uri="{FF2B5EF4-FFF2-40B4-BE49-F238E27FC236}">
              <a16:creationId xmlns:a16="http://schemas.microsoft.com/office/drawing/2014/main" id="{6C3826E9-6B46-4A76-8B5D-43F1EE6BDE1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98" name="Text Box 1">
          <a:extLst>
            <a:ext uri="{FF2B5EF4-FFF2-40B4-BE49-F238E27FC236}">
              <a16:creationId xmlns:a16="http://schemas.microsoft.com/office/drawing/2014/main" id="{36FECA35-2742-41DE-BE0A-209617D18B6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99" name="Text Box 2">
          <a:extLst>
            <a:ext uri="{FF2B5EF4-FFF2-40B4-BE49-F238E27FC236}">
              <a16:creationId xmlns:a16="http://schemas.microsoft.com/office/drawing/2014/main" id="{3C40C5B2-F53E-4D1E-B923-C19706E4E9F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00" name="Text Box 1">
          <a:extLst>
            <a:ext uri="{FF2B5EF4-FFF2-40B4-BE49-F238E27FC236}">
              <a16:creationId xmlns:a16="http://schemas.microsoft.com/office/drawing/2014/main" id="{9E402351-FD23-4FBD-AEA9-35A32FACE2E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01" name="Text Box 2">
          <a:extLst>
            <a:ext uri="{FF2B5EF4-FFF2-40B4-BE49-F238E27FC236}">
              <a16:creationId xmlns:a16="http://schemas.microsoft.com/office/drawing/2014/main" id="{6054E573-5101-49C2-8183-317AAF457CA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02" name="Text Box 1">
          <a:extLst>
            <a:ext uri="{FF2B5EF4-FFF2-40B4-BE49-F238E27FC236}">
              <a16:creationId xmlns:a16="http://schemas.microsoft.com/office/drawing/2014/main" id="{4BDDF7E2-11AD-4466-9399-AEBF22CD70D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03" name="Text Box 2">
          <a:extLst>
            <a:ext uri="{FF2B5EF4-FFF2-40B4-BE49-F238E27FC236}">
              <a16:creationId xmlns:a16="http://schemas.microsoft.com/office/drawing/2014/main" id="{91E173C7-F212-4F44-9285-7352C3E4972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04" name="Text Box 1">
          <a:extLst>
            <a:ext uri="{FF2B5EF4-FFF2-40B4-BE49-F238E27FC236}">
              <a16:creationId xmlns:a16="http://schemas.microsoft.com/office/drawing/2014/main" id="{3AA6658D-4565-4F10-9903-2DD70F879E5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05" name="Text Box 2">
          <a:extLst>
            <a:ext uri="{FF2B5EF4-FFF2-40B4-BE49-F238E27FC236}">
              <a16:creationId xmlns:a16="http://schemas.microsoft.com/office/drawing/2014/main" id="{B9DEB858-C534-4DF1-BB7A-A1C18E6BF96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06" name="Text Box 1">
          <a:extLst>
            <a:ext uri="{FF2B5EF4-FFF2-40B4-BE49-F238E27FC236}">
              <a16:creationId xmlns:a16="http://schemas.microsoft.com/office/drawing/2014/main" id="{960E0CB6-6938-40F5-89BD-1222008BADF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07" name="Text Box 2">
          <a:extLst>
            <a:ext uri="{FF2B5EF4-FFF2-40B4-BE49-F238E27FC236}">
              <a16:creationId xmlns:a16="http://schemas.microsoft.com/office/drawing/2014/main" id="{D57B578F-2843-4D2B-B1D4-6B56ED06BAC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208" name="Text Box 1">
          <a:extLst>
            <a:ext uri="{FF2B5EF4-FFF2-40B4-BE49-F238E27FC236}">
              <a16:creationId xmlns:a16="http://schemas.microsoft.com/office/drawing/2014/main" id="{E48C85D1-3F6B-4AB4-890E-60022FF131A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209" name="Text Box 2">
          <a:extLst>
            <a:ext uri="{FF2B5EF4-FFF2-40B4-BE49-F238E27FC236}">
              <a16:creationId xmlns:a16="http://schemas.microsoft.com/office/drawing/2014/main" id="{D2BEB293-EE9C-423F-864D-9B40F88D63C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10" name="Text Box 1">
          <a:extLst>
            <a:ext uri="{FF2B5EF4-FFF2-40B4-BE49-F238E27FC236}">
              <a16:creationId xmlns:a16="http://schemas.microsoft.com/office/drawing/2014/main" id="{40034F53-AB04-49FE-A627-36C5BB76CB2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11" name="Text Box 2">
          <a:extLst>
            <a:ext uri="{FF2B5EF4-FFF2-40B4-BE49-F238E27FC236}">
              <a16:creationId xmlns:a16="http://schemas.microsoft.com/office/drawing/2014/main" id="{0BF15FA8-5F8F-48B3-BA83-C1C2D7F7E82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212" name="Text Box 1">
          <a:extLst>
            <a:ext uri="{FF2B5EF4-FFF2-40B4-BE49-F238E27FC236}">
              <a16:creationId xmlns:a16="http://schemas.microsoft.com/office/drawing/2014/main" id="{0B8E4F53-01A8-40FE-8F48-D5B394E70E7C}"/>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213" name="Text Box 2">
          <a:extLst>
            <a:ext uri="{FF2B5EF4-FFF2-40B4-BE49-F238E27FC236}">
              <a16:creationId xmlns:a16="http://schemas.microsoft.com/office/drawing/2014/main" id="{60EA0122-4536-40C0-8DA2-23D1315122EC}"/>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14" name="Text Box 1">
          <a:extLst>
            <a:ext uri="{FF2B5EF4-FFF2-40B4-BE49-F238E27FC236}">
              <a16:creationId xmlns:a16="http://schemas.microsoft.com/office/drawing/2014/main" id="{9E7D27B1-2873-4464-BCD8-BBCFF8A7A3E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15" name="Text Box 2">
          <a:extLst>
            <a:ext uri="{FF2B5EF4-FFF2-40B4-BE49-F238E27FC236}">
              <a16:creationId xmlns:a16="http://schemas.microsoft.com/office/drawing/2014/main" id="{E01EABF0-3DF5-44BB-BB40-5FB32479417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16" name="Text Box 1">
          <a:extLst>
            <a:ext uri="{FF2B5EF4-FFF2-40B4-BE49-F238E27FC236}">
              <a16:creationId xmlns:a16="http://schemas.microsoft.com/office/drawing/2014/main" id="{0097918A-00CF-441B-82A6-D2605706F3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17" name="Text Box 2">
          <a:extLst>
            <a:ext uri="{FF2B5EF4-FFF2-40B4-BE49-F238E27FC236}">
              <a16:creationId xmlns:a16="http://schemas.microsoft.com/office/drawing/2014/main" id="{51EB97C5-A2F6-4A8E-8356-4F97D4C2E44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18" name="Text Box 1">
          <a:extLst>
            <a:ext uri="{FF2B5EF4-FFF2-40B4-BE49-F238E27FC236}">
              <a16:creationId xmlns:a16="http://schemas.microsoft.com/office/drawing/2014/main" id="{22D933A2-21B5-4CD4-9E4B-5FF16BEA9B6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19" name="Text Box 2">
          <a:extLst>
            <a:ext uri="{FF2B5EF4-FFF2-40B4-BE49-F238E27FC236}">
              <a16:creationId xmlns:a16="http://schemas.microsoft.com/office/drawing/2014/main" id="{A8EFFEC1-6D5A-43D0-9639-02736F9CDE4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20" name="Text Box 1">
          <a:extLst>
            <a:ext uri="{FF2B5EF4-FFF2-40B4-BE49-F238E27FC236}">
              <a16:creationId xmlns:a16="http://schemas.microsoft.com/office/drawing/2014/main" id="{D8D77A91-CB73-47F7-B41E-1130305DE40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21" name="Text Box 2">
          <a:extLst>
            <a:ext uri="{FF2B5EF4-FFF2-40B4-BE49-F238E27FC236}">
              <a16:creationId xmlns:a16="http://schemas.microsoft.com/office/drawing/2014/main" id="{685D306D-01AA-42E9-916E-57AEBA47190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22" name="Text Box 1">
          <a:extLst>
            <a:ext uri="{FF2B5EF4-FFF2-40B4-BE49-F238E27FC236}">
              <a16:creationId xmlns:a16="http://schemas.microsoft.com/office/drawing/2014/main" id="{23B56F59-3245-4104-88FB-30F4ED73D3A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23" name="Text Box 2">
          <a:extLst>
            <a:ext uri="{FF2B5EF4-FFF2-40B4-BE49-F238E27FC236}">
              <a16:creationId xmlns:a16="http://schemas.microsoft.com/office/drawing/2014/main" id="{FDF871CB-D1B9-4FBD-9911-F499013EE08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24" name="Text Box 1">
          <a:extLst>
            <a:ext uri="{FF2B5EF4-FFF2-40B4-BE49-F238E27FC236}">
              <a16:creationId xmlns:a16="http://schemas.microsoft.com/office/drawing/2014/main" id="{ACA86B7C-86FB-4502-B74A-CB4DF433CD4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25" name="Text Box 2">
          <a:extLst>
            <a:ext uri="{FF2B5EF4-FFF2-40B4-BE49-F238E27FC236}">
              <a16:creationId xmlns:a16="http://schemas.microsoft.com/office/drawing/2014/main" id="{DD5FBD6A-E117-4CFB-9139-43A18D61810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26" name="Text Box 1">
          <a:extLst>
            <a:ext uri="{FF2B5EF4-FFF2-40B4-BE49-F238E27FC236}">
              <a16:creationId xmlns:a16="http://schemas.microsoft.com/office/drawing/2014/main" id="{FE1AD7C6-0B58-48E1-BB54-84F5E6CDD0D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27" name="Text Box 2">
          <a:extLst>
            <a:ext uri="{FF2B5EF4-FFF2-40B4-BE49-F238E27FC236}">
              <a16:creationId xmlns:a16="http://schemas.microsoft.com/office/drawing/2014/main" id="{CE5CDDC7-9C13-45B9-A5D3-7EEF56870C3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28" name="Text Box 1">
          <a:extLst>
            <a:ext uri="{FF2B5EF4-FFF2-40B4-BE49-F238E27FC236}">
              <a16:creationId xmlns:a16="http://schemas.microsoft.com/office/drawing/2014/main" id="{518791E9-21A0-4803-8371-328F19F9938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29" name="Text Box 2">
          <a:extLst>
            <a:ext uri="{FF2B5EF4-FFF2-40B4-BE49-F238E27FC236}">
              <a16:creationId xmlns:a16="http://schemas.microsoft.com/office/drawing/2014/main" id="{63E1F1DA-1FE1-4D5A-A267-341342F0B55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30" name="Text Box 1">
          <a:extLst>
            <a:ext uri="{FF2B5EF4-FFF2-40B4-BE49-F238E27FC236}">
              <a16:creationId xmlns:a16="http://schemas.microsoft.com/office/drawing/2014/main" id="{9F1CE5E6-4CAA-4FAA-BBF3-7EE199F03EC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31" name="Text Box 2">
          <a:extLst>
            <a:ext uri="{FF2B5EF4-FFF2-40B4-BE49-F238E27FC236}">
              <a16:creationId xmlns:a16="http://schemas.microsoft.com/office/drawing/2014/main" id="{3D2FE9A8-B2F1-46EB-8634-D5CE04320B3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32" name="Text Box 1">
          <a:extLst>
            <a:ext uri="{FF2B5EF4-FFF2-40B4-BE49-F238E27FC236}">
              <a16:creationId xmlns:a16="http://schemas.microsoft.com/office/drawing/2014/main" id="{091F97DB-7359-4331-A555-32846178F92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33" name="Text Box 2">
          <a:extLst>
            <a:ext uri="{FF2B5EF4-FFF2-40B4-BE49-F238E27FC236}">
              <a16:creationId xmlns:a16="http://schemas.microsoft.com/office/drawing/2014/main" id="{A344652D-497F-4A87-A735-B822DDD5E97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34" name="Text Box 1">
          <a:extLst>
            <a:ext uri="{FF2B5EF4-FFF2-40B4-BE49-F238E27FC236}">
              <a16:creationId xmlns:a16="http://schemas.microsoft.com/office/drawing/2014/main" id="{3FE72EC2-8D11-4C94-A4B9-45D873D6D14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35" name="Text Box 2">
          <a:extLst>
            <a:ext uri="{FF2B5EF4-FFF2-40B4-BE49-F238E27FC236}">
              <a16:creationId xmlns:a16="http://schemas.microsoft.com/office/drawing/2014/main" id="{1F7ED050-0F48-4C9A-8816-A14292ED222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36" name="Text Box 1">
          <a:extLst>
            <a:ext uri="{FF2B5EF4-FFF2-40B4-BE49-F238E27FC236}">
              <a16:creationId xmlns:a16="http://schemas.microsoft.com/office/drawing/2014/main" id="{C278989E-0F80-4B37-B96B-88C152993C3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37" name="Text Box 2">
          <a:extLst>
            <a:ext uri="{FF2B5EF4-FFF2-40B4-BE49-F238E27FC236}">
              <a16:creationId xmlns:a16="http://schemas.microsoft.com/office/drawing/2014/main" id="{E83DA071-A674-4C4C-998A-6E671CC08D7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38" name="Text Box 1">
          <a:extLst>
            <a:ext uri="{FF2B5EF4-FFF2-40B4-BE49-F238E27FC236}">
              <a16:creationId xmlns:a16="http://schemas.microsoft.com/office/drawing/2014/main" id="{5241382E-C3FC-4FEA-AA78-4DAEE9D5E46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39" name="Text Box 2">
          <a:extLst>
            <a:ext uri="{FF2B5EF4-FFF2-40B4-BE49-F238E27FC236}">
              <a16:creationId xmlns:a16="http://schemas.microsoft.com/office/drawing/2014/main" id="{F9750A5E-769F-41D8-86FD-5165F4BD8F4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40" name="Text Box 1">
          <a:extLst>
            <a:ext uri="{FF2B5EF4-FFF2-40B4-BE49-F238E27FC236}">
              <a16:creationId xmlns:a16="http://schemas.microsoft.com/office/drawing/2014/main" id="{AF1E3A9D-6B2F-451E-9913-6210E717B94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41" name="Text Box 2">
          <a:extLst>
            <a:ext uri="{FF2B5EF4-FFF2-40B4-BE49-F238E27FC236}">
              <a16:creationId xmlns:a16="http://schemas.microsoft.com/office/drawing/2014/main" id="{1ED1CACC-2A65-4F09-8F3F-3B030D50C7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42" name="Text Box 1">
          <a:extLst>
            <a:ext uri="{FF2B5EF4-FFF2-40B4-BE49-F238E27FC236}">
              <a16:creationId xmlns:a16="http://schemas.microsoft.com/office/drawing/2014/main" id="{E3384B63-2DCF-4474-9EB0-713166065DB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43" name="Text Box 2">
          <a:extLst>
            <a:ext uri="{FF2B5EF4-FFF2-40B4-BE49-F238E27FC236}">
              <a16:creationId xmlns:a16="http://schemas.microsoft.com/office/drawing/2014/main" id="{62DD2BA4-5AE4-4A31-8225-3ADBC5C4EA5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44" name="Text Box 1">
          <a:extLst>
            <a:ext uri="{FF2B5EF4-FFF2-40B4-BE49-F238E27FC236}">
              <a16:creationId xmlns:a16="http://schemas.microsoft.com/office/drawing/2014/main" id="{BC8B4F0C-72FF-45B9-B62E-EC309B0C43B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45" name="Text Box 2">
          <a:extLst>
            <a:ext uri="{FF2B5EF4-FFF2-40B4-BE49-F238E27FC236}">
              <a16:creationId xmlns:a16="http://schemas.microsoft.com/office/drawing/2014/main" id="{E2A25569-959E-47AC-BC35-59AE487E7B3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246" name="Text Box 1">
          <a:extLst>
            <a:ext uri="{FF2B5EF4-FFF2-40B4-BE49-F238E27FC236}">
              <a16:creationId xmlns:a16="http://schemas.microsoft.com/office/drawing/2014/main" id="{853AFD8E-884D-461B-A7D9-832A77D834D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247" name="Text Box 2">
          <a:extLst>
            <a:ext uri="{FF2B5EF4-FFF2-40B4-BE49-F238E27FC236}">
              <a16:creationId xmlns:a16="http://schemas.microsoft.com/office/drawing/2014/main" id="{9410DE8B-B65A-4825-AA9C-293FD4AA2E9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48" name="Text Box 1">
          <a:extLst>
            <a:ext uri="{FF2B5EF4-FFF2-40B4-BE49-F238E27FC236}">
              <a16:creationId xmlns:a16="http://schemas.microsoft.com/office/drawing/2014/main" id="{3F6A4C3A-3A28-4E60-BA6A-12538C60DBF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49" name="Text Box 2">
          <a:extLst>
            <a:ext uri="{FF2B5EF4-FFF2-40B4-BE49-F238E27FC236}">
              <a16:creationId xmlns:a16="http://schemas.microsoft.com/office/drawing/2014/main" id="{3470FA05-E848-4038-AA4D-A8F291837DF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250" name="Text Box 1">
          <a:extLst>
            <a:ext uri="{FF2B5EF4-FFF2-40B4-BE49-F238E27FC236}">
              <a16:creationId xmlns:a16="http://schemas.microsoft.com/office/drawing/2014/main" id="{E4EFFBB0-BDA9-476E-B0BC-35EEEB0143A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251" name="Text Box 2">
          <a:extLst>
            <a:ext uri="{FF2B5EF4-FFF2-40B4-BE49-F238E27FC236}">
              <a16:creationId xmlns:a16="http://schemas.microsoft.com/office/drawing/2014/main" id="{A862E83A-E5EB-43A3-B3AB-F9FB53F2298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52" name="Text Box 1">
          <a:extLst>
            <a:ext uri="{FF2B5EF4-FFF2-40B4-BE49-F238E27FC236}">
              <a16:creationId xmlns:a16="http://schemas.microsoft.com/office/drawing/2014/main" id="{0259C3CC-2436-4276-BE11-053E5E46196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53" name="Text Box 2">
          <a:extLst>
            <a:ext uri="{FF2B5EF4-FFF2-40B4-BE49-F238E27FC236}">
              <a16:creationId xmlns:a16="http://schemas.microsoft.com/office/drawing/2014/main" id="{A4EC4C31-E756-4EF5-A035-ABB2C084A99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54" name="Text Box 1">
          <a:extLst>
            <a:ext uri="{FF2B5EF4-FFF2-40B4-BE49-F238E27FC236}">
              <a16:creationId xmlns:a16="http://schemas.microsoft.com/office/drawing/2014/main" id="{1D812304-8953-4262-8A5F-F07C8F9477C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55" name="Text Box 2">
          <a:extLst>
            <a:ext uri="{FF2B5EF4-FFF2-40B4-BE49-F238E27FC236}">
              <a16:creationId xmlns:a16="http://schemas.microsoft.com/office/drawing/2014/main" id="{18C0F232-9002-434C-BA24-7CDEBDD07CC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56" name="Text Box 1">
          <a:extLst>
            <a:ext uri="{FF2B5EF4-FFF2-40B4-BE49-F238E27FC236}">
              <a16:creationId xmlns:a16="http://schemas.microsoft.com/office/drawing/2014/main" id="{33941C78-D15A-4D23-8D83-9F125AB2AC9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57" name="Text Box 2">
          <a:extLst>
            <a:ext uri="{FF2B5EF4-FFF2-40B4-BE49-F238E27FC236}">
              <a16:creationId xmlns:a16="http://schemas.microsoft.com/office/drawing/2014/main" id="{A0DF1FE9-AFB3-4100-85D4-90D347BC527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58" name="Text Box 1">
          <a:extLst>
            <a:ext uri="{FF2B5EF4-FFF2-40B4-BE49-F238E27FC236}">
              <a16:creationId xmlns:a16="http://schemas.microsoft.com/office/drawing/2014/main" id="{0469406A-A53F-4571-9D78-D24060A0ECB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59" name="Text Box 2">
          <a:extLst>
            <a:ext uri="{FF2B5EF4-FFF2-40B4-BE49-F238E27FC236}">
              <a16:creationId xmlns:a16="http://schemas.microsoft.com/office/drawing/2014/main" id="{7CF6B54B-66DA-4F00-87CE-D926178FB02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60" name="Text Box 1">
          <a:extLst>
            <a:ext uri="{FF2B5EF4-FFF2-40B4-BE49-F238E27FC236}">
              <a16:creationId xmlns:a16="http://schemas.microsoft.com/office/drawing/2014/main" id="{0B7271E4-35A1-4308-BC5C-48D0266800E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61" name="Text Box 2">
          <a:extLst>
            <a:ext uri="{FF2B5EF4-FFF2-40B4-BE49-F238E27FC236}">
              <a16:creationId xmlns:a16="http://schemas.microsoft.com/office/drawing/2014/main" id="{F9B9C255-C685-413C-AF87-10DD8CD90A5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62" name="Text Box 1">
          <a:extLst>
            <a:ext uri="{FF2B5EF4-FFF2-40B4-BE49-F238E27FC236}">
              <a16:creationId xmlns:a16="http://schemas.microsoft.com/office/drawing/2014/main" id="{F0E029E5-83DA-45E0-BC39-6EBD59B7999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63" name="Text Box 2">
          <a:extLst>
            <a:ext uri="{FF2B5EF4-FFF2-40B4-BE49-F238E27FC236}">
              <a16:creationId xmlns:a16="http://schemas.microsoft.com/office/drawing/2014/main" id="{99E1F51B-2FFF-43B4-A827-8D845D8593A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64" name="Text Box 1">
          <a:extLst>
            <a:ext uri="{FF2B5EF4-FFF2-40B4-BE49-F238E27FC236}">
              <a16:creationId xmlns:a16="http://schemas.microsoft.com/office/drawing/2014/main" id="{00485587-DF6D-4F21-9739-0375EDEAC93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65" name="Text Box 2">
          <a:extLst>
            <a:ext uri="{FF2B5EF4-FFF2-40B4-BE49-F238E27FC236}">
              <a16:creationId xmlns:a16="http://schemas.microsoft.com/office/drawing/2014/main" id="{9A10C3CA-0E6F-437E-958F-7C3C1C246D1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66" name="Text Box 1">
          <a:extLst>
            <a:ext uri="{FF2B5EF4-FFF2-40B4-BE49-F238E27FC236}">
              <a16:creationId xmlns:a16="http://schemas.microsoft.com/office/drawing/2014/main" id="{769F788E-9425-4929-A140-DCDD8129F39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67" name="Text Box 2">
          <a:extLst>
            <a:ext uri="{FF2B5EF4-FFF2-40B4-BE49-F238E27FC236}">
              <a16:creationId xmlns:a16="http://schemas.microsoft.com/office/drawing/2014/main" id="{6B790669-6E44-4886-891D-CD8BCCE3F72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68" name="Text Box 1">
          <a:extLst>
            <a:ext uri="{FF2B5EF4-FFF2-40B4-BE49-F238E27FC236}">
              <a16:creationId xmlns:a16="http://schemas.microsoft.com/office/drawing/2014/main" id="{B9A209B3-7D0B-4D4F-8E16-4D75DE17A1D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69" name="Text Box 2">
          <a:extLst>
            <a:ext uri="{FF2B5EF4-FFF2-40B4-BE49-F238E27FC236}">
              <a16:creationId xmlns:a16="http://schemas.microsoft.com/office/drawing/2014/main" id="{8A66B1F2-4FAE-4DFB-8DBC-67B08475B4D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70" name="Text Box 1">
          <a:extLst>
            <a:ext uri="{FF2B5EF4-FFF2-40B4-BE49-F238E27FC236}">
              <a16:creationId xmlns:a16="http://schemas.microsoft.com/office/drawing/2014/main" id="{D3D51789-4E9A-4C8B-98B8-459AA66D92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71" name="Text Box 2">
          <a:extLst>
            <a:ext uri="{FF2B5EF4-FFF2-40B4-BE49-F238E27FC236}">
              <a16:creationId xmlns:a16="http://schemas.microsoft.com/office/drawing/2014/main" id="{FC9DDAA4-B1BD-4C8F-B3AA-DA09184D10C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72" name="Text Box 1">
          <a:extLst>
            <a:ext uri="{FF2B5EF4-FFF2-40B4-BE49-F238E27FC236}">
              <a16:creationId xmlns:a16="http://schemas.microsoft.com/office/drawing/2014/main" id="{A0D56DBF-6168-4B50-8062-9C532BDDA76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73" name="Text Box 2">
          <a:extLst>
            <a:ext uri="{FF2B5EF4-FFF2-40B4-BE49-F238E27FC236}">
              <a16:creationId xmlns:a16="http://schemas.microsoft.com/office/drawing/2014/main" id="{590FC24C-AF24-4E4D-A78E-A853167C8E7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274" name="Text Box 1">
          <a:extLst>
            <a:ext uri="{FF2B5EF4-FFF2-40B4-BE49-F238E27FC236}">
              <a16:creationId xmlns:a16="http://schemas.microsoft.com/office/drawing/2014/main" id="{BD1F2782-0CA2-490F-BA66-F647FC87471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275" name="Text Box 2">
          <a:extLst>
            <a:ext uri="{FF2B5EF4-FFF2-40B4-BE49-F238E27FC236}">
              <a16:creationId xmlns:a16="http://schemas.microsoft.com/office/drawing/2014/main" id="{48926C05-F107-4D57-8BF0-BAC5EADB7D6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276" name="Text Box 1">
          <a:extLst>
            <a:ext uri="{FF2B5EF4-FFF2-40B4-BE49-F238E27FC236}">
              <a16:creationId xmlns:a16="http://schemas.microsoft.com/office/drawing/2014/main" id="{49245504-8DFB-4927-A881-7F2D124C1FC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277" name="Text Box 2">
          <a:extLst>
            <a:ext uri="{FF2B5EF4-FFF2-40B4-BE49-F238E27FC236}">
              <a16:creationId xmlns:a16="http://schemas.microsoft.com/office/drawing/2014/main" id="{93D1D630-6521-4377-9038-41C275B3E9F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78" name="Text Box 1">
          <a:extLst>
            <a:ext uri="{FF2B5EF4-FFF2-40B4-BE49-F238E27FC236}">
              <a16:creationId xmlns:a16="http://schemas.microsoft.com/office/drawing/2014/main" id="{4F0D26F0-C365-4453-96EB-F4EBA20534A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79" name="Text Box 2">
          <a:extLst>
            <a:ext uri="{FF2B5EF4-FFF2-40B4-BE49-F238E27FC236}">
              <a16:creationId xmlns:a16="http://schemas.microsoft.com/office/drawing/2014/main" id="{CBD46148-C197-4143-9F07-79CBC377DA6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80" name="Text Box 1">
          <a:extLst>
            <a:ext uri="{FF2B5EF4-FFF2-40B4-BE49-F238E27FC236}">
              <a16:creationId xmlns:a16="http://schemas.microsoft.com/office/drawing/2014/main" id="{BB2D6AFF-EF5F-4861-A5D3-2BD4DEA1094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81" name="Text Box 2">
          <a:extLst>
            <a:ext uri="{FF2B5EF4-FFF2-40B4-BE49-F238E27FC236}">
              <a16:creationId xmlns:a16="http://schemas.microsoft.com/office/drawing/2014/main" id="{9F2D9885-B90D-4D51-8561-14414E4CF68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82" name="Text Box 1">
          <a:extLst>
            <a:ext uri="{FF2B5EF4-FFF2-40B4-BE49-F238E27FC236}">
              <a16:creationId xmlns:a16="http://schemas.microsoft.com/office/drawing/2014/main" id="{CDE72E1D-C01A-49E6-8B9E-7C3AFD87143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83" name="Text Box 2">
          <a:extLst>
            <a:ext uri="{FF2B5EF4-FFF2-40B4-BE49-F238E27FC236}">
              <a16:creationId xmlns:a16="http://schemas.microsoft.com/office/drawing/2014/main" id="{F83ABA86-15F5-42B6-AB98-E302F7BE975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84" name="Text Box 1">
          <a:extLst>
            <a:ext uri="{FF2B5EF4-FFF2-40B4-BE49-F238E27FC236}">
              <a16:creationId xmlns:a16="http://schemas.microsoft.com/office/drawing/2014/main" id="{423B50D8-3487-4E1F-8270-1324F335B91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85" name="Text Box 2">
          <a:extLst>
            <a:ext uri="{FF2B5EF4-FFF2-40B4-BE49-F238E27FC236}">
              <a16:creationId xmlns:a16="http://schemas.microsoft.com/office/drawing/2014/main" id="{4753ADD9-39E2-4439-B158-ABAC4E095ED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286" name="Text Box 1">
          <a:extLst>
            <a:ext uri="{FF2B5EF4-FFF2-40B4-BE49-F238E27FC236}">
              <a16:creationId xmlns:a16="http://schemas.microsoft.com/office/drawing/2014/main" id="{E7E5E36E-4C9C-4ACE-AE7B-1A094E0D026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287" name="Text Box 2">
          <a:extLst>
            <a:ext uri="{FF2B5EF4-FFF2-40B4-BE49-F238E27FC236}">
              <a16:creationId xmlns:a16="http://schemas.microsoft.com/office/drawing/2014/main" id="{D3E1A0AF-01A1-4721-82E0-A65C3B28DEF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288" name="Text Box 1">
          <a:extLst>
            <a:ext uri="{FF2B5EF4-FFF2-40B4-BE49-F238E27FC236}">
              <a16:creationId xmlns:a16="http://schemas.microsoft.com/office/drawing/2014/main" id="{BEC33BF5-B0E9-4319-9180-A248A495DE8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289" name="Text Box 2">
          <a:extLst>
            <a:ext uri="{FF2B5EF4-FFF2-40B4-BE49-F238E27FC236}">
              <a16:creationId xmlns:a16="http://schemas.microsoft.com/office/drawing/2014/main" id="{01B8E382-D281-45B9-B090-DE112E9416B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90" name="Text Box 1">
          <a:extLst>
            <a:ext uri="{FF2B5EF4-FFF2-40B4-BE49-F238E27FC236}">
              <a16:creationId xmlns:a16="http://schemas.microsoft.com/office/drawing/2014/main" id="{6B5EE3BB-F5C1-4F79-9C27-D2358B5C31D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91" name="Text Box 2">
          <a:extLst>
            <a:ext uri="{FF2B5EF4-FFF2-40B4-BE49-F238E27FC236}">
              <a16:creationId xmlns:a16="http://schemas.microsoft.com/office/drawing/2014/main" id="{7F62FD0C-BC2D-4294-BBA4-159169F2986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92" name="Text Box 1">
          <a:extLst>
            <a:ext uri="{FF2B5EF4-FFF2-40B4-BE49-F238E27FC236}">
              <a16:creationId xmlns:a16="http://schemas.microsoft.com/office/drawing/2014/main" id="{B39417D0-FDCF-4206-A50E-61DED7F074F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93" name="Text Box 2">
          <a:extLst>
            <a:ext uri="{FF2B5EF4-FFF2-40B4-BE49-F238E27FC236}">
              <a16:creationId xmlns:a16="http://schemas.microsoft.com/office/drawing/2014/main" id="{FED1CE55-946C-4A4D-8530-3F588878A9E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294" name="Text Box 1">
          <a:extLst>
            <a:ext uri="{FF2B5EF4-FFF2-40B4-BE49-F238E27FC236}">
              <a16:creationId xmlns:a16="http://schemas.microsoft.com/office/drawing/2014/main" id="{BCA4A123-D20B-4A44-93BD-B6A9B3558F3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295" name="Text Box 2">
          <a:extLst>
            <a:ext uri="{FF2B5EF4-FFF2-40B4-BE49-F238E27FC236}">
              <a16:creationId xmlns:a16="http://schemas.microsoft.com/office/drawing/2014/main" id="{3AE3E3B1-C4EC-45CA-951F-80BC95FB350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296" name="Text Box 1">
          <a:extLst>
            <a:ext uri="{FF2B5EF4-FFF2-40B4-BE49-F238E27FC236}">
              <a16:creationId xmlns:a16="http://schemas.microsoft.com/office/drawing/2014/main" id="{E35EB39E-07DE-4A60-B75B-A24E7EA93F0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297" name="Text Box 2">
          <a:extLst>
            <a:ext uri="{FF2B5EF4-FFF2-40B4-BE49-F238E27FC236}">
              <a16:creationId xmlns:a16="http://schemas.microsoft.com/office/drawing/2014/main" id="{D03C2EB3-C5B8-421D-8C27-04E15447F4E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98" name="Text Box 1">
          <a:extLst>
            <a:ext uri="{FF2B5EF4-FFF2-40B4-BE49-F238E27FC236}">
              <a16:creationId xmlns:a16="http://schemas.microsoft.com/office/drawing/2014/main" id="{7367C0EB-0533-4B30-A807-07FA20BAEEA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99" name="Text Box 2">
          <a:extLst>
            <a:ext uri="{FF2B5EF4-FFF2-40B4-BE49-F238E27FC236}">
              <a16:creationId xmlns:a16="http://schemas.microsoft.com/office/drawing/2014/main" id="{AA6D74D3-28D3-4BFB-BD34-BFD51DE36B4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00" name="Text Box 1">
          <a:extLst>
            <a:ext uri="{FF2B5EF4-FFF2-40B4-BE49-F238E27FC236}">
              <a16:creationId xmlns:a16="http://schemas.microsoft.com/office/drawing/2014/main" id="{ACE80A76-6BA7-4E3E-BA5E-B0F4CC62028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01" name="Text Box 2">
          <a:extLst>
            <a:ext uri="{FF2B5EF4-FFF2-40B4-BE49-F238E27FC236}">
              <a16:creationId xmlns:a16="http://schemas.microsoft.com/office/drawing/2014/main" id="{B6623A1D-C300-4638-92C0-877AEC74B58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302" name="Text Box 1">
          <a:extLst>
            <a:ext uri="{FF2B5EF4-FFF2-40B4-BE49-F238E27FC236}">
              <a16:creationId xmlns:a16="http://schemas.microsoft.com/office/drawing/2014/main" id="{91DB7F63-16D9-4041-AE5B-13C9CA11311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303" name="Text Box 2">
          <a:extLst>
            <a:ext uri="{FF2B5EF4-FFF2-40B4-BE49-F238E27FC236}">
              <a16:creationId xmlns:a16="http://schemas.microsoft.com/office/drawing/2014/main" id="{1A71C2ED-DF76-45E5-858F-4379E71230A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04" name="Text Box 1">
          <a:extLst>
            <a:ext uri="{FF2B5EF4-FFF2-40B4-BE49-F238E27FC236}">
              <a16:creationId xmlns:a16="http://schemas.microsoft.com/office/drawing/2014/main" id="{B488ED3E-9E33-40F8-8CE2-570F28C6B46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05" name="Text Box 2">
          <a:extLst>
            <a:ext uri="{FF2B5EF4-FFF2-40B4-BE49-F238E27FC236}">
              <a16:creationId xmlns:a16="http://schemas.microsoft.com/office/drawing/2014/main" id="{EDAFFFBB-C00D-4B14-8503-7AD4A14E5DE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306" name="Text Box 1">
          <a:extLst>
            <a:ext uri="{FF2B5EF4-FFF2-40B4-BE49-F238E27FC236}">
              <a16:creationId xmlns:a16="http://schemas.microsoft.com/office/drawing/2014/main" id="{11D1E45C-3364-4654-B8B1-456CE7BCECC8}"/>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307" name="Text Box 2">
          <a:extLst>
            <a:ext uri="{FF2B5EF4-FFF2-40B4-BE49-F238E27FC236}">
              <a16:creationId xmlns:a16="http://schemas.microsoft.com/office/drawing/2014/main" id="{76118260-DB87-4C00-9700-B42870A252E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308" name="Text Box 1">
          <a:extLst>
            <a:ext uri="{FF2B5EF4-FFF2-40B4-BE49-F238E27FC236}">
              <a16:creationId xmlns:a16="http://schemas.microsoft.com/office/drawing/2014/main" id="{82B7A485-7D15-426B-9179-F5210FD7FFD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309" name="Text Box 2">
          <a:extLst>
            <a:ext uri="{FF2B5EF4-FFF2-40B4-BE49-F238E27FC236}">
              <a16:creationId xmlns:a16="http://schemas.microsoft.com/office/drawing/2014/main" id="{26BC1F62-5735-453F-9B04-9AA332D6669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10" name="Text Box 1">
          <a:extLst>
            <a:ext uri="{FF2B5EF4-FFF2-40B4-BE49-F238E27FC236}">
              <a16:creationId xmlns:a16="http://schemas.microsoft.com/office/drawing/2014/main" id="{16B45A24-45DB-495D-9CEF-C02A2742746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11" name="Text Box 2">
          <a:extLst>
            <a:ext uri="{FF2B5EF4-FFF2-40B4-BE49-F238E27FC236}">
              <a16:creationId xmlns:a16="http://schemas.microsoft.com/office/drawing/2014/main" id="{8E1E5B3A-3EBC-475A-89D1-CAC27CA26C6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12" name="Text Box 1">
          <a:extLst>
            <a:ext uri="{FF2B5EF4-FFF2-40B4-BE49-F238E27FC236}">
              <a16:creationId xmlns:a16="http://schemas.microsoft.com/office/drawing/2014/main" id="{2559C9D0-6AEB-41C4-89A6-EE2BE725731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13" name="Text Box 2">
          <a:extLst>
            <a:ext uri="{FF2B5EF4-FFF2-40B4-BE49-F238E27FC236}">
              <a16:creationId xmlns:a16="http://schemas.microsoft.com/office/drawing/2014/main" id="{D070E1FD-14F4-4244-88CB-1EF39D40CD1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14" name="Text Box 1">
          <a:extLst>
            <a:ext uri="{FF2B5EF4-FFF2-40B4-BE49-F238E27FC236}">
              <a16:creationId xmlns:a16="http://schemas.microsoft.com/office/drawing/2014/main" id="{74BF8FE9-320F-4BB7-9EDF-5540FDC9808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15" name="Text Box 2">
          <a:extLst>
            <a:ext uri="{FF2B5EF4-FFF2-40B4-BE49-F238E27FC236}">
              <a16:creationId xmlns:a16="http://schemas.microsoft.com/office/drawing/2014/main" id="{544689E5-A8CE-497D-85E8-E1B970E7764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316" name="Text Box 1">
          <a:extLst>
            <a:ext uri="{FF2B5EF4-FFF2-40B4-BE49-F238E27FC236}">
              <a16:creationId xmlns:a16="http://schemas.microsoft.com/office/drawing/2014/main" id="{A8C56D18-FC1C-4B42-94BD-B377870BE6D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317" name="Text Box 2">
          <a:extLst>
            <a:ext uri="{FF2B5EF4-FFF2-40B4-BE49-F238E27FC236}">
              <a16:creationId xmlns:a16="http://schemas.microsoft.com/office/drawing/2014/main" id="{FFCE40E1-4D7C-4211-A260-985662A10E6C}"/>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18" name="Text Box 1">
          <a:extLst>
            <a:ext uri="{FF2B5EF4-FFF2-40B4-BE49-F238E27FC236}">
              <a16:creationId xmlns:a16="http://schemas.microsoft.com/office/drawing/2014/main" id="{57927CAD-11ED-490B-A636-EF09EBAC568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19" name="Text Box 2">
          <a:extLst>
            <a:ext uri="{FF2B5EF4-FFF2-40B4-BE49-F238E27FC236}">
              <a16:creationId xmlns:a16="http://schemas.microsoft.com/office/drawing/2014/main" id="{CB19C979-DDE3-4F2F-A7CE-FDB63A995E4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320" name="Text Box 1">
          <a:extLst>
            <a:ext uri="{FF2B5EF4-FFF2-40B4-BE49-F238E27FC236}">
              <a16:creationId xmlns:a16="http://schemas.microsoft.com/office/drawing/2014/main" id="{45375653-FB2C-428D-8E70-BF3DBAA7284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321" name="Text Box 2">
          <a:extLst>
            <a:ext uri="{FF2B5EF4-FFF2-40B4-BE49-F238E27FC236}">
              <a16:creationId xmlns:a16="http://schemas.microsoft.com/office/drawing/2014/main" id="{22263969-92E5-4FB3-B648-003833CBF55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22" name="Text Box 1">
          <a:extLst>
            <a:ext uri="{FF2B5EF4-FFF2-40B4-BE49-F238E27FC236}">
              <a16:creationId xmlns:a16="http://schemas.microsoft.com/office/drawing/2014/main" id="{5C9D75C5-21DE-43EA-9AC1-EA5E9F5A048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23" name="Text Box 2">
          <a:extLst>
            <a:ext uri="{FF2B5EF4-FFF2-40B4-BE49-F238E27FC236}">
              <a16:creationId xmlns:a16="http://schemas.microsoft.com/office/drawing/2014/main" id="{80F91C59-0B00-4059-98EC-D41AA8FC06F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24" name="Text Box 1">
          <a:extLst>
            <a:ext uri="{FF2B5EF4-FFF2-40B4-BE49-F238E27FC236}">
              <a16:creationId xmlns:a16="http://schemas.microsoft.com/office/drawing/2014/main" id="{1F2838E7-09DF-402D-98F0-4A38E83FEC3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25" name="Text Box 2">
          <a:extLst>
            <a:ext uri="{FF2B5EF4-FFF2-40B4-BE49-F238E27FC236}">
              <a16:creationId xmlns:a16="http://schemas.microsoft.com/office/drawing/2014/main" id="{35A688A5-935B-42BD-9A8E-0730F0168B5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26" name="Text Box 1">
          <a:extLst>
            <a:ext uri="{FF2B5EF4-FFF2-40B4-BE49-F238E27FC236}">
              <a16:creationId xmlns:a16="http://schemas.microsoft.com/office/drawing/2014/main" id="{3080C78E-30AB-40C9-8751-B4E8CDD34AE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27" name="Text Box 2">
          <a:extLst>
            <a:ext uri="{FF2B5EF4-FFF2-40B4-BE49-F238E27FC236}">
              <a16:creationId xmlns:a16="http://schemas.microsoft.com/office/drawing/2014/main" id="{9D9EB161-1B4B-4C4B-8BF1-ECE9F75883D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28" name="Text Box 1">
          <a:extLst>
            <a:ext uri="{FF2B5EF4-FFF2-40B4-BE49-F238E27FC236}">
              <a16:creationId xmlns:a16="http://schemas.microsoft.com/office/drawing/2014/main" id="{B508D7CE-2FF4-4A36-AF7A-13F9344CE5C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29" name="Text Box 2">
          <a:extLst>
            <a:ext uri="{FF2B5EF4-FFF2-40B4-BE49-F238E27FC236}">
              <a16:creationId xmlns:a16="http://schemas.microsoft.com/office/drawing/2014/main" id="{1B7FE4A8-8E70-4776-9117-BDC8561F9CE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30" name="Text Box 1">
          <a:extLst>
            <a:ext uri="{FF2B5EF4-FFF2-40B4-BE49-F238E27FC236}">
              <a16:creationId xmlns:a16="http://schemas.microsoft.com/office/drawing/2014/main" id="{7404DA1C-3301-4857-A73A-1CD80C694D1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31" name="Text Box 2">
          <a:extLst>
            <a:ext uri="{FF2B5EF4-FFF2-40B4-BE49-F238E27FC236}">
              <a16:creationId xmlns:a16="http://schemas.microsoft.com/office/drawing/2014/main" id="{C77E9631-C556-4A44-9A9B-8BBAE90133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32" name="Text Box 1">
          <a:extLst>
            <a:ext uri="{FF2B5EF4-FFF2-40B4-BE49-F238E27FC236}">
              <a16:creationId xmlns:a16="http://schemas.microsoft.com/office/drawing/2014/main" id="{DB87BDC7-21C3-4063-BDB7-44FA02AD0FF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33" name="Text Box 2">
          <a:extLst>
            <a:ext uri="{FF2B5EF4-FFF2-40B4-BE49-F238E27FC236}">
              <a16:creationId xmlns:a16="http://schemas.microsoft.com/office/drawing/2014/main" id="{84DF0AB0-CFDB-4D01-B88B-88D185B1B49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34" name="Text Box 1">
          <a:extLst>
            <a:ext uri="{FF2B5EF4-FFF2-40B4-BE49-F238E27FC236}">
              <a16:creationId xmlns:a16="http://schemas.microsoft.com/office/drawing/2014/main" id="{339FB1FC-1771-4E8E-B79C-6047E25D1A1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35" name="Text Box 2">
          <a:extLst>
            <a:ext uri="{FF2B5EF4-FFF2-40B4-BE49-F238E27FC236}">
              <a16:creationId xmlns:a16="http://schemas.microsoft.com/office/drawing/2014/main" id="{BA4C916B-4BAA-4BFF-9240-E70012382BF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36" name="Text Box 1">
          <a:extLst>
            <a:ext uri="{FF2B5EF4-FFF2-40B4-BE49-F238E27FC236}">
              <a16:creationId xmlns:a16="http://schemas.microsoft.com/office/drawing/2014/main" id="{D2E141F5-D79B-4BDF-BFA6-7231FEB5868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37" name="Text Box 2">
          <a:extLst>
            <a:ext uri="{FF2B5EF4-FFF2-40B4-BE49-F238E27FC236}">
              <a16:creationId xmlns:a16="http://schemas.microsoft.com/office/drawing/2014/main" id="{E9DF5491-2A94-4FA3-A898-1D401DD04CC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338" name="Text Box 2">
          <a:extLst>
            <a:ext uri="{FF2B5EF4-FFF2-40B4-BE49-F238E27FC236}">
              <a16:creationId xmlns:a16="http://schemas.microsoft.com/office/drawing/2014/main" id="{9CD0FFF7-6467-4E09-8E72-60B61AA5BEC5}"/>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39" name="Text Box 1">
          <a:extLst>
            <a:ext uri="{FF2B5EF4-FFF2-40B4-BE49-F238E27FC236}">
              <a16:creationId xmlns:a16="http://schemas.microsoft.com/office/drawing/2014/main" id="{E0A159BD-44E7-46BE-9F80-2F499AE57A5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40" name="Text Box 2">
          <a:extLst>
            <a:ext uri="{FF2B5EF4-FFF2-40B4-BE49-F238E27FC236}">
              <a16:creationId xmlns:a16="http://schemas.microsoft.com/office/drawing/2014/main" id="{FE9F799C-912E-4E4B-BEC5-24702CB22F6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41" name="Text Box 1">
          <a:extLst>
            <a:ext uri="{FF2B5EF4-FFF2-40B4-BE49-F238E27FC236}">
              <a16:creationId xmlns:a16="http://schemas.microsoft.com/office/drawing/2014/main" id="{35818A79-A962-4866-BAC3-18C5B50D986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42" name="Text Box 2">
          <a:extLst>
            <a:ext uri="{FF2B5EF4-FFF2-40B4-BE49-F238E27FC236}">
              <a16:creationId xmlns:a16="http://schemas.microsoft.com/office/drawing/2014/main" id="{4866A14C-956D-4B2F-AA18-A34BE21413F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343" name="Text Box 1">
          <a:extLst>
            <a:ext uri="{FF2B5EF4-FFF2-40B4-BE49-F238E27FC236}">
              <a16:creationId xmlns:a16="http://schemas.microsoft.com/office/drawing/2014/main" id="{74A126E5-58D6-4B77-9ED5-906F19B60FB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344" name="Text Box 2">
          <a:extLst>
            <a:ext uri="{FF2B5EF4-FFF2-40B4-BE49-F238E27FC236}">
              <a16:creationId xmlns:a16="http://schemas.microsoft.com/office/drawing/2014/main" id="{1B94E3E4-F684-4EED-8FC6-92E369E3C2C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45" name="Text Box 1">
          <a:extLst>
            <a:ext uri="{FF2B5EF4-FFF2-40B4-BE49-F238E27FC236}">
              <a16:creationId xmlns:a16="http://schemas.microsoft.com/office/drawing/2014/main" id="{E882C179-5F2D-4FCD-9155-38329726F63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46" name="Text Box 2">
          <a:extLst>
            <a:ext uri="{FF2B5EF4-FFF2-40B4-BE49-F238E27FC236}">
              <a16:creationId xmlns:a16="http://schemas.microsoft.com/office/drawing/2014/main" id="{3AA04C8C-2909-4604-84E4-E67DB028665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347" name="Text Box 2">
          <a:extLst>
            <a:ext uri="{FF2B5EF4-FFF2-40B4-BE49-F238E27FC236}">
              <a16:creationId xmlns:a16="http://schemas.microsoft.com/office/drawing/2014/main" id="{FE7E59EF-4B7B-4538-AF87-1B0300663519}"/>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48" name="Text Box 1">
          <a:extLst>
            <a:ext uri="{FF2B5EF4-FFF2-40B4-BE49-F238E27FC236}">
              <a16:creationId xmlns:a16="http://schemas.microsoft.com/office/drawing/2014/main" id="{CFD43AEE-9A9B-4C94-A1FD-6367458F7EB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49" name="Text Box 2">
          <a:extLst>
            <a:ext uri="{FF2B5EF4-FFF2-40B4-BE49-F238E27FC236}">
              <a16:creationId xmlns:a16="http://schemas.microsoft.com/office/drawing/2014/main" id="{C0E845FC-6084-4AE5-8DC8-BF27D909511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350" name="Text Box 2">
          <a:extLst>
            <a:ext uri="{FF2B5EF4-FFF2-40B4-BE49-F238E27FC236}">
              <a16:creationId xmlns:a16="http://schemas.microsoft.com/office/drawing/2014/main" id="{BD8E389A-9BBD-4DCD-BA73-E8111BAD0E9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51" name="Text Box 1">
          <a:extLst>
            <a:ext uri="{FF2B5EF4-FFF2-40B4-BE49-F238E27FC236}">
              <a16:creationId xmlns:a16="http://schemas.microsoft.com/office/drawing/2014/main" id="{84646661-25B3-4883-ADF7-C1B7B1CF6E1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52" name="Text Box 2">
          <a:extLst>
            <a:ext uri="{FF2B5EF4-FFF2-40B4-BE49-F238E27FC236}">
              <a16:creationId xmlns:a16="http://schemas.microsoft.com/office/drawing/2014/main" id="{1CF943FC-1C59-4010-B872-1CFED24E7FB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353" name="Text Box 2">
          <a:extLst>
            <a:ext uri="{FF2B5EF4-FFF2-40B4-BE49-F238E27FC236}">
              <a16:creationId xmlns:a16="http://schemas.microsoft.com/office/drawing/2014/main" id="{2B8F8512-41EE-4B77-85C5-E7170B4519C1}"/>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54" name="Text Box 1">
          <a:extLst>
            <a:ext uri="{FF2B5EF4-FFF2-40B4-BE49-F238E27FC236}">
              <a16:creationId xmlns:a16="http://schemas.microsoft.com/office/drawing/2014/main" id="{B56391C1-9622-4A66-B5CF-78A7EB2F8E1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55" name="Text Box 2">
          <a:extLst>
            <a:ext uri="{FF2B5EF4-FFF2-40B4-BE49-F238E27FC236}">
              <a16:creationId xmlns:a16="http://schemas.microsoft.com/office/drawing/2014/main" id="{E715B707-DD60-46DD-A183-FEA1B593018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356" name="Text Box 2">
          <a:extLst>
            <a:ext uri="{FF2B5EF4-FFF2-40B4-BE49-F238E27FC236}">
              <a16:creationId xmlns:a16="http://schemas.microsoft.com/office/drawing/2014/main" id="{831D7C1D-5152-47A3-9F20-43D18CF5D93A}"/>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57" name="Text Box 1">
          <a:extLst>
            <a:ext uri="{FF2B5EF4-FFF2-40B4-BE49-F238E27FC236}">
              <a16:creationId xmlns:a16="http://schemas.microsoft.com/office/drawing/2014/main" id="{33E81279-62E5-41A5-83C7-0A6EBE60D4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58" name="Text Box 2">
          <a:extLst>
            <a:ext uri="{FF2B5EF4-FFF2-40B4-BE49-F238E27FC236}">
              <a16:creationId xmlns:a16="http://schemas.microsoft.com/office/drawing/2014/main" id="{D3E9CEA3-2059-4213-AC2F-3C5E0C8E2FB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359" name="Text Box 2">
          <a:extLst>
            <a:ext uri="{FF2B5EF4-FFF2-40B4-BE49-F238E27FC236}">
              <a16:creationId xmlns:a16="http://schemas.microsoft.com/office/drawing/2014/main" id="{AB8D8B2D-D78E-44AE-BC9A-055D3D51334F}"/>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60" name="Text Box 1">
          <a:extLst>
            <a:ext uri="{FF2B5EF4-FFF2-40B4-BE49-F238E27FC236}">
              <a16:creationId xmlns:a16="http://schemas.microsoft.com/office/drawing/2014/main" id="{49363311-EFE7-45AE-A0AC-78FE0B417F1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61" name="Text Box 2">
          <a:extLst>
            <a:ext uri="{FF2B5EF4-FFF2-40B4-BE49-F238E27FC236}">
              <a16:creationId xmlns:a16="http://schemas.microsoft.com/office/drawing/2014/main" id="{C94A8AFB-9535-4196-8953-186E191A71F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362" name="Text Box 2">
          <a:extLst>
            <a:ext uri="{FF2B5EF4-FFF2-40B4-BE49-F238E27FC236}">
              <a16:creationId xmlns:a16="http://schemas.microsoft.com/office/drawing/2014/main" id="{EA524C9D-83A2-43FC-848E-9B6912EDFC99}"/>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63" name="Text Box 1">
          <a:extLst>
            <a:ext uri="{FF2B5EF4-FFF2-40B4-BE49-F238E27FC236}">
              <a16:creationId xmlns:a16="http://schemas.microsoft.com/office/drawing/2014/main" id="{7DF1A1B7-EF1B-4B2E-A1D7-E380F03B601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64" name="Text Box 2">
          <a:extLst>
            <a:ext uri="{FF2B5EF4-FFF2-40B4-BE49-F238E27FC236}">
              <a16:creationId xmlns:a16="http://schemas.microsoft.com/office/drawing/2014/main" id="{BB1EC33D-454E-49FA-BBEE-44059D52BD2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65" name="Text Box 1">
          <a:extLst>
            <a:ext uri="{FF2B5EF4-FFF2-40B4-BE49-F238E27FC236}">
              <a16:creationId xmlns:a16="http://schemas.microsoft.com/office/drawing/2014/main" id="{4740CBC5-5EF2-4034-BF37-CBA86D42B63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66" name="Text Box 2">
          <a:extLst>
            <a:ext uri="{FF2B5EF4-FFF2-40B4-BE49-F238E27FC236}">
              <a16:creationId xmlns:a16="http://schemas.microsoft.com/office/drawing/2014/main" id="{C0C38972-D52B-48C2-B4EC-1B7C2FBD309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67" name="Text Box 1">
          <a:extLst>
            <a:ext uri="{FF2B5EF4-FFF2-40B4-BE49-F238E27FC236}">
              <a16:creationId xmlns:a16="http://schemas.microsoft.com/office/drawing/2014/main" id="{1B16EB9D-0021-43AE-B9B6-184E6291CBD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68" name="Text Box 2">
          <a:extLst>
            <a:ext uri="{FF2B5EF4-FFF2-40B4-BE49-F238E27FC236}">
              <a16:creationId xmlns:a16="http://schemas.microsoft.com/office/drawing/2014/main" id="{3BA87F8B-96FF-4A09-BC14-E945AD538D5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369" name="Text Box 1">
          <a:extLst>
            <a:ext uri="{FF2B5EF4-FFF2-40B4-BE49-F238E27FC236}">
              <a16:creationId xmlns:a16="http://schemas.microsoft.com/office/drawing/2014/main" id="{885473F1-DFB5-4A49-99EF-7DD8BF22E99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370" name="Text Box 2">
          <a:extLst>
            <a:ext uri="{FF2B5EF4-FFF2-40B4-BE49-F238E27FC236}">
              <a16:creationId xmlns:a16="http://schemas.microsoft.com/office/drawing/2014/main" id="{29610CF2-E066-44C1-94CB-82BBA1A56F01}"/>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71" name="Text Box 1">
          <a:extLst>
            <a:ext uri="{FF2B5EF4-FFF2-40B4-BE49-F238E27FC236}">
              <a16:creationId xmlns:a16="http://schemas.microsoft.com/office/drawing/2014/main" id="{2C64AC56-17F8-44FC-A079-6E493E9EE5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72" name="Text Box 2">
          <a:extLst>
            <a:ext uri="{FF2B5EF4-FFF2-40B4-BE49-F238E27FC236}">
              <a16:creationId xmlns:a16="http://schemas.microsoft.com/office/drawing/2014/main" id="{A0A5617E-D660-466D-A00B-BB6CA1AD06A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373" name="Text Box 1">
          <a:extLst>
            <a:ext uri="{FF2B5EF4-FFF2-40B4-BE49-F238E27FC236}">
              <a16:creationId xmlns:a16="http://schemas.microsoft.com/office/drawing/2014/main" id="{C7344085-C8BF-4196-AAD1-CD7954A020C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374" name="Text Box 2">
          <a:extLst>
            <a:ext uri="{FF2B5EF4-FFF2-40B4-BE49-F238E27FC236}">
              <a16:creationId xmlns:a16="http://schemas.microsoft.com/office/drawing/2014/main" id="{9D43CEEE-CFAE-4DE5-99E0-D0BF5BB1202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75" name="Text Box 1">
          <a:extLst>
            <a:ext uri="{FF2B5EF4-FFF2-40B4-BE49-F238E27FC236}">
              <a16:creationId xmlns:a16="http://schemas.microsoft.com/office/drawing/2014/main" id="{2833AB0B-E423-44FB-ACDD-6EAF1CA327D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76" name="Text Box 2">
          <a:extLst>
            <a:ext uri="{FF2B5EF4-FFF2-40B4-BE49-F238E27FC236}">
              <a16:creationId xmlns:a16="http://schemas.microsoft.com/office/drawing/2014/main" id="{6E5F062A-9327-4B45-BB93-AE21DF179A0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77" name="Text Box 1">
          <a:extLst>
            <a:ext uri="{FF2B5EF4-FFF2-40B4-BE49-F238E27FC236}">
              <a16:creationId xmlns:a16="http://schemas.microsoft.com/office/drawing/2014/main" id="{F74931C8-0FDA-482C-8811-A03745E3907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78" name="Text Box 2">
          <a:extLst>
            <a:ext uri="{FF2B5EF4-FFF2-40B4-BE49-F238E27FC236}">
              <a16:creationId xmlns:a16="http://schemas.microsoft.com/office/drawing/2014/main" id="{A8C9CE3D-C907-45E0-9251-E75CBD0CED4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379" name="Text Box 1">
          <a:extLst>
            <a:ext uri="{FF2B5EF4-FFF2-40B4-BE49-F238E27FC236}">
              <a16:creationId xmlns:a16="http://schemas.microsoft.com/office/drawing/2014/main" id="{A7991B29-847C-4B3D-A929-83E9BADEDAA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380" name="Text Box 2">
          <a:extLst>
            <a:ext uri="{FF2B5EF4-FFF2-40B4-BE49-F238E27FC236}">
              <a16:creationId xmlns:a16="http://schemas.microsoft.com/office/drawing/2014/main" id="{30833846-A62A-4FEF-9DC1-C15F3F0BBA2B}"/>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381" name="Text Box 2">
          <a:extLst>
            <a:ext uri="{FF2B5EF4-FFF2-40B4-BE49-F238E27FC236}">
              <a16:creationId xmlns:a16="http://schemas.microsoft.com/office/drawing/2014/main" id="{1468EF95-AF79-498D-9896-E37437705E14}"/>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82" name="Text Box 1">
          <a:extLst>
            <a:ext uri="{FF2B5EF4-FFF2-40B4-BE49-F238E27FC236}">
              <a16:creationId xmlns:a16="http://schemas.microsoft.com/office/drawing/2014/main" id="{1F7FD8B9-6885-483C-BCE8-88D9F06B95C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83" name="Text Box 2">
          <a:extLst>
            <a:ext uri="{FF2B5EF4-FFF2-40B4-BE49-F238E27FC236}">
              <a16:creationId xmlns:a16="http://schemas.microsoft.com/office/drawing/2014/main" id="{099A0A1B-D167-47EB-9511-E5F7AAF3C1A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84" name="Text Box 1">
          <a:extLst>
            <a:ext uri="{FF2B5EF4-FFF2-40B4-BE49-F238E27FC236}">
              <a16:creationId xmlns:a16="http://schemas.microsoft.com/office/drawing/2014/main" id="{B6361FB7-D97E-4C6E-893D-FC6CD33FFD2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85" name="Text Box 2">
          <a:extLst>
            <a:ext uri="{FF2B5EF4-FFF2-40B4-BE49-F238E27FC236}">
              <a16:creationId xmlns:a16="http://schemas.microsoft.com/office/drawing/2014/main" id="{11270419-A2C8-4368-B9AA-444F840AA9C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386" name="Text Box 1">
          <a:extLst>
            <a:ext uri="{FF2B5EF4-FFF2-40B4-BE49-F238E27FC236}">
              <a16:creationId xmlns:a16="http://schemas.microsoft.com/office/drawing/2014/main" id="{C1495136-919D-4F52-84A7-EF479089323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387" name="Text Box 2">
          <a:extLst>
            <a:ext uri="{FF2B5EF4-FFF2-40B4-BE49-F238E27FC236}">
              <a16:creationId xmlns:a16="http://schemas.microsoft.com/office/drawing/2014/main" id="{5907BBB8-349E-4BCE-B80C-BA9E533CAF81}"/>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88" name="Text Box 1">
          <a:extLst>
            <a:ext uri="{FF2B5EF4-FFF2-40B4-BE49-F238E27FC236}">
              <a16:creationId xmlns:a16="http://schemas.microsoft.com/office/drawing/2014/main" id="{E4CECB51-DD79-4C9F-AF79-CC935DC7265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89" name="Text Box 2">
          <a:extLst>
            <a:ext uri="{FF2B5EF4-FFF2-40B4-BE49-F238E27FC236}">
              <a16:creationId xmlns:a16="http://schemas.microsoft.com/office/drawing/2014/main" id="{461D9FC0-069D-461A-BEF3-DE5F05B7E6C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390" name="Text Box 2">
          <a:extLst>
            <a:ext uri="{FF2B5EF4-FFF2-40B4-BE49-F238E27FC236}">
              <a16:creationId xmlns:a16="http://schemas.microsoft.com/office/drawing/2014/main" id="{642E615C-5BBE-4ECB-8D7F-AB9068D7FF1A}"/>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91" name="Text Box 1">
          <a:extLst>
            <a:ext uri="{FF2B5EF4-FFF2-40B4-BE49-F238E27FC236}">
              <a16:creationId xmlns:a16="http://schemas.microsoft.com/office/drawing/2014/main" id="{6D04675E-BDDF-4D36-BF2A-3CB1F27227B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92" name="Text Box 2">
          <a:extLst>
            <a:ext uri="{FF2B5EF4-FFF2-40B4-BE49-F238E27FC236}">
              <a16:creationId xmlns:a16="http://schemas.microsoft.com/office/drawing/2014/main" id="{13602EBD-060F-483A-96DA-6C0A9A7BCD5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393" name="Text Box 2">
          <a:extLst>
            <a:ext uri="{FF2B5EF4-FFF2-40B4-BE49-F238E27FC236}">
              <a16:creationId xmlns:a16="http://schemas.microsoft.com/office/drawing/2014/main" id="{A2DC383F-09A9-4583-8F13-9033D288BC10}"/>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94" name="Text Box 1">
          <a:extLst>
            <a:ext uri="{FF2B5EF4-FFF2-40B4-BE49-F238E27FC236}">
              <a16:creationId xmlns:a16="http://schemas.microsoft.com/office/drawing/2014/main" id="{2273A205-AF77-432D-9378-98C4048826C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95" name="Text Box 2">
          <a:extLst>
            <a:ext uri="{FF2B5EF4-FFF2-40B4-BE49-F238E27FC236}">
              <a16:creationId xmlns:a16="http://schemas.microsoft.com/office/drawing/2014/main" id="{448B2F57-767C-4650-9774-2A97D95371A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396" name="Text Box 2">
          <a:extLst>
            <a:ext uri="{FF2B5EF4-FFF2-40B4-BE49-F238E27FC236}">
              <a16:creationId xmlns:a16="http://schemas.microsoft.com/office/drawing/2014/main" id="{A526847C-F7B5-4A4B-8C39-3C4319B59686}"/>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97" name="Text Box 1">
          <a:extLst>
            <a:ext uri="{FF2B5EF4-FFF2-40B4-BE49-F238E27FC236}">
              <a16:creationId xmlns:a16="http://schemas.microsoft.com/office/drawing/2014/main" id="{6E149995-A222-49BD-8A03-205D1DB5FD4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98" name="Text Box 2">
          <a:extLst>
            <a:ext uri="{FF2B5EF4-FFF2-40B4-BE49-F238E27FC236}">
              <a16:creationId xmlns:a16="http://schemas.microsoft.com/office/drawing/2014/main" id="{184D77D4-10BD-4A07-B427-9E5B063B628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399" name="Text Box 2">
          <a:extLst>
            <a:ext uri="{FF2B5EF4-FFF2-40B4-BE49-F238E27FC236}">
              <a16:creationId xmlns:a16="http://schemas.microsoft.com/office/drawing/2014/main" id="{791BD11B-EC1B-4413-9534-BB59B79B4CB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00" name="Text Box 1">
          <a:extLst>
            <a:ext uri="{FF2B5EF4-FFF2-40B4-BE49-F238E27FC236}">
              <a16:creationId xmlns:a16="http://schemas.microsoft.com/office/drawing/2014/main" id="{B84B0648-BBA7-4D70-9793-604D00A3199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01" name="Text Box 2">
          <a:extLst>
            <a:ext uri="{FF2B5EF4-FFF2-40B4-BE49-F238E27FC236}">
              <a16:creationId xmlns:a16="http://schemas.microsoft.com/office/drawing/2014/main" id="{2CA924D8-D295-4139-8655-1959323F461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402" name="Text Box 2">
          <a:extLst>
            <a:ext uri="{FF2B5EF4-FFF2-40B4-BE49-F238E27FC236}">
              <a16:creationId xmlns:a16="http://schemas.microsoft.com/office/drawing/2014/main" id="{0694032E-9769-4942-BCB2-CF89779571ED}"/>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03" name="Text Box 1">
          <a:extLst>
            <a:ext uri="{FF2B5EF4-FFF2-40B4-BE49-F238E27FC236}">
              <a16:creationId xmlns:a16="http://schemas.microsoft.com/office/drawing/2014/main" id="{74C81CB2-8D0E-4B80-B1B0-0F85B3210DF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04" name="Text Box 2">
          <a:extLst>
            <a:ext uri="{FF2B5EF4-FFF2-40B4-BE49-F238E27FC236}">
              <a16:creationId xmlns:a16="http://schemas.microsoft.com/office/drawing/2014/main" id="{2982360D-E549-4F71-8B20-DA02B52EDD7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405" name="Text Box 2">
          <a:extLst>
            <a:ext uri="{FF2B5EF4-FFF2-40B4-BE49-F238E27FC236}">
              <a16:creationId xmlns:a16="http://schemas.microsoft.com/office/drawing/2014/main" id="{6D6E58EF-0138-4F7D-86BC-1FEF7B96D2BC}"/>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06" name="Text Box 1">
          <a:extLst>
            <a:ext uri="{FF2B5EF4-FFF2-40B4-BE49-F238E27FC236}">
              <a16:creationId xmlns:a16="http://schemas.microsoft.com/office/drawing/2014/main" id="{D1FFC787-258F-4D59-9D9C-81C1054DB2A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07" name="Text Box 2">
          <a:extLst>
            <a:ext uri="{FF2B5EF4-FFF2-40B4-BE49-F238E27FC236}">
              <a16:creationId xmlns:a16="http://schemas.microsoft.com/office/drawing/2014/main" id="{0A24EE11-8F47-4746-98B5-9AF973EB854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08" name="Text Box 1">
          <a:extLst>
            <a:ext uri="{FF2B5EF4-FFF2-40B4-BE49-F238E27FC236}">
              <a16:creationId xmlns:a16="http://schemas.microsoft.com/office/drawing/2014/main" id="{3B81525F-7591-4113-BDB1-9DE5A9CA218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09" name="Text Box 2">
          <a:extLst>
            <a:ext uri="{FF2B5EF4-FFF2-40B4-BE49-F238E27FC236}">
              <a16:creationId xmlns:a16="http://schemas.microsoft.com/office/drawing/2014/main" id="{4739043C-0B9A-4DBE-9ACB-21FAE15074F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10" name="Text Box 1">
          <a:extLst>
            <a:ext uri="{FF2B5EF4-FFF2-40B4-BE49-F238E27FC236}">
              <a16:creationId xmlns:a16="http://schemas.microsoft.com/office/drawing/2014/main" id="{18A06CEE-B771-4125-AD15-B233BC7B525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11" name="Text Box 2">
          <a:extLst>
            <a:ext uri="{FF2B5EF4-FFF2-40B4-BE49-F238E27FC236}">
              <a16:creationId xmlns:a16="http://schemas.microsoft.com/office/drawing/2014/main" id="{2E14BE59-0E37-4360-96B9-9F70DFCBCBA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12" name="Text Box 1">
          <a:extLst>
            <a:ext uri="{FF2B5EF4-FFF2-40B4-BE49-F238E27FC236}">
              <a16:creationId xmlns:a16="http://schemas.microsoft.com/office/drawing/2014/main" id="{3AC1EDED-76C3-45BF-8E12-9AA39A9DCCE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13" name="Text Box 2">
          <a:extLst>
            <a:ext uri="{FF2B5EF4-FFF2-40B4-BE49-F238E27FC236}">
              <a16:creationId xmlns:a16="http://schemas.microsoft.com/office/drawing/2014/main" id="{880F0636-FA6D-4ED7-B658-AA40605630D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14" name="Text Box 1">
          <a:extLst>
            <a:ext uri="{FF2B5EF4-FFF2-40B4-BE49-F238E27FC236}">
              <a16:creationId xmlns:a16="http://schemas.microsoft.com/office/drawing/2014/main" id="{389E1161-F2A8-43D7-899F-48C9EE8FABC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15" name="Text Box 2">
          <a:extLst>
            <a:ext uri="{FF2B5EF4-FFF2-40B4-BE49-F238E27FC236}">
              <a16:creationId xmlns:a16="http://schemas.microsoft.com/office/drawing/2014/main" id="{C4174DC9-C429-45DC-B846-44DA75C572F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16" name="Text Box 1">
          <a:extLst>
            <a:ext uri="{FF2B5EF4-FFF2-40B4-BE49-F238E27FC236}">
              <a16:creationId xmlns:a16="http://schemas.microsoft.com/office/drawing/2014/main" id="{79DC6A09-E9E9-4DD4-AEB7-025237B3154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17" name="Text Box 2">
          <a:extLst>
            <a:ext uri="{FF2B5EF4-FFF2-40B4-BE49-F238E27FC236}">
              <a16:creationId xmlns:a16="http://schemas.microsoft.com/office/drawing/2014/main" id="{A04AABA6-A061-4DC4-BCD3-42175914C711}"/>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18" name="Text Box 1">
          <a:extLst>
            <a:ext uri="{FF2B5EF4-FFF2-40B4-BE49-F238E27FC236}">
              <a16:creationId xmlns:a16="http://schemas.microsoft.com/office/drawing/2014/main" id="{C0B1DA56-2D27-4369-AAC5-553BC229316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19" name="Text Box 2">
          <a:extLst>
            <a:ext uri="{FF2B5EF4-FFF2-40B4-BE49-F238E27FC236}">
              <a16:creationId xmlns:a16="http://schemas.microsoft.com/office/drawing/2014/main" id="{1E10CFC8-4BBB-4BC2-87B7-6DADF0B83FF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20" name="Text Box 1">
          <a:extLst>
            <a:ext uri="{FF2B5EF4-FFF2-40B4-BE49-F238E27FC236}">
              <a16:creationId xmlns:a16="http://schemas.microsoft.com/office/drawing/2014/main" id="{58F9748B-0D1A-4743-929F-B633207C2BD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21" name="Text Box 2">
          <a:extLst>
            <a:ext uri="{FF2B5EF4-FFF2-40B4-BE49-F238E27FC236}">
              <a16:creationId xmlns:a16="http://schemas.microsoft.com/office/drawing/2014/main" id="{3EB51D23-D763-4663-8E23-3E4897C5D08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22" name="Text Box 1">
          <a:extLst>
            <a:ext uri="{FF2B5EF4-FFF2-40B4-BE49-F238E27FC236}">
              <a16:creationId xmlns:a16="http://schemas.microsoft.com/office/drawing/2014/main" id="{36FE3117-ED67-40D0-8F25-979F7E810A1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23" name="Text Box 2">
          <a:extLst>
            <a:ext uri="{FF2B5EF4-FFF2-40B4-BE49-F238E27FC236}">
              <a16:creationId xmlns:a16="http://schemas.microsoft.com/office/drawing/2014/main" id="{52256A7B-2C12-4000-93B9-E7E89C09274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24" name="Text Box 1">
          <a:extLst>
            <a:ext uri="{FF2B5EF4-FFF2-40B4-BE49-F238E27FC236}">
              <a16:creationId xmlns:a16="http://schemas.microsoft.com/office/drawing/2014/main" id="{D06C784A-EA30-4C57-8B0D-29485502FB1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25" name="Text Box 2">
          <a:extLst>
            <a:ext uri="{FF2B5EF4-FFF2-40B4-BE49-F238E27FC236}">
              <a16:creationId xmlns:a16="http://schemas.microsoft.com/office/drawing/2014/main" id="{9CAE3996-A2BD-49A2-A82A-0B01CDF823F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26" name="Text Box 2">
          <a:extLst>
            <a:ext uri="{FF2B5EF4-FFF2-40B4-BE49-F238E27FC236}">
              <a16:creationId xmlns:a16="http://schemas.microsoft.com/office/drawing/2014/main" id="{15D09F71-42EE-4ACB-A2AE-8C7D4C1391D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27" name="Text Box 1">
          <a:extLst>
            <a:ext uri="{FF2B5EF4-FFF2-40B4-BE49-F238E27FC236}">
              <a16:creationId xmlns:a16="http://schemas.microsoft.com/office/drawing/2014/main" id="{946C9E40-93AD-4959-933C-17EE220B8B4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28" name="Text Box 2">
          <a:extLst>
            <a:ext uri="{FF2B5EF4-FFF2-40B4-BE49-F238E27FC236}">
              <a16:creationId xmlns:a16="http://schemas.microsoft.com/office/drawing/2014/main" id="{8274E2FE-BE32-4111-B958-9A9C0835119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29" name="Text Box 1">
          <a:extLst>
            <a:ext uri="{FF2B5EF4-FFF2-40B4-BE49-F238E27FC236}">
              <a16:creationId xmlns:a16="http://schemas.microsoft.com/office/drawing/2014/main" id="{560E5625-6186-42D8-A376-0443C82C628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30" name="Text Box 2">
          <a:extLst>
            <a:ext uri="{FF2B5EF4-FFF2-40B4-BE49-F238E27FC236}">
              <a16:creationId xmlns:a16="http://schemas.microsoft.com/office/drawing/2014/main" id="{59451752-1DAE-4ABA-9A68-80800B05973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31" name="Text Box 1">
          <a:extLst>
            <a:ext uri="{FF2B5EF4-FFF2-40B4-BE49-F238E27FC236}">
              <a16:creationId xmlns:a16="http://schemas.microsoft.com/office/drawing/2014/main" id="{B57895EC-C679-45D9-9C02-036FA8D3055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32" name="Text Box 2">
          <a:extLst>
            <a:ext uri="{FF2B5EF4-FFF2-40B4-BE49-F238E27FC236}">
              <a16:creationId xmlns:a16="http://schemas.microsoft.com/office/drawing/2014/main" id="{86148AAD-8643-49B9-BAC1-EA34E50D62D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33" name="Text Box 1">
          <a:extLst>
            <a:ext uri="{FF2B5EF4-FFF2-40B4-BE49-F238E27FC236}">
              <a16:creationId xmlns:a16="http://schemas.microsoft.com/office/drawing/2014/main" id="{3301D766-E58F-4DAA-A011-9A13310AA9B8}"/>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34" name="Text Box 2">
          <a:extLst>
            <a:ext uri="{FF2B5EF4-FFF2-40B4-BE49-F238E27FC236}">
              <a16:creationId xmlns:a16="http://schemas.microsoft.com/office/drawing/2014/main" id="{7893BCAF-48B6-4434-B7AA-52A5B011D28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35" name="Text Box 1">
          <a:extLst>
            <a:ext uri="{FF2B5EF4-FFF2-40B4-BE49-F238E27FC236}">
              <a16:creationId xmlns:a16="http://schemas.microsoft.com/office/drawing/2014/main" id="{9A5D04A1-A64C-468B-BA93-EFD90CC0263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36" name="Text Box 2">
          <a:extLst>
            <a:ext uri="{FF2B5EF4-FFF2-40B4-BE49-F238E27FC236}">
              <a16:creationId xmlns:a16="http://schemas.microsoft.com/office/drawing/2014/main" id="{D68F1202-0E92-49B7-A5F6-E578BAD2A03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37" name="Text Box 1">
          <a:extLst>
            <a:ext uri="{FF2B5EF4-FFF2-40B4-BE49-F238E27FC236}">
              <a16:creationId xmlns:a16="http://schemas.microsoft.com/office/drawing/2014/main" id="{B1A5A2E4-92D8-4F82-8109-54D694B9CE6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38" name="Text Box 2">
          <a:extLst>
            <a:ext uri="{FF2B5EF4-FFF2-40B4-BE49-F238E27FC236}">
              <a16:creationId xmlns:a16="http://schemas.microsoft.com/office/drawing/2014/main" id="{B43F5533-03D9-4391-9376-E08B17432C7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39" name="Text Box 1">
          <a:extLst>
            <a:ext uri="{FF2B5EF4-FFF2-40B4-BE49-F238E27FC236}">
              <a16:creationId xmlns:a16="http://schemas.microsoft.com/office/drawing/2014/main" id="{2D69F3B2-12A3-424B-A928-E28654136D9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40" name="Text Box 2">
          <a:extLst>
            <a:ext uri="{FF2B5EF4-FFF2-40B4-BE49-F238E27FC236}">
              <a16:creationId xmlns:a16="http://schemas.microsoft.com/office/drawing/2014/main" id="{B9881E1B-CF04-4B56-B018-BC71968B1CE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41" name="Text Box 1">
          <a:extLst>
            <a:ext uri="{FF2B5EF4-FFF2-40B4-BE49-F238E27FC236}">
              <a16:creationId xmlns:a16="http://schemas.microsoft.com/office/drawing/2014/main" id="{4ADF9A07-9801-42A7-B0FD-09B68F82E2A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42" name="Text Box 2">
          <a:extLst>
            <a:ext uri="{FF2B5EF4-FFF2-40B4-BE49-F238E27FC236}">
              <a16:creationId xmlns:a16="http://schemas.microsoft.com/office/drawing/2014/main" id="{832C93B8-1086-45CE-B176-9AFE94CD1C4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43" name="Text Box 1">
          <a:extLst>
            <a:ext uri="{FF2B5EF4-FFF2-40B4-BE49-F238E27FC236}">
              <a16:creationId xmlns:a16="http://schemas.microsoft.com/office/drawing/2014/main" id="{FBAFB4B7-9917-4B7E-9761-547BCD7928E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44" name="Text Box 2">
          <a:extLst>
            <a:ext uri="{FF2B5EF4-FFF2-40B4-BE49-F238E27FC236}">
              <a16:creationId xmlns:a16="http://schemas.microsoft.com/office/drawing/2014/main" id="{A9D84832-3F52-4411-BA7A-67DB9A64F56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45" name="Text Box 1">
          <a:extLst>
            <a:ext uri="{FF2B5EF4-FFF2-40B4-BE49-F238E27FC236}">
              <a16:creationId xmlns:a16="http://schemas.microsoft.com/office/drawing/2014/main" id="{8C1FC64B-AC3E-4F26-A1A9-E871A29FDE5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46" name="Text Box 2">
          <a:extLst>
            <a:ext uri="{FF2B5EF4-FFF2-40B4-BE49-F238E27FC236}">
              <a16:creationId xmlns:a16="http://schemas.microsoft.com/office/drawing/2014/main" id="{69A2D1FB-6DFA-4C88-A49E-57AA651A283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47" name="Text Box 1">
          <a:extLst>
            <a:ext uri="{FF2B5EF4-FFF2-40B4-BE49-F238E27FC236}">
              <a16:creationId xmlns:a16="http://schemas.microsoft.com/office/drawing/2014/main" id="{525D40B8-0A6E-4C1D-8F42-CC138AE934C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48" name="Text Box 2">
          <a:extLst>
            <a:ext uri="{FF2B5EF4-FFF2-40B4-BE49-F238E27FC236}">
              <a16:creationId xmlns:a16="http://schemas.microsoft.com/office/drawing/2014/main" id="{29CCDA56-E62F-46CD-ADC3-9A92F68B6CC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449" name="Text Box 2">
          <a:extLst>
            <a:ext uri="{FF2B5EF4-FFF2-40B4-BE49-F238E27FC236}">
              <a16:creationId xmlns:a16="http://schemas.microsoft.com/office/drawing/2014/main" id="{FF35AA2D-151A-4C7D-801C-4E8A468EB70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50" name="Text Box 1">
          <a:extLst>
            <a:ext uri="{FF2B5EF4-FFF2-40B4-BE49-F238E27FC236}">
              <a16:creationId xmlns:a16="http://schemas.microsoft.com/office/drawing/2014/main" id="{87647769-C34A-4A2A-98A2-5DED943729B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51" name="Text Box 2">
          <a:extLst>
            <a:ext uri="{FF2B5EF4-FFF2-40B4-BE49-F238E27FC236}">
              <a16:creationId xmlns:a16="http://schemas.microsoft.com/office/drawing/2014/main" id="{AD549929-DE01-4AAD-BA95-9F500E247D1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52" name="Text Box 1">
          <a:extLst>
            <a:ext uri="{FF2B5EF4-FFF2-40B4-BE49-F238E27FC236}">
              <a16:creationId xmlns:a16="http://schemas.microsoft.com/office/drawing/2014/main" id="{34B53474-7E8E-4F94-876D-1DDE3674EA4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53" name="Text Box 2">
          <a:extLst>
            <a:ext uri="{FF2B5EF4-FFF2-40B4-BE49-F238E27FC236}">
              <a16:creationId xmlns:a16="http://schemas.microsoft.com/office/drawing/2014/main" id="{E0553DA3-0BC8-4B7A-8BD0-648A10EF6BC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54" name="Text Box 1">
          <a:extLst>
            <a:ext uri="{FF2B5EF4-FFF2-40B4-BE49-F238E27FC236}">
              <a16:creationId xmlns:a16="http://schemas.microsoft.com/office/drawing/2014/main" id="{279A4E0B-2648-4715-BC61-92EF5528F14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55" name="Text Box 2">
          <a:extLst>
            <a:ext uri="{FF2B5EF4-FFF2-40B4-BE49-F238E27FC236}">
              <a16:creationId xmlns:a16="http://schemas.microsoft.com/office/drawing/2014/main" id="{B9F3A826-04D0-4741-9F71-1506819FBCB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56" name="Text Box 1">
          <a:extLst>
            <a:ext uri="{FF2B5EF4-FFF2-40B4-BE49-F238E27FC236}">
              <a16:creationId xmlns:a16="http://schemas.microsoft.com/office/drawing/2014/main" id="{158FADE0-0CC3-45DD-A747-5D28D2BCEB2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57" name="Text Box 2">
          <a:extLst>
            <a:ext uri="{FF2B5EF4-FFF2-40B4-BE49-F238E27FC236}">
              <a16:creationId xmlns:a16="http://schemas.microsoft.com/office/drawing/2014/main" id="{645E9E83-82D5-4EEB-9577-31D9AB77346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458" name="Text Box 2">
          <a:extLst>
            <a:ext uri="{FF2B5EF4-FFF2-40B4-BE49-F238E27FC236}">
              <a16:creationId xmlns:a16="http://schemas.microsoft.com/office/drawing/2014/main" id="{AA62D3D2-75CC-451C-8CAF-35ABEF98569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59" name="Text Box 1">
          <a:extLst>
            <a:ext uri="{FF2B5EF4-FFF2-40B4-BE49-F238E27FC236}">
              <a16:creationId xmlns:a16="http://schemas.microsoft.com/office/drawing/2014/main" id="{BFA1DFEB-7FBB-4853-BF04-AFA072FD28B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60" name="Text Box 2">
          <a:extLst>
            <a:ext uri="{FF2B5EF4-FFF2-40B4-BE49-F238E27FC236}">
              <a16:creationId xmlns:a16="http://schemas.microsoft.com/office/drawing/2014/main" id="{F0AFBF22-FDD4-424D-B3F4-DD8FB7F9FBA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461" name="Text Box 2">
          <a:extLst>
            <a:ext uri="{FF2B5EF4-FFF2-40B4-BE49-F238E27FC236}">
              <a16:creationId xmlns:a16="http://schemas.microsoft.com/office/drawing/2014/main" id="{5DB3B990-07D9-42A2-8958-2A98A6A9B154}"/>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62" name="Text Box 1">
          <a:extLst>
            <a:ext uri="{FF2B5EF4-FFF2-40B4-BE49-F238E27FC236}">
              <a16:creationId xmlns:a16="http://schemas.microsoft.com/office/drawing/2014/main" id="{6836ABA2-E339-46ED-860D-34679AAC36C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63" name="Text Box 2">
          <a:extLst>
            <a:ext uri="{FF2B5EF4-FFF2-40B4-BE49-F238E27FC236}">
              <a16:creationId xmlns:a16="http://schemas.microsoft.com/office/drawing/2014/main" id="{EBBFE25D-3434-487E-A665-A9EEE29184C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464" name="Text Box 2">
          <a:extLst>
            <a:ext uri="{FF2B5EF4-FFF2-40B4-BE49-F238E27FC236}">
              <a16:creationId xmlns:a16="http://schemas.microsoft.com/office/drawing/2014/main" id="{4842047B-13D4-4C62-BAD1-0D1E434783BC}"/>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65" name="Text Box 1">
          <a:extLst>
            <a:ext uri="{FF2B5EF4-FFF2-40B4-BE49-F238E27FC236}">
              <a16:creationId xmlns:a16="http://schemas.microsoft.com/office/drawing/2014/main" id="{35D9D5AE-D030-4C86-B8BC-0F50B577569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66" name="Text Box 2">
          <a:extLst>
            <a:ext uri="{FF2B5EF4-FFF2-40B4-BE49-F238E27FC236}">
              <a16:creationId xmlns:a16="http://schemas.microsoft.com/office/drawing/2014/main" id="{BDC9921A-997C-4B8C-9C36-10365CE2B72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467" name="Text Box 2">
          <a:extLst>
            <a:ext uri="{FF2B5EF4-FFF2-40B4-BE49-F238E27FC236}">
              <a16:creationId xmlns:a16="http://schemas.microsoft.com/office/drawing/2014/main" id="{C846D8B8-D5FE-4F64-B70B-4D1632B64171}"/>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68" name="Text Box 1">
          <a:extLst>
            <a:ext uri="{FF2B5EF4-FFF2-40B4-BE49-F238E27FC236}">
              <a16:creationId xmlns:a16="http://schemas.microsoft.com/office/drawing/2014/main" id="{F793A51F-5DB2-4BF5-B725-DCBEB311A21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69" name="Text Box 2">
          <a:extLst>
            <a:ext uri="{FF2B5EF4-FFF2-40B4-BE49-F238E27FC236}">
              <a16:creationId xmlns:a16="http://schemas.microsoft.com/office/drawing/2014/main" id="{C1A4E847-D10D-4CCA-83CA-FC3751B6D17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470" name="Text Box 2">
          <a:extLst>
            <a:ext uri="{FF2B5EF4-FFF2-40B4-BE49-F238E27FC236}">
              <a16:creationId xmlns:a16="http://schemas.microsoft.com/office/drawing/2014/main" id="{72D4446C-9068-496C-BD82-E628B8B99EE0}"/>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71" name="Text Box 1">
          <a:extLst>
            <a:ext uri="{FF2B5EF4-FFF2-40B4-BE49-F238E27FC236}">
              <a16:creationId xmlns:a16="http://schemas.microsoft.com/office/drawing/2014/main" id="{0EE3B4C1-D374-45CF-995D-194549D680E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72" name="Text Box 2">
          <a:extLst>
            <a:ext uri="{FF2B5EF4-FFF2-40B4-BE49-F238E27FC236}">
              <a16:creationId xmlns:a16="http://schemas.microsoft.com/office/drawing/2014/main" id="{AE188296-AF84-4156-A7FA-009E80A7C8A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473" name="Text Box 2">
          <a:extLst>
            <a:ext uri="{FF2B5EF4-FFF2-40B4-BE49-F238E27FC236}">
              <a16:creationId xmlns:a16="http://schemas.microsoft.com/office/drawing/2014/main" id="{59234746-1C9F-4740-85B4-59A2070DB74D}"/>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74" name="Text Box 1">
          <a:extLst>
            <a:ext uri="{FF2B5EF4-FFF2-40B4-BE49-F238E27FC236}">
              <a16:creationId xmlns:a16="http://schemas.microsoft.com/office/drawing/2014/main" id="{19285749-C109-43FC-8E5F-645281ADBEF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75" name="Text Box 2">
          <a:extLst>
            <a:ext uri="{FF2B5EF4-FFF2-40B4-BE49-F238E27FC236}">
              <a16:creationId xmlns:a16="http://schemas.microsoft.com/office/drawing/2014/main" id="{B3314938-5D7E-467F-BE04-D8B06ECA919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76" name="Text Box 1">
          <a:extLst>
            <a:ext uri="{FF2B5EF4-FFF2-40B4-BE49-F238E27FC236}">
              <a16:creationId xmlns:a16="http://schemas.microsoft.com/office/drawing/2014/main" id="{D371C007-78B7-4B28-B980-DF9C7FE74C7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77" name="Text Box 2">
          <a:extLst>
            <a:ext uri="{FF2B5EF4-FFF2-40B4-BE49-F238E27FC236}">
              <a16:creationId xmlns:a16="http://schemas.microsoft.com/office/drawing/2014/main" id="{B9E2303B-FDD1-435C-89F7-52CBC8B6591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78" name="Text Box 1">
          <a:extLst>
            <a:ext uri="{FF2B5EF4-FFF2-40B4-BE49-F238E27FC236}">
              <a16:creationId xmlns:a16="http://schemas.microsoft.com/office/drawing/2014/main" id="{74BFDF92-04A2-42E6-85A9-B46FDB724DE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79" name="Text Box 2">
          <a:extLst>
            <a:ext uri="{FF2B5EF4-FFF2-40B4-BE49-F238E27FC236}">
              <a16:creationId xmlns:a16="http://schemas.microsoft.com/office/drawing/2014/main" id="{2B9F42AB-7934-4C8D-BF31-6D759509844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80" name="Text Box 1">
          <a:extLst>
            <a:ext uri="{FF2B5EF4-FFF2-40B4-BE49-F238E27FC236}">
              <a16:creationId xmlns:a16="http://schemas.microsoft.com/office/drawing/2014/main" id="{47BF5BE8-CDDB-48CF-A3C4-45DCC2FF5AF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81" name="Text Box 2">
          <a:extLst>
            <a:ext uri="{FF2B5EF4-FFF2-40B4-BE49-F238E27FC236}">
              <a16:creationId xmlns:a16="http://schemas.microsoft.com/office/drawing/2014/main" id="{64FA4570-539E-4450-9E88-16B10A88C15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82" name="Text Box 1">
          <a:extLst>
            <a:ext uri="{FF2B5EF4-FFF2-40B4-BE49-F238E27FC236}">
              <a16:creationId xmlns:a16="http://schemas.microsoft.com/office/drawing/2014/main" id="{982144B3-BF64-464C-9378-FC1D54DA044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83" name="Text Box 2">
          <a:extLst>
            <a:ext uri="{FF2B5EF4-FFF2-40B4-BE49-F238E27FC236}">
              <a16:creationId xmlns:a16="http://schemas.microsoft.com/office/drawing/2014/main" id="{964C8CE7-031C-4D35-A3DC-32CE693B6BD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84" name="Text Box 1">
          <a:extLst>
            <a:ext uri="{FF2B5EF4-FFF2-40B4-BE49-F238E27FC236}">
              <a16:creationId xmlns:a16="http://schemas.microsoft.com/office/drawing/2014/main" id="{9C66FAE0-DC30-4E48-925D-DB4F5E54F672}"/>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85" name="Text Box 2">
          <a:extLst>
            <a:ext uri="{FF2B5EF4-FFF2-40B4-BE49-F238E27FC236}">
              <a16:creationId xmlns:a16="http://schemas.microsoft.com/office/drawing/2014/main" id="{EC8580A6-A2AE-4818-B34D-A8D6784C984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86" name="Text Box 2">
          <a:extLst>
            <a:ext uri="{FF2B5EF4-FFF2-40B4-BE49-F238E27FC236}">
              <a16:creationId xmlns:a16="http://schemas.microsoft.com/office/drawing/2014/main" id="{568BA3BA-9612-46BB-9E3B-1EE2B345A59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87" name="Text Box 1">
          <a:extLst>
            <a:ext uri="{FF2B5EF4-FFF2-40B4-BE49-F238E27FC236}">
              <a16:creationId xmlns:a16="http://schemas.microsoft.com/office/drawing/2014/main" id="{380B16BE-7B3F-4F3B-BEF4-887C87385D2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88" name="Text Box 2">
          <a:extLst>
            <a:ext uri="{FF2B5EF4-FFF2-40B4-BE49-F238E27FC236}">
              <a16:creationId xmlns:a16="http://schemas.microsoft.com/office/drawing/2014/main" id="{772C274A-5B84-4F24-8458-0B76E722B66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89" name="Text Box 1">
          <a:extLst>
            <a:ext uri="{FF2B5EF4-FFF2-40B4-BE49-F238E27FC236}">
              <a16:creationId xmlns:a16="http://schemas.microsoft.com/office/drawing/2014/main" id="{40244142-8EBC-483C-BE3D-230F55C0216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90" name="Text Box 2">
          <a:extLst>
            <a:ext uri="{FF2B5EF4-FFF2-40B4-BE49-F238E27FC236}">
              <a16:creationId xmlns:a16="http://schemas.microsoft.com/office/drawing/2014/main" id="{EB51256B-5063-4156-BA17-E4D54DC33A6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91" name="Text Box 1">
          <a:extLst>
            <a:ext uri="{FF2B5EF4-FFF2-40B4-BE49-F238E27FC236}">
              <a16:creationId xmlns:a16="http://schemas.microsoft.com/office/drawing/2014/main" id="{87B6A339-3B54-421C-9FC5-445DAC41BF3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92" name="Text Box 2">
          <a:extLst>
            <a:ext uri="{FF2B5EF4-FFF2-40B4-BE49-F238E27FC236}">
              <a16:creationId xmlns:a16="http://schemas.microsoft.com/office/drawing/2014/main" id="{8A9BD615-6108-4870-A954-1DA94A6C4C3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93" name="Text Box 2">
          <a:extLst>
            <a:ext uri="{FF2B5EF4-FFF2-40B4-BE49-F238E27FC236}">
              <a16:creationId xmlns:a16="http://schemas.microsoft.com/office/drawing/2014/main" id="{D4D3F627-ADF1-4988-9885-26C68EAB138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94" name="Text Box 1">
          <a:extLst>
            <a:ext uri="{FF2B5EF4-FFF2-40B4-BE49-F238E27FC236}">
              <a16:creationId xmlns:a16="http://schemas.microsoft.com/office/drawing/2014/main" id="{7E658585-347A-4C96-9A05-5C4419C0F0F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95" name="Text Box 2">
          <a:extLst>
            <a:ext uri="{FF2B5EF4-FFF2-40B4-BE49-F238E27FC236}">
              <a16:creationId xmlns:a16="http://schemas.microsoft.com/office/drawing/2014/main" id="{761CC034-F2A9-4B05-8E22-3CD0B2B4F46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96" name="Text Box 1">
          <a:extLst>
            <a:ext uri="{FF2B5EF4-FFF2-40B4-BE49-F238E27FC236}">
              <a16:creationId xmlns:a16="http://schemas.microsoft.com/office/drawing/2014/main" id="{7E5F478E-8D77-4B7E-B669-00609B1002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97" name="Text Box 2">
          <a:extLst>
            <a:ext uri="{FF2B5EF4-FFF2-40B4-BE49-F238E27FC236}">
              <a16:creationId xmlns:a16="http://schemas.microsoft.com/office/drawing/2014/main" id="{72B7EEAC-E559-4CD5-BDC7-6E6A7BB41F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98" name="Text Box 1">
          <a:extLst>
            <a:ext uri="{FF2B5EF4-FFF2-40B4-BE49-F238E27FC236}">
              <a16:creationId xmlns:a16="http://schemas.microsoft.com/office/drawing/2014/main" id="{D75FAAB6-C5B0-4021-A4D3-C9B21EFF796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99" name="Text Box 2">
          <a:extLst>
            <a:ext uri="{FF2B5EF4-FFF2-40B4-BE49-F238E27FC236}">
              <a16:creationId xmlns:a16="http://schemas.microsoft.com/office/drawing/2014/main" id="{9CFA8DD9-9892-461C-94BE-A0B8A8233F51}"/>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500" name="Text Box 1">
          <a:extLst>
            <a:ext uri="{FF2B5EF4-FFF2-40B4-BE49-F238E27FC236}">
              <a16:creationId xmlns:a16="http://schemas.microsoft.com/office/drawing/2014/main" id="{9FE28B3A-5750-41F3-95E3-EDCD35F369A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501" name="Text Box 2">
          <a:extLst>
            <a:ext uri="{FF2B5EF4-FFF2-40B4-BE49-F238E27FC236}">
              <a16:creationId xmlns:a16="http://schemas.microsoft.com/office/drawing/2014/main" id="{8CB1592B-7BEB-4096-8193-1FAEAB4B932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02" name="Text Box 1">
          <a:extLst>
            <a:ext uri="{FF2B5EF4-FFF2-40B4-BE49-F238E27FC236}">
              <a16:creationId xmlns:a16="http://schemas.microsoft.com/office/drawing/2014/main" id="{D607F866-BFF7-427E-B38E-4151DDBB8CD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03" name="Text Box 2">
          <a:extLst>
            <a:ext uri="{FF2B5EF4-FFF2-40B4-BE49-F238E27FC236}">
              <a16:creationId xmlns:a16="http://schemas.microsoft.com/office/drawing/2014/main" id="{60E347D8-845B-49B5-9680-2FA6C2772A7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504" name="Text Box 1">
          <a:extLst>
            <a:ext uri="{FF2B5EF4-FFF2-40B4-BE49-F238E27FC236}">
              <a16:creationId xmlns:a16="http://schemas.microsoft.com/office/drawing/2014/main" id="{341975DB-A4F4-469E-A575-F5432F6F924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505" name="Text Box 2">
          <a:extLst>
            <a:ext uri="{FF2B5EF4-FFF2-40B4-BE49-F238E27FC236}">
              <a16:creationId xmlns:a16="http://schemas.microsoft.com/office/drawing/2014/main" id="{304CDFC3-B1B3-46B2-955B-3A0EC1E1279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506" name="Text Box 1">
          <a:extLst>
            <a:ext uri="{FF2B5EF4-FFF2-40B4-BE49-F238E27FC236}">
              <a16:creationId xmlns:a16="http://schemas.microsoft.com/office/drawing/2014/main" id="{E018C298-E44A-4EED-A910-FF8773837DC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507" name="Text Box 2">
          <a:extLst>
            <a:ext uri="{FF2B5EF4-FFF2-40B4-BE49-F238E27FC236}">
              <a16:creationId xmlns:a16="http://schemas.microsoft.com/office/drawing/2014/main" id="{7A824CC8-4B10-441A-A530-55DD2B7180E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08" name="Text Box 1">
          <a:extLst>
            <a:ext uri="{FF2B5EF4-FFF2-40B4-BE49-F238E27FC236}">
              <a16:creationId xmlns:a16="http://schemas.microsoft.com/office/drawing/2014/main" id="{067177A2-4723-4F89-BE33-15CB9BD9ACA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09" name="Text Box 2">
          <a:extLst>
            <a:ext uri="{FF2B5EF4-FFF2-40B4-BE49-F238E27FC236}">
              <a16:creationId xmlns:a16="http://schemas.microsoft.com/office/drawing/2014/main" id="{0064BC63-7B9E-4010-AA27-1C4D5692495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510" name="Text Box 1">
          <a:extLst>
            <a:ext uri="{FF2B5EF4-FFF2-40B4-BE49-F238E27FC236}">
              <a16:creationId xmlns:a16="http://schemas.microsoft.com/office/drawing/2014/main" id="{F6A898F9-1970-47CB-8BE2-2805F762A4B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511" name="Text Box 2">
          <a:extLst>
            <a:ext uri="{FF2B5EF4-FFF2-40B4-BE49-F238E27FC236}">
              <a16:creationId xmlns:a16="http://schemas.microsoft.com/office/drawing/2014/main" id="{FE5FF3E3-BAD7-4F87-BC4D-7A5403DD658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512" name="Text Box 1">
          <a:extLst>
            <a:ext uri="{FF2B5EF4-FFF2-40B4-BE49-F238E27FC236}">
              <a16:creationId xmlns:a16="http://schemas.microsoft.com/office/drawing/2014/main" id="{6B413CB0-D6F8-409D-9561-DB8067E9A2E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513" name="Text Box 2">
          <a:extLst>
            <a:ext uri="{FF2B5EF4-FFF2-40B4-BE49-F238E27FC236}">
              <a16:creationId xmlns:a16="http://schemas.microsoft.com/office/drawing/2014/main" id="{8B6C7569-573C-43F7-B2DC-98A43F639F8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14" name="Text Box 1">
          <a:extLst>
            <a:ext uri="{FF2B5EF4-FFF2-40B4-BE49-F238E27FC236}">
              <a16:creationId xmlns:a16="http://schemas.microsoft.com/office/drawing/2014/main" id="{D92981EF-9DE1-4188-97DB-9D80D491FD0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15" name="Text Box 2">
          <a:extLst>
            <a:ext uri="{FF2B5EF4-FFF2-40B4-BE49-F238E27FC236}">
              <a16:creationId xmlns:a16="http://schemas.microsoft.com/office/drawing/2014/main" id="{2EFBA45A-96AC-4CC4-8DB6-5B8807F0376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16" name="Text Box 1">
          <a:extLst>
            <a:ext uri="{FF2B5EF4-FFF2-40B4-BE49-F238E27FC236}">
              <a16:creationId xmlns:a16="http://schemas.microsoft.com/office/drawing/2014/main" id="{0262196A-A286-487E-9F48-5885748E3EB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17" name="Text Box 2">
          <a:extLst>
            <a:ext uri="{FF2B5EF4-FFF2-40B4-BE49-F238E27FC236}">
              <a16:creationId xmlns:a16="http://schemas.microsoft.com/office/drawing/2014/main" id="{90BB2FB4-AB0A-4D4B-80F1-781BA8A1F0C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18" name="Text Box 1">
          <a:extLst>
            <a:ext uri="{FF2B5EF4-FFF2-40B4-BE49-F238E27FC236}">
              <a16:creationId xmlns:a16="http://schemas.microsoft.com/office/drawing/2014/main" id="{8E5CF13B-9A93-47D1-A42E-1BE7114A1E5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19" name="Text Box 2">
          <a:extLst>
            <a:ext uri="{FF2B5EF4-FFF2-40B4-BE49-F238E27FC236}">
              <a16:creationId xmlns:a16="http://schemas.microsoft.com/office/drawing/2014/main" id="{A4450442-E6B1-4985-9590-7DE9E0B4C10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20" name="Text Box 1">
          <a:extLst>
            <a:ext uri="{FF2B5EF4-FFF2-40B4-BE49-F238E27FC236}">
              <a16:creationId xmlns:a16="http://schemas.microsoft.com/office/drawing/2014/main" id="{9261CE95-28EC-4F69-8675-DEEED65D906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21" name="Text Box 2">
          <a:extLst>
            <a:ext uri="{FF2B5EF4-FFF2-40B4-BE49-F238E27FC236}">
              <a16:creationId xmlns:a16="http://schemas.microsoft.com/office/drawing/2014/main" id="{4291EDCF-5E98-46BE-B7CB-299913AB614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22" name="Text Box 1">
          <a:extLst>
            <a:ext uri="{FF2B5EF4-FFF2-40B4-BE49-F238E27FC236}">
              <a16:creationId xmlns:a16="http://schemas.microsoft.com/office/drawing/2014/main" id="{963E32B8-A678-44F4-8AFB-66D2EC027D4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23" name="Text Box 2">
          <a:extLst>
            <a:ext uri="{FF2B5EF4-FFF2-40B4-BE49-F238E27FC236}">
              <a16:creationId xmlns:a16="http://schemas.microsoft.com/office/drawing/2014/main" id="{87A8EA84-68A9-41E6-A1E3-780C62BACC1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24" name="Text Box 1">
          <a:extLst>
            <a:ext uri="{FF2B5EF4-FFF2-40B4-BE49-F238E27FC236}">
              <a16:creationId xmlns:a16="http://schemas.microsoft.com/office/drawing/2014/main" id="{FCE9012F-D0E8-4824-94F9-E67889C6FE2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25" name="Text Box 2">
          <a:extLst>
            <a:ext uri="{FF2B5EF4-FFF2-40B4-BE49-F238E27FC236}">
              <a16:creationId xmlns:a16="http://schemas.microsoft.com/office/drawing/2014/main" id="{1D503A33-9749-489B-89E0-DC57265E4E9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526" name="Text Box 1">
          <a:extLst>
            <a:ext uri="{FF2B5EF4-FFF2-40B4-BE49-F238E27FC236}">
              <a16:creationId xmlns:a16="http://schemas.microsoft.com/office/drawing/2014/main" id="{E662C6EA-CC57-4DA6-8ABC-DA4A6038F28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527" name="Text Box 2">
          <a:extLst>
            <a:ext uri="{FF2B5EF4-FFF2-40B4-BE49-F238E27FC236}">
              <a16:creationId xmlns:a16="http://schemas.microsoft.com/office/drawing/2014/main" id="{4425E821-C268-42BC-9253-1338BF19081D}"/>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28" name="Text Box 1">
          <a:extLst>
            <a:ext uri="{FF2B5EF4-FFF2-40B4-BE49-F238E27FC236}">
              <a16:creationId xmlns:a16="http://schemas.microsoft.com/office/drawing/2014/main" id="{193966B7-1075-4599-AADD-1B49B445859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29" name="Text Box 2">
          <a:extLst>
            <a:ext uri="{FF2B5EF4-FFF2-40B4-BE49-F238E27FC236}">
              <a16:creationId xmlns:a16="http://schemas.microsoft.com/office/drawing/2014/main" id="{1D7CBBFC-B075-4898-A129-2AB9495512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530" name="Text Box 1">
          <a:extLst>
            <a:ext uri="{FF2B5EF4-FFF2-40B4-BE49-F238E27FC236}">
              <a16:creationId xmlns:a16="http://schemas.microsoft.com/office/drawing/2014/main" id="{FCB8AF25-4655-43D7-8CF0-3E062437400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531" name="Text Box 2">
          <a:extLst>
            <a:ext uri="{FF2B5EF4-FFF2-40B4-BE49-F238E27FC236}">
              <a16:creationId xmlns:a16="http://schemas.microsoft.com/office/drawing/2014/main" id="{5CE24B83-9A09-4BF7-9EA2-DFC97D03FDB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32" name="Text Box 1">
          <a:extLst>
            <a:ext uri="{FF2B5EF4-FFF2-40B4-BE49-F238E27FC236}">
              <a16:creationId xmlns:a16="http://schemas.microsoft.com/office/drawing/2014/main" id="{F8FC6BDA-8130-47D2-AA59-966B0B79D60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33" name="Text Box 2">
          <a:extLst>
            <a:ext uri="{FF2B5EF4-FFF2-40B4-BE49-F238E27FC236}">
              <a16:creationId xmlns:a16="http://schemas.microsoft.com/office/drawing/2014/main" id="{474C3A34-A2D5-470E-A2C9-04D11811B4A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34" name="Text Box 1">
          <a:extLst>
            <a:ext uri="{FF2B5EF4-FFF2-40B4-BE49-F238E27FC236}">
              <a16:creationId xmlns:a16="http://schemas.microsoft.com/office/drawing/2014/main" id="{96875755-1B24-4272-87C6-856E01965A2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35" name="Text Box 2">
          <a:extLst>
            <a:ext uri="{FF2B5EF4-FFF2-40B4-BE49-F238E27FC236}">
              <a16:creationId xmlns:a16="http://schemas.microsoft.com/office/drawing/2014/main" id="{F08D78BF-AC05-47C7-8A2A-E599861596D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36" name="Text Box 1">
          <a:extLst>
            <a:ext uri="{FF2B5EF4-FFF2-40B4-BE49-F238E27FC236}">
              <a16:creationId xmlns:a16="http://schemas.microsoft.com/office/drawing/2014/main" id="{B81FA32D-75C9-48E4-B7F4-B0474EF435E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37" name="Text Box 2">
          <a:extLst>
            <a:ext uri="{FF2B5EF4-FFF2-40B4-BE49-F238E27FC236}">
              <a16:creationId xmlns:a16="http://schemas.microsoft.com/office/drawing/2014/main" id="{1A117EE8-64B8-46E1-95D8-A59717FCFD2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38" name="Text Box 1">
          <a:extLst>
            <a:ext uri="{FF2B5EF4-FFF2-40B4-BE49-F238E27FC236}">
              <a16:creationId xmlns:a16="http://schemas.microsoft.com/office/drawing/2014/main" id="{0F6DA88B-6A7B-4BA2-97A2-7C715C299AC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39" name="Text Box 2">
          <a:extLst>
            <a:ext uri="{FF2B5EF4-FFF2-40B4-BE49-F238E27FC236}">
              <a16:creationId xmlns:a16="http://schemas.microsoft.com/office/drawing/2014/main" id="{051FCAE9-D4C5-4072-8722-20BEA8E97A2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40" name="Text Box 1">
          <a:extLst>
            <a:ext uri="{FF2B5EF4-FFF2-40B4-BE49-F238E27FC236}">
              <a16:creationId xmlns:a16="http://schemas.microsoft.com/office/drawing/2014/main" id="{64DC30DF-12A5-4109-8534-BA7315614E2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41" name="Text Box 2">
          <a:extLst>
            <a:ext uri="{FF2B5EF4-FFF2-40B4-BE49-F238E27FC236}">
              <a16:creationId xmlns:a16="http://schemas.microsoft.com/office/drawing/2014/main" id="{E5E96E9A-0B9A-4EA9-8EC4-C5FC6C69AF4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42" name="Text Box 1">
          <a:extLst>
            <a:ext uri="{FF2B5EF4-FFF2-40B4-BE49-F238E27FC236}">
              <a16:creationId xmlns:a16="http://schemas.microsoft.com/office/drawing/2014/main" id="{E3AC8FFF-F781-4431-AEE8-B70E45AEC22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43" name="Text Box 2">
          <a:extLst>
            <a:ext uri="{FF2B5EF4-FFF2-40B4-BE49-F238E27FC236}">
              <a16:creationId xmlns:a16="http://schemas.microsoft.com/office/drawing/2014/main" id="{5D113C61-9EDA-4D78-83DD-DEBE3092C2F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544" name="Text Box 1">
          <a:extLst>
            <a:ext uri="{FF2B5EF4-FFF2-40B4-BE49-F238E27FC236}">
              <a16:creationId xmlns:a16="http://schemas.microsoft.com/office/drawing/2014/main" id="{1DE098F9-985F-471D-886C-2E65D7D821B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545" name="Text Box 2">
          <a:extLst>
            <a:ext uri="{FF2B5EF4-FFF2-40B4-BE49-F238E27FC236}">
              <a16:creationId xmlns:a16="http://schemas.microsoft.com/office/drawing/2014/main" id="{E36505B5-17FC-40D3-929B-FC10EE75AD8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46" name="Text Box 1">
          <a:extLst>
            <a:ext uri="{FF2B5EF4-FFF2-40B4-BE49-F238E27FC236}">
              <a16:creationId xmlns:a16="http://schemas.microsoft.com/office/drawing/2014/main" id="{E3AD967A-E5F3-4BD5-B695-0A9A2E34E9A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47" name="Text Box 2">
          <a:extLst>
            <a:ext uri="{FF2B5EF4-FFF2-40B4-BE49-F238E27FC236}">
              <a16:creationId xmlns:a16="http://schemas.microsoft.com/office/drawing/2014/main" id="{E408D663-FAE7-498E-8D31-3944C19E3D6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548" name="Text Box 1">
          <a:extLst>
            <a:ext uri="{FF2B5EF4-FFF2-40B4-BE49-F238E27FC236}">
              <a16:creationId xmlns:a16="http://schemas.microsoft.com/office/drawing/2014/main" id="{24FA9575-3F10-4562-A269-5628EF9581D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549" name="Text Box 2">
          <a:extLst>
            <a:ext uri="{FF2B5EF4-FFF2-40B4-BE49-F238E27FC236}">
              <a16:creationId xmlns:a16="http://schemas.microsoft.com/office/drawing/2014/main" id="{9D331A67-E34C-4639-900D-07C5396F198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50" name="Text Box 1">
          <a:extLst>
            <a:ext uri="{FF2B5EF4-FFF2-40B4-BE49-F238E27FC236}">
              <a16:creationId xmlns:a16="http://schemas.microsoft.com/office/drawing/2014/main" id="{95494FF5-7E7A-446D-B297-667893AE393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51" name="Text Box 2">
          <a:extLst>
            <a:ext uri="{FF2B5EF4-FFF2-40B4-BE49-F238E27FC236}">
              <a16:creationId xmlns:a16="http://schemas.microsoft.com/office/drawing/2014/main" id="{1CA0C009-B235-4D74-986C-4F11E7FA8F8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52" name="Text Box 1">
          <a:extLst>
            <a:ext uri="{FF2B5EF4-FFF2-40B4-BE49-F238E27FC236}">
              <a16:creationId xmlns:a16="http://schemas.microsoft.com/office/drawing/2014/main" id="{C8431504-EB29-407F-8288-50E25FC1186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53" name="Text Box 2">
          <a:extLst>
            <a:ext uri="{FF2B5EF4-FFF2-40B4-BE49-F238E27FC236}">
              <a16:creationId xmlns:a16="http://schemas.microsoft.com/office/drawing/2014/main" id="{3BAD49BC-653F-4EA0-BCEC-B2E561C7E31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54" name="Text Box 1">
          <a:extLst>
            <a:ext uri="{FF2B5EF4-FFF2-40B4-BE49-F238E27FC236}">
              <a16:creationId xmlns:a16="http://schemas.microsoft.com/office/drawing/2014/main" id="{2085EDA1-2DBD-4C94-B66E-0446A85A830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55" name="Text Box 2">
          <a:extLst>
            <a:ext uri="{FF2B5EF4-FFF2-40B4-BE49-F238E27FC236}">
              <a16:creationId xmlns:a16="http://schemas.microsoft.com/office/drawing/2014/main" id="{448BA29D-6698-4EE6-902E-08C13686D30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56" name="Text Box 1">
          <a:extLst>
            <a:ext uri="{FF2B5EF4-FFF2-40B4-BE49-F238E27FC236}">
              <a16:creationId xmlns:a16="http://schemas.microsoft.com/office/drawing/2014/main" id="{3F7261E9-5181-41E4-BE5D-642256F672E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57" name="Text Box 2">
          <a:extLst>
            <a:ext uri="{FF2B5EF4-FFF2-40B4-BE49-F238E27FC236}">
              <a16:creationId xmlns:a16="http://schemas.microsoft.com/office/drawing/2014/main" id="{853A03BD-691B-4765-B821-F2CF9BF67C6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58" name="Text Box 1">
          <a:extLst>
            <a:ext uri="{FF2B5EF4-FFF2-40B4-BE49-F238E27FC236}">
              <a16:creationId xmlns:a16="http://schemas.microsoft.com/office/drawing/2014/main" id="{F8F385E3-5403-4805-9572-0E2E679C641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59" name="Text Box 2">
          <a:extLst>
            <a:ext uri="{FF2B5EF4-FFF2-40B4-BE49-F238E27FC236}">
              <a16:creationId xmlns:a16="http://schemas.microsoft.com/office/drawing/2014/main" id="{6B3807CF-F5CF-4802-9581-E350CBE121C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60" name="Text Box 1">
          <a:extLst>
            <a:ext uri="{FF2B5EF4-FFF2-40B4-BE49-F238E27FC236}">
              <a16:creationId xmlns:a16="http://schemas.microsoft.com/office/drawing/2014/main" id="{0BB4B975-DB13-45C3-B8F6-9E2CDA4D61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61" name="Text Box 2">
          <a:extLst>
            <a:ext uri="{FF2B5EF4-FFF2-40B4-BE49-F238E27FC236}">
              <a16:creationId xmlns:a16="http://schemas.microsoft.com/office/drawing/2014/main" id="{D7A77EAA-540E-4972-A73C-E31FA12F0C5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62" name="Text Box 1">
          <a:extLst>
            <a:ext uri="{FF2B5EF4-FFF2-40B4-BE49-F238E27FC236}">
              <a16:creationId xmlns:a16="http://schemas.microsoft.com/office/drawing/2014/main" id="{24D49FCF-34E4-4CDE-ADEC-F0FE51E3600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63" name="Text Box 2">
          <a:extLst>
            <a:ext uri="{FF2B5EF4-FFF2-40B4-BE49-F238E27FC236}">
              <a16:creationId xmlns:a16="http://schemas.microsoft.com/office/drawing/2014/main" id="{0E12CBA0-6697-45FC-A9BA-FE894D313C8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64" name="Text Box 1">
          <a:extLst>
            <a:ext uri="{FF2B5EF4-FFF2-40B4-BE49-F238E27FC236}">
              <a16:creationId xmlns:a16="http://schemas.microsoft.com/office/drawing/2014/main" id="{D14718D2-16E8-40A8-AAB1-B06E9C82DFF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65" name="Text Box 2">
          <a:extLst>
            <a:ext uri="{FF2B5EF4-FFF2-40B4-BE49-F238E27FC236}">
              <a16:creationId xmlns:a16="http://schemas.microsoft.com/office/drawing/2014/main" id="{FE795702-DCAF-407D-9DA6-B5F7B790144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66" name="Text Box 1">
          <a:extLst>
            <a:ext uri="{FF2B5EF4-FFF2-40B4-BE49-F238E27FC236}">
              <a16:creationId xmlns:a16="http://schemas.microsoft.com/office/drawing/2014/main" id="{E39E0423-11F7-420F-8ABF-4A721864D30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67" name="Text Box 2">
          <a:extLst>
            <a:ext uri="{FF2B5EF4-FFF2-40B4-BE49-F238E27FC236}">
              <a16:creationId xmlns:a16="http://schemas.microsoft.com/office/drawing/2014/main" id="{36EDC507-6B3C-4010-8B6D-7E85F315B2C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68" name="Text Box 1">
          <a:extLst>
            <a:ext uri="{FF2B5EF4-FFF2-40B4-BE49-F238E27FC236}">
              <a16:creationId xmlns:a16="http://schemas.microsoft.com/office/drawing/2014/main" id="{92BA4BCC-4DDA-42FB-83BE-9753F152759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69" name="Text Box 2">
          <a:extLst>
            <a:ext uri="{FF2B5EF4-FFF2-40B4-BE49-F238E27FC236}">
              <a16:creationId xmlns:a16="http://schemas.microsoft.com/office/drawing/2014/main" id="{2CC72618-B3CF-474F-A6EE-A5B5CC7A382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70" name="Text Box 1">
          <a:extLst>
            <a:ext uri="{FF2B5EF4-FFF2-40B4-BE49-F238E27FC236}">
              <a16:creationId xmlns:a16="http://schemas.microsoft.com/office/drawing/2014/main" id="{DE1F1587-4FBE-4E0E-A74F-7CD602FAFD0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71" name="Text Box 2">
          <a:extLst>
            <a:ext uri="{FF2B5EF4-FFF2-40B4-BE49-F238E27FC236}">
              <a16:creationId xmlns:a16="http://schemas.microsoft.com/office/drawing/2014/main" id="{423FB3F1-F40F-49BC-BD70-0A30777E3B2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72" name="Text Box 1">
          <a:extLst>
            <a:ext uri="{FF2B5EF4-FFF2-40B4-BE49-F238E27FC236}">
              <a16:creationId xmlns:a16="http://schemas.microsoft.com/office/drawing/2014/main" id="{503A47C4-397C-46CD-A074-A053ABEF037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73" name="Text Box 2">
          <a:extLst>
            <a:ext uri="{FF2B5EF4-FFF2-40B4-BE49-F238E27FC236}">
              <a16:creationId xmlns:a16="http://schemas.microsoft.com/office/drawing/2014/main" id="{45A76158-5A02-4B80-B98D-0A76575F444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74" name="Text Box 1">
          <a:extLst>
            <a:ext uri="{FF2B5EF4-FFF2-40B4-BE49-F238E27FC236}">
              <a16:creationId xmlns:a16="http://schemas.microsoft.com/office/drawing/2014/main" id="{B234F2CD-1780-4974-92CA-C7BC8893D67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75" name="Text Box 2">
          <a:extLst>
            <a:ext uri="{FF2B5EF4-FFF2-40B4-BE49-F238E27FC236}">
              <a16:creationId xmlns:a16="http://schemas.microsoft.com/office/drawing/2014/main" id="{352F7411-D214-40B9-BE67-EA07C1D1F8C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76" name="Text Box 1">
          <a:extLst>
            <a:ext uri="{FF2B5EF4-FFF2-40B4-BE49-F238E27FC236}">
              <a16:creationId xmlns:a16="http://schemas.microsoft.com/office/drawing/2014/main" id="{050C5392-DEAF-4EB2-B1DC-87626A334C7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77" name="Text Box 2">
          <a:extLst>
            <a:ext uri="{FF2B5EF4-FFF2-40B4-BE49-F238E27FC236}">
              <a16:creationId xmlns:a16="http://schemas.microsoft.com/office/drawing/2014/main" id="{B4A04DCE-92D8-4037-87DD-9EFCEDB1B17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78" name="Text Box 1">
          <a:extLst>
            <a:ext uri="{FF2B5EF4-FFF2-40B4-BE49-F238E27FC236}">
              <a16:creationId xmlns:a16="http://schemas.microsoft.com/office/drawing/2014/main" id="{370F7E42-6B38-446D-A06E-DEC34E703D5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79" name="Text Box 2">
          <a:extLst>
            <a:ext uri="{FF2B5EF4-FFF2-40B4-BE49-F238E27FC236}">
              <a16:creationId xmlns:a16="http://schemas.microsoft.com/office/drawing/2014/main" id="{979B292F-30CD-4486-94EB-6C668BA9D39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80" name="Text Box 1">
          <a:extLst>
            <a:ext uri="{FF2B5EF4-FFF2-40B4-BE49-F238E27FC236}">
              <a16:creationId xmlns:a16="http://schemas.microsoft.com/office/drawing/2014/main" id="{4C0B8AC8-C187-4F18-BE01-773C9134A09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81" name="Text Box 2">
          <a:extLst>
            <a:ext uri="{FF2B5EF4-FFF2-40B4-BE49-F238E27FC236}">
              <a16:creationId xmlns:a16="http://schemas.microsoft.com/office/drawing/2014/main" id="{B02A12BF-FB4B-4CD5-A4B7-0F28744A85D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582" name="Text Box 1">
          <a:extLst>
            <a:ext uri="{FF2B5EF4-FFF2-40B4-BE49-F238E27FC236}">
              <a16:creationId xmlns:a16="http://schemas.microsoft.com/office/drawing/2014/main" id="{2E26B742-4AC5-4338-BB14-4525F9CA3CD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583" name="Text Box 2">
          <a:extLst>
            <a:ext uri="{FF2B5EF4-FFF2-40B4-BE49-F238E27FC236}">
              <a16:creationId xmlns:a16="http://schemas.microsoft.com/office/drawing/2014/main" id="{0D44D09F-9871-4AB5-A3CA-43F7A5C48F7D}"/>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84" name="Text Box 1">
          <a:extLst>
            <a:ext uri="{FF2B5EF4-FFF2-40B4-BE49-F238E27FC236}">
              <a16:creationId xmlns:a16="http://schemas.microsoft.com/office/drawing/2014/main" id="{8F35EFBE-2D00-4B2F-9656-2B53F71DCFC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85" name="Text Box 2">
          <a:extLst>
            <a:ext uri="{FF2B5EF4-FFF2-40B4-BE49-F238E27FC236}">
              <a16:creationId xmlns:a16="http://schemas.microsoft.com/office/drawing/2014/main" id="{63620E5A-F9E5-4D78-8E84-1596E0A401D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586" name="Text Box 1">
          <a:extLst>
            <a:ext uri="{FF2B5EF4-FFF2-40B4-BE49-F238E27FC236}">
              <a16:creationId xmlns:a16="http://schemas.microsoft.com/office/drawing/2014/main" id="{5AD1EED7-1660-43BB-8580-C89BEA4E7DA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587" name="Text Box 2">
          <a:extLst>
            <a:ext uri="{FF2B5EF4-FFF2-40B4-BE49-F238E27FC236}">
              <a16:creationId xmlns:a16="http://schemas.microsoft.com/office/drawing/2014/main" id="{42A8EB31-D2E7-4E62-ACB8-466EC8C1138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88" name="Text Box 1">
          <a:extLst>
            <a:ext uri="{FF2B5EF4-FFF2-40B4-BE49-F238E27FC236}">
              <a16:creationId xmlns:a16="http://schemas.microsoft.com/office/drawing/2014/main" id="{614176AE-7278-4923-9AAB-2FCF59FA06E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89" name="Text Box 2">
          <a:extLst>
            <a:ext uri="{FF2B5EF4-FFF2-40B4-BE49-F238E27FC236}">
              <a16:creationId xmlns:a16="http://schemas.microsoft.com/office/drawing/2014/main" id="{31F3F0B0-A147-4C0E-A1FA-266FE0A3C08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90" name="Text Box 1">
          <a:extLst>
            <a:ext uri="{FF2B5EF4-FFF2-40B4-BE49-F238E27FC236}">
              <a16:creationId xmlns:a16="http://schemas.microsoft.com/office/drawing/2014/main" id="{E25E63FB-92D8-4322-826F-5282D654DCA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91" name="Text Box 2">
          <a:extLst>
            <a:ext uri="{FF2B5EF4-FFF2-40B4-BE49-F238E27FC236}">
              <a16:creationId xmlns:a16="http://schemas.microsoft.com/office/drawing/2014/main" id="{2FBB6AA3-ED02-48F1-B0D6-165AFFD65B6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92" name="Text Box 1">
          <a:extLst>
            <a:ext uri="{FF2B5EF4-FFF2-40B4-BE49-F238E27FC236}">
              <a16:creationId xmlns:a16="http://schemas.microsoft.com/office/drawing/2014/main" id="{9FFC8957-A13A-4B18-A13F-1AC0EDC8B2F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93" name="Text Box 2">
          <a:extLst>
            <a:ext uri="{FF2B5EF4-FFF2-40B4-BE49-F238E27FC236}">
              <a16:creationId xmlns:a16="http://schemas.microsoft.com/office/drawing/2014/main" id="{905657CD-88BC-4628-8803-14E0D7C8DFB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94" name="Text Box 1">
          <a:extLst>
            <a:ext uri="{FF2B5EF4-FFF2-40B4-BE49-F238E27FC236}">
              <a16:creationId xmlns:a16="http://schemas.microsoft.com/office/drawing/2014/main" id="{0E10A6AF-37BD-4E2E-BF67-28ED72F3205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95" name="Text Box 2">
          <a:extLst>
            <a:ext uri="{FF2B5EF4-FFF2-40B4-BE49-F238E27FC236}">
              <a16:creationId xmlns:a16="http://schemas.microsoft.com/office/drawing/2014/main" id="{E480A5FD-BA4C-40DC-94A0-D025E177DFB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96" name="Text Box 1">
          <a:extLst>
            <a:ext uri="{FF2B5EF4-FFF2-40B4-BE49-F238E27FC236}">
              <a16:creationId xmlns:a16="http://schemas.microsoft.com/office/drawing/2014/main" id="{1BF9780C-56A8-4CA1-BC6C-B8300EF6678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97" name="Text Box 2">
          <a:extLst>
            <a:ext uri="{FF2B5EF4-FFF2-40B4-BE49-F238E27FC236}">
              <a16:creationId xmlns:a16="http://schemas.microsoft.com/office/drawing/2014/main" id="{CAE215BD-E383-4C4F-998E-748814D4F3D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98" name="Text Box 1">
          <a:extLst>
            <a:ext uri="{FF2B5EF4-FFF2-40B4-BE49-F238E27FC236}">
              <a16:creationId xmlns:a16="http://schemas.microsoft.com/office/drawing/2014/main" id="{CBC54ED6-AC96-4AB0-9B4C-707B01700A1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99" name="Text Box 2">
          <a:extLst>
            <a:ext uri="{FF2B5EF4-FFF2-40B4-BE49-F238E27FC236}">
              <a16:creationId xmlns:a16="http://schemas.microsoft.com/office/drawing/2014/main" id="{05E6392C-A0D3-436A-AF0D-B384C7E8E79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00" name="Text Box 1">
          <a:extLst>
            <a:ext uri="{FF2B5EF4-FFF2-40B4-BE49-F238E27FC236}">
              <a16:creationId xmlns:a16="http://schemas.microsoft.com/office/drawing/2014/main" id="{EB3E9EB5-38E0-4037-84EF-4AAC8FB36CE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01" name="Text Box 2">
          <a:extLst>
            <a:ext uri="{FF2B5EF4-FFF2-40B4-BE49-F238E27FC236}">
              <a16:creationId xmlns:a16="http://schemas.microsoft.com/office/drawing/2014/main" id="{8E72FC47-52C3-4D17-B58C-8C39916C37C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02" name="Text Box 1">
          <a:extLst>
            <a:ext uri="{FF2B5EF4-FFF2-40B4-BE49-F238E27FC236}">
              <a16:creationId xmlns:a16="http://schemas.microsoft.com/office/drawing/2014/main" id="{6E4FA371-F5C4-420A-9F19-605659126B7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03" name="Text Box 2">
          <a:extLst>
            <a:ext uri="{FF2B5EF4-FFF2-40B4-BE49-F238E27FC236}">
              <a16:creationId xmlns:a16="http://schemas.microsoft.com/office/drawing/2014/main" id="{05A42FA4-5B10-4A70-96CC-5826A412B83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04" name="Text Box 1">
          <a:extLst>
            <a:ext uri="{FF2B5EF4-FFF2-40B4-BE49-F238E27FC236}">
              <a16:creationId xmlns:a16="http://schemas.microsoft.com/office/drawing/2014/main" id="{ABCB1619-0AC4-41DC-95C6-44ECA0AC0BD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05" name="Text Box 2">
          <a:extLst>
            <a:ext uri="{FF2B5EF4-FFF2-40B4-BE49-F238E27FC236}">
              <a16:creationId xmlns:a16="http://schemas.microsoft.com/office/drawing/2014/main" id="{B4EC4894-8014-4846-8E92-89C73BA3848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06" name="Text Box 1">
          <a:extLst>
            <a:ext uri="{FF2B5EF4-FFF2-40B4-BE49-F238E27FC236}">
              <a16:creationId xmlns:a16="http://schemas.microsoft.com/office/drawing/2014/main" id="{5904B1C8-7C7A-4934-8FD3-C6B2CED560B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07" name="Text Box 2">
          <a:extLst>
            <a:ext uri="{FF2B5EF4-FFF2-40B4-BE49-F238E27FC236}">
              <a16:creationId xmlns:a16="http://schemas.microsoft.com/office/drawing/2014/main" id="{9FF1C648-845E-4DB0-9A72-0A189EBBA4D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08" name="Text Box 1">
          <a:extLst>
            <a:ext uri="{FF2B5EF4-FFF2-40B4-BE49-F238E27FC236}">
              <a16:creationId xmlns:a16="http://schemas.microsoft.com/office/drawing/2014/main" id="{B4C94162-F1CE-4C47-891A-C260B0877EF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09" name="Text Box 2">
          <a:extLst>
            <a:ext uri="{FF2B5EF4-FFF2-40B4-BE49-F238E27FC236}">
              <a16:creationId xmlns:a16="http://schemas.microsoft.com/office/drawing/2014/main" id="{17CD2B5C-E0AC-4116-9BE9-F388AB34F85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610" name="Text Box 1">
          <a:extLst>
            <a:ext uri="{FF2B5EF4-FFF2-40B4-BE49-F238E27FC236}">
              <a16:creationId xmlns:a16="http://schemas.microsoft.com/office/drawing/2014/main" id="{CE3537AA-7CC9-4FD7-893B-170C2C02E14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611" name="Text Box 2">
          <a:extLst>
            <a:ext uri="{FF2B5EF4-FFF2-40B4-BE49-F238E27FC236}">
              <a16:creationId xmlns:a16="http://schemas.microsoft.com/office/drawing/2014/main" id="{BF05AA14-7CB2-4D88-9B8F-E5ADB0D1473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612" name="Text Box 1">
          <a:extLst>
            <a:ext uri="{FF2B5EF4-FFF2-40B4-BE49-F238E27FC236}">
              <a16:creationId xmlns:a16="http://schemas.microsoft.com/office/drawing/2014/main" id="{900CA179-116A-44F5-B8BA-C58CA98B98D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613" name="Text Box 2">
          <a:extLst>
            <a:ext uri="{FF2B5EF4-FFF2-40B4-BE49-F238E27FC236}">
              <a16:creationId xmlns:a16="http://schemas.microsoft.com/office/drawing/2014/main" id="{9041D3BB-9F27-46E9-A232-60CBC2A6D06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14" name="Text Box 1">
          <a:extLst>
            <a:ext uri="{FF2B5EF4-FFF2-40B4-BE49-F238E27FC236}">
              <a16:creationId xmlns:a16="http://schemas.microsoft.com/office/drawing/2014/main" id="{F69A6742-1ED7-4A80-8F29-BF0526C7EC0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15" name="Text Box 2">
          <a:extLst>
            <a:ext uri="{FF2B5EF4-FFF2-40B4-BE49-F238E27FC236}">
              <a16:creationId xmlns:a16="http://schemas.microsoft.com/office/drawing/2014/main" id="{335CEE52-7BB9-4947-B6B1-53C1A12B9BC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16" name="Text Box 1">
          <a:extLst>
            <a:ext uri="{FF2B5EF4-FFF2-40B4-BE49-F238E27FC236}">
              <a16:creationId xmlns:a16="http://schemas.microsoft.com/office/drawing/2014/main" id="{DFCAFC5C-89F9-463C-AF46-AE58612B50E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17" name="Text Box 2">
          <a:extLst>
            <a:ext uri="{FF2B5EF4-FFF2-40B4-BE49-F238E27FC236}">
              <a16:creationId xmlns:a16="http://schemas.microsoft.com/office/drawing/2014/main" id="{27EAD046-08AF-4825-B948-5823D717A8B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18" name="Text Box 1">
          <a:extLst>
            <a:ext uri="{FF2B5EF4-FFF2-40B4-BE49-F238E27FC236}">
              <a16:creationId xmlns:a16="http://schemas.microsoft.com/office/drawing/2014/main" id="{59109C5E-5524-4E85-9F71-3F25AD6932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19" name="Text Box 2">
          <a:extLst>
            <a:ext uri="{FF2B5EF4-FFF2-40B4-BE49-F238E27FC236}">
              <a16:creationId xmlns:a16="http://schemas.microsoft.com/office/drawing/2014/main" id="{5CDAE43B-746C-44CA-A644-18C6C515355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20" name="Text Box 1">
          <a:extLst>
            <a:ext uri="{FF2B5EF4-FFF2-40B4-BE49-F238E27FC236}">
              <a16:creationId xmlns:a16="http://schemas.microsoft.com/office/drawing/2014/main" id="{7704976C-FD98-45EB-B041-907EE7A6D39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21" name="Text Box 2">
          <a:extLst>
            <a:ext uri="{FF2B5EF4-FFF2-40B4-BE49-F238E27FC236}">
              <a16:creationId xmlns:a16="http://schemas.microsoft.com/office/drawing/2014/main" id="{E02DD565-8D60-4957-9E33-F6E60C81C0E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622" name="Text Box 1">
          <a:extLst>
            <a:ext uri="{FF2B5EF4-FFF2-40B4-BE49-F238E27FC236}">
              <a16:creationId xmlns:a16="http://schemas.microsoft.com/office/drawing/2014/main" id="{884DC490-FFD9-42B0-B952-DD073EFBCC3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623" name="Text Box 2">
          <a:extLst>
            <a:ext uri="{FF2B5EF4-FFF2-40B4-BE49-F238E27FC236}">
              <a16:creationId xmlns:a16="http://schemas.microsoft.com/office/drawing/2014/main" id="{529165C5-F4FB-4049-98F8-0BB76F9A93A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624" name="Text Box 1">
          <a:extLst>
            <a:ext uri="{FF2B5EF4-FFF2-40B4-BE49-F238E27FC236}">
              <a16:creationId xmlns:a16="http://schemas.microsoft.com/office/drawing/2014/main" id="{36C3A53A-E6EA-432E-A233-03DD89CFA14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625" name="Text Box 2">
          <a:extLst>
            <a:ext uri="{FF2B5EF4-FFF2-40B4-BE49-F238E27FC236}">
              <a16:creationId xmlns:a16="http://schemas.microsoft.com/office/drawing/2014/main" id="{4AB69F2C-8A75-4015-B128-BDF84C08E6E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26" name="Text Box 1">
          <a:extLst>
            <a:ext uri="{FF2B5EF4-FFF2-40B4-BE49-F238E27FC236}">
              <a16:creationId xmlns:a16="http://schemas.microsoft.com/office/drawing/2014/main" id="{214D1BAD-DFE5-466C-9C31-9EB054C6D42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27" name="Text Box 2">
          <a:extLst>
            <a:ext uri="{FF2B5EF4-FFF2-40B4-BE49-F238E27FC236}">
              <a16:creationId xmlns:a16="http://schemas.microsoft.com/office/drawing/2014/main" id="{34DFEC4D-FAC6-40D0-B871-6FABDE45C8D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28" name="Text Box 1">
          <a:extLst>
            <a:ext uri="{FF2B5EF4-FFF2-40B4-BE49-F238E27FC236}">
              <a16:creationId xmlns:a16="http://schemas.microsoft.com/office/drawing/2014/main" id="{D7199DF7-A990-4E26-A2DA-38A0B5F2E3D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29" name="Text Box 2">
          <a:extLst>
            <a:ext uri="{FF2B5EF4-FFF2-40B4-BE49-F238E27FC236}">
              <a16:creationId xmlns:a16="http://schemas.microsoft.com/office/drawing/2014/main" id="{EF872AE0-27D8-46F5-ACC8-0ABFC42E7A1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630" name="Text Box 1">
          <a:extLst>
            <a:ext uri="{FF2B5EF4-FFF2-40B4-BE49-F238E27FC236}">
              <a16:creationId xmlns:a16="http://schemas.microsoft.com/office/drawing/2014/main" id="{A1A59E38-6B64-4F7E-B27A-F89A9CC7AD8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631" name="Text Box 2">
          <a:extLst>
            <a:ext uri="{FF2B5EF4-FFF2-40B4-BE49-F238E27FC236}">
              <a16:creationId xmlns:a16="http://schemas.microsoft.com/office/drawing/2014/main" id="{F9398A83-2276-4D25-89DA-6E99B5F7D24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632" name="Text Box 1">
          <a:extLst>
            <a:ext uri="{FF2B5EF4-FFF2-40B4-BE49-F238E27FC236}">
              <a16:creationId xmlns:a16="http://schemas.microsoft.com/office/drawing/2014/main" id="{08845C5D-18A4-4280-823E-D5F47BCA4D52}"/>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633" name="Text Box 2">
          <a:extLst>
            <a:ext uri="{FF2B5EF4-FFF2-40B4-BE49-F238E27FC236}">
              <a16:creationId xmlns:a16="http://schemas.microsoft.com/office/drawing/2014/main" id="{AB5A48A6-AC6F-4945-A7CD-1AFB5A10B8B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34" name="Text Box 1">
          <a:extLst>
            <a:ext uri="{FF2B5EF4-FFF2-40B4-BE49-F238E27FC236}">
              <a16:creationId xmlns:a16="http://schemas.microsoft.com/office/drawing/2014/main" id="{B6307C0B-1B80-4F70-A4B1-95729419DE1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35" name="Text Box 2">
          <a:extLst>
            <a:ext uri="{FF2B5EF4-FFF2-40B4-BE49-F238E27FC236}">
              <a16:creationId xmlns:a16="http://schemas.microsoft.com/office/drawing/2014/main" id="{68EEB40D-7A8B-44A4-938A-22C19A06519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36" name="Text Box 1">
          <a:extLst>
            <a:ext uri="{FF2B5EF4-FFF2-40B4-BE49-F238E27FC236}">
              <a16:creationId xmlns:a16="http://schemas.microsoft.com/office/drawing/2014/main" id="{C967025C-355B-474D-80B6-D24C79D5A5F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37" name="Text Box 2">
          <a:extLst>
            <a:ext uri="{FF2B5EF4-FFF2-40B4-BE49-F238E27FC236}">
              <a16:creationId xmlns:a16="http://schemas.microsoft.com/office/drawing/2014/main" id="{0303D3E0-4F44-4545-84E6-380FEECC21C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638" name="Text Box 1">
          <a:extLst>
            <a:ext uri="{FF2B5EF4-FFF2-40B4-BE49-F238E27FC236}">
              <a16:creationId xmlns:a16="http://schemas.microsoft.com/office/drawing/2014/main" id="{91DCCC65-41CC-4BAB-A388-F853BE0FA4E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639" name="Text Box 2">
          <a:extLst>
            <a:ext uri="{FF2B5EF4-FFF2-40B4-BE49-F238E27FC236}">
              <a16:creationId xmlns:a16="http://schemas.microsoft.com/office/drawing/2014/main" id="{5E29CA68-C2A9-4B69-B801-925F627FEBA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40" name="Text Box 1">
          <a:extLst>
            <a:ext uri="{FF2B5EF4-FFF2-40B4-BE49-F238E27FC236}">
              <a16:creationId xmlns:a16="http://schemas.microsoft.com/office/drawing/2014/main" id="{3168EA7F-E406-47C7-8783-D140B2FE1DF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41" name="Text Box 2">
          <a:extLst>
            <a:ext uri="{FF2B5EF4-FFF2-40B4-BE49-F238E27FC236}">
              <a16:creationId xmlns:a16="http://schemas.microsoft.com/office/drawing/2014/main" id="{3178AD6A-B011-4D02-A462-2F2EF88B96A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642" name="Text Box 1">
          <a:extLst>
            <a:ext uri="{FF2B5EF4-FFF2-40B4-BE49-F238E27FC236}">
              <a16:creationId xmlns:a16="http://schemas.microsoft.com/office/drawing/2014/main" id="{86A32465-B433-4B1E-B358-19847680DED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643" name="Text Box 2">
          <a:extLst>
            <a:ext uri="{FF2B5EF4-FFF2-40B4-BE49-F238E27FC236}">
              <a16:creationId xmlns:a16="http://schemas.microsoft.com/office/drawing/2014/main" id="{3B9825A3-CB1B-4316-8163-B62151E7063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644" name="Text Box 1">
          <a:extLst>
            <a:ext uri="{FF2B5EF4-FFF2-40B4-BE49-F238E27FC236}">
              <a16:creationId xmlns:a16="http://schemas.microsoft.com/office/drawing/2014/main" id="{6B91D200-4D5C-4179-B2CD-031400D4E55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645" name="Text Box 2">
          <a:extLst>
            <a:ext uri="{FF2B5EF4-FFF2-40B4-BE49-F238E27FC236}">
              <a16:creationId xmlns:a16="http://schemas.microsoft.com/office/drawing/2014/main" id="{811DA25E-4074-45B2-BA82-C3AF56F1DAA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46" name="Text Box 1">
          <a:extLst>
            <a:ext uri="{FF2B5EF4-FFF2-40B4-BE49-F238E27FC236}">
              <a16:creationId xmlns:a16="http://schemas.microsoft.com/office/drawing/2014/main" id="{72A2155D-BFFD-4DD6-A67B-209159EC6D8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47" name="Text Box 2">
          <a:extLst>
            <a:ext uri="{FF2B5EF4-FFF2-40B4-BE49-F238E27FC236}">
              <a16:creationId xmlns:a16="http://schemas.microsoft.com/office/drawing/2014/main" id="{BC2B3633-661E-4784-AB83-D24C04626DC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48" name="Text Box 1">
          <a:extLst>
            <a:ext uri="{FF2B5EF4-FFF2-40B4-BE49-F238E27FC236}">
              <a16:creationId xmlns:a16="http://schemas.microsoft.com/office/drawing/2014/main" id="{D186CB5B-DD53-4EAC-835C-634122096AD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49" name="Text Box 2">
          <a:extLst>
            <a:ext uri="{FF2B5EF4-FFF2-40B4-BE49-F238E27FC236}">
              <a16:creationId xmlns:a16="http://schemas.microsoft.com/office/drawing/2014/main" id="{673B6ECF-4048-4B1F-835D-778F5F9D0F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50" name="Text Box 1">
          <a:extLst>
            <a:ext uri="{FF2B5EF4-FFF2-40B4-BE49-F238E27FC236}">
              <a16:creationId xmlns:a16="http://schemas.microsoft.com/office/drawing/2014/main" id="{3EA97560-68EF-46B9-A1F3-9E4E3BC0C76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51" name="Text Box 2">
          <a:extLst>
            <a:ext uri="{FF2B5EF4-FFF2-40B4-BE49-F238E27FC236}">
              <a16:creationId xmlns:a16="http://schemas.microsoft.com/office/drawing/2014/main" id="{B561CC88-6980-457D-8A99-55C1C80D34D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652" name="Text Box 1">
          <a:extLst>
            <a:ext uri="{FF2B5EF4-FFF2-40B4-BE49-F238E27FC236}">
              <a16:creationId xmlns:a16="http://schemas.microsoft.com/office/drawing/2014/main" id="{0EBF2083-41D8-41A4-96F8-978263029FC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653" name="Text Box 2">
          <a:extLst>
            <a:ext uri="{FF2B5EF4-FFF2-40B4-BE49-F238E27FC236}">
              <a16:creationId xmlns:a16="http://schemas.microsoft.com/office/drawing/2014/main" id="{465B2F63-8D50-43CA-A474-CE588164D4D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54" name="Text Box 1">
          <a:extLst>
            <a:ext uri="{FF2B5EF4-FFF2-40B4-BE49-F238E27FC236}">
              <a16:creationId xmlns:a16="http://schemas.microsoft.com/office/drawing/2014/main" id="{54B63A1D-5BE9-48BB-9710-0D45BF936DD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55" name="Text Box 2">
          <a:extLst>
            <a:ext uri="{FF2B5EF4-FFF2-40B4-BE49-F238E27FC236}">
              <a16:creationId xmlns:a16="http://schemas.microsoft.com/office/drawing/2014/main" id="{5066B9E6-441C-47ED-B6F4-654FF4CEE42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656" name="Text Box 1">
          <a:extLst>
            <a:ext uri="{FF2B5EF4-FFF2-40B4-BE49-F238E27FC236}">
              <a16:creationId xmlns:a16="http://schemas.microsoft.com/office/drawing/2014/main" id="{C0857119-2BDD-4995-B3AE-A4D7CF56F7E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657" name="Text Box 2">
          <a:extLst>
            <a:ext uri="{FF2B5EF4-FFF2-40B4-BE49-F238E27FC236}">
              <a16:creationId xmlns:a16="http://schemas.microsoft.com/office/drawing/2014/main" id="{BBE1DBDD-3184-4386-92A5-C43C7EFB289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58" name="Text Box 1">
          <a:extLst>
            <a:ext uri="{FF2B5EF4-FFF2-40B4-BE49-F238E27FC236}">
              <a16:creationId xmlns:a16="http://schemas.microsoft.com/office/drawing/2014/main" id="{28F9BFC3-979E-44E3-99AB-B841040CA0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59" name="Text Box 2">
          <a:extLst>
            <a:ext uri="{FF2B5EF4-FFF2-40B4-BE49-F238E27FC236}">
              <a16:creationId xmlns:a16="http://schemas.microsoft.com/office/drawing/2014/main" id="{796B1164-F84F-4AC1-8BC0-88CB2F514EC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60" name="Text Box 1">
          <a:extLst>
            <a:ext uri="{FF2B5EF4-FFF2-40B4-BE49-F238E27FC236}">
              <a16:creationId xmlns:a16="http://schemas.microsoft.com/office/drawing/2014/main" id="{60388CA0-7205-4F00-8BCE-A3DBED42580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61" name="Text Box 2">
          <a:extLst>
            <a:ext uri="{FF2B5EF4-FFF2-40B4-BE49-F238E27FC236}">
              <a16:creationId xmlns:a16="http://schemas.microsoft.com/office/drawing/2014/main" id="{42FEEECD-40CC-4412-BDF8-320D2064C67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62" name="Text Box 1">
          <a:extLst>
            <a:ext uri="{FF2B5EF4-FFF2-40B4-BE49-F238E27FC236}">
              <a16:creationId xmlns:a16="http://schemas.microsoft.com/office/drawing/2014/main" id="{2B55257A-2D28-40EC-8A17-2E9D318CB89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63" name="Text Box 2">
          <a:extLst>
            <a:ext uri="{FF2B5EF4-FFF2-40B4-BE49-F238E27FC236}">
              <a16:creationId xmlns:a16="http://schemas.microsoft.com/office/drawing/2014/main" id="{6770A484-714C-4833-891C-5B9A55DB67D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64" name="Text Box 1">
          <a:extLst>
            <a:ext uri="{FF2B5EF4-FFF2-40B4-BE49-F238E27FC236}">
              <a16:creationId xmlns:a16="http://schemas.microsoft.com/office/drawing/2014/main" id="{38D43A81-44A2-496D-B067-512F424E8C0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65" name="Text Box 2">
          <a:extLst>
            <a:ext uri="{FF2B5EF4-FFF2-40B4-BE49-F238E27FC236}">
              <a16:creationId xmlns:a16="http://schemas.microsoft.com/office/drawing/2014/main" id="{BE42DF3C-CEA3-43FA-939D-DDDCA1FEACA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66" name="Text Box 1">
          <a:extLst>
            <a:ext uri="{FF2B5EF4-FFF2-40B4-BE49-F238E27FC236}">
              <a16:creationId xmlns:a16="http://schemas.microsoft.com/office/drawing/2014/main" id="{672CF5A0-61EB-4FED-9E1B-29838763B64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67" name="Text Box 2">
          <a:extLst>
            <a:ext uri="{FF2B5EF4-FFF2-40B4-BE49-F238E27FC236}">
              <a16:creationId xmlns:a16="http://schemas.microsoft.com/office/drawing/2014/main" id="{2CB2A503-DEEC-4E1B-883D-FCC59B29134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68" name="Text Box 1">
          <a:extLst>
            <a:ext uri="{FF2B5EF4-FFF2-40B4-BE49-F238E27FC236}">
              <a16:creationId xmlns:a16="http://schemas.microsoft.com/office/drawing/2014/main" id="{BA24704B-DB1D-41BD-83DC-3424DA6DB79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69" name="Text Box 2">
          <a:extLst>
            <a:ext uri="{FF2B5EF4-FFF2-40B4-BE49-F238E27FC236}">
              <a16:creationId xmlns:a16="http://schemas.microsoft.com/office/drawing/2014/main" id="{80A2F3DC-BFCE-4103-BA96-9B7F386EA48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70" name="Text Box 1">
          <a:extLst>
            <a:ext uri="{FF2B5EF4-FFF2-40B4-BE49-F238E27FC236}">
              <a16:creationId xmlns:a16="http://schemas.microsoft.com/office/drawing/2014/main" id="{704CA0BE-E522-4A4D-B795-7D70C1423EF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71" name="Text Box 2">
          <a:extLst>
            <a:ext uri="{FF2B5EF4-FFF2-40B4-BE49-F238E27FC236}">
              <a16:creationId xmlns:a16="http://schemas.microsoft.com/office/drawing/2014/main" id="{FD953B9C-745C-4B9C-8A08-D372CA0AFEF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72" name="Text Box 1">
          <a:extLst>
            <a:ext uri="{FF2B5EF4-FFF2-40B4-BE49-F238E27FC236}">
              <a16:creationId xmlns:a16="http://schemas.microsoft.com/office/drawing/2014/main" id="{E2804542-7077-4462-BB09-D3331AB6572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73" name="Text Box 2">
          <a:extLst>
            <a:ext uri="{FF2B5EF4-FFF2-40B4-BE49-F238E27FC236}">
              <a16:creationId xmlns:a16="http://schemas.microsoft.com/office/drawing/2014/main" id="{23AE1457-E185-4EA1-8371-D968348B71A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674" name="Text Box 2">
          <a:extLst>
            <a:ext uri="{FF2B5EF4-FFF2-40B4-BE49-F238E27FC236}">
              <a16:creationId xmlns:a16="http://schemas.microsoft.com/office/drawing/2014/main" id="{107F791F-BACD-4511-9B98-75AF0D8CCBE5}"/>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75" name="Text Box 1">
          <a:extLst>
            <a:ext uri="{FF2B5EF4-FFF2-40B4-BE49-F238E27FC236}">
              <a16:creationId xmlns:a16="http://schemas.microsoft.com/office/drawing/2014/main" id="{50FE513D-4631-45AD-92AA-0E6F9426D9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76" name="Text Box 2">
          <a:extLst>
            <a:ext uri="{FF2B5EF4-FFF2-40B4-BE49-F238E27FC236}">
              <a16:creationId xmlns:a16="http://schemas.microsoft.com/office/drawing/2014/main" id="{C83BE813-38F1-4BE4-8B4C-FF9DDF06025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77" name="Text Box 1">
          <a:extLst>
            <a:ext uri="{FF2B5EF4-FFF2-40B4-BE49-F238E27FC236}">
              <a16:creationId xmlns:a16="http://schemas.microsoft.com/office/drawing/2014/main" id="{9CEB79AF-A74A-44F7-B00C-27DAAEC7073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78" name="Text Box 2">
          <a:extLst>
            <a:ext uri="{FF2B5EF4-FFF2-40B4-BE49-F238E27FC236}">
              <a16:creationId xmlns:a16="http://schemas.microsoft.com/office/drawing/2014/main" id="{68262995-E413-4783-8EAA-A71CBA218C5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679" name="Text Box 1">
          <a:extLst>
            <a:ext uri="{FF2B5EF4-FFF2-40B4-BE49-F238E27FC236}">
              <a16:creationId xmlns:a16="http://schemas.microsoft.com/office/drawing/2014/main" id="{B262D9B1-5B56-4908-97F5-50DCEE010F9C}"/>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680" name="Text Box 2">
          <a:extLst>
            <a:ext uri="{FF2B5EF4-FFF2-40B4-BE49-F238E27FC236}">
              <a16:creationId xmlns:a16="http://schemas.microsoft.com/office/drawing/2014/main" id="{21C92D39-77A1-4C2C-AF87-D9AC2C067A9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81" name="Text Box 1">
          <a:extLst>
            <a:ext uri="{FF2B5EF4-FFF2-40B4-BE49-F238E27FC236}">
              <a16:creationId xmlns:a16="http://schemas.microsoft.com/office/drawing/2014/main" id="{7978DEBB-4580-444C-B3E6-C5BBF799373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82" name="Text Box 2">
          <a:extLst>
            <a:ext uri="{FF2B5EF4-FFF2-40B4-BE49-F238E27FC236}">
              <a16:creationId xmlns:a16="http://schemas.microsoft.com/office/drawing/2014/main" id="{4F4D4723-A7C1-44BB-A573-78CC60BABFC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683" name="Text Box 2">
          <a:extLst>
            <a:ext uri="{FF2B5EF4-FFF2-40B4-BE49-F238E27FC236}">
              <a16:creationId xmlns:a16="http://schemas.microsoft.com/office/drawing/2014/main" id="{AE4D55DB-D721-42EB-A08D-EB5BFD8A665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84" name="Text Box 1">
          <a:extLst>
            <a:ext uri="{FF2B5EF4-FFF2-40B4-BE49-F238E27FC236}">
              <a16:creationId xmlns:a16="http://schemas.microsoft.com/office/drawing/2014/main" id="{96DA2842-4B05-4B5D-B556-DA04E5D4A77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85" name="Text Box 2">
          <a:extLst>
            <a:ext uri="{FF2B5EF4-FFF2-40B4-BE49-F238E27FC236}">
              <a16:creationId xmlns:a16="http://schemas.microsoft.com/office/drawing/2014/main" id="{373EB1D5-7533-4A4C-A1A4-DE4DE9A4D6B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686" name="Text Box 2">
          <a:extLst>
            <a:ext uri="{FF2B5EF4-FFF2-40B4-BE49-F238E27FC236}">
              <a16:creationId xmlns:a16="http://schemas.microsoft.com/office/drawing/2014/main" id="{6A8F19E0-3355-4B33-B482-7B8E6FE31D3E}"/>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87" name="Text Box 1">
          <a:extLst>
            <a:ext uri="{FF2B5EF4-FFF2-40B4-BE49-F238E27FC236}">
              <a16:creationId xmlns:a16="http://schemas.microsoft.com/office/drawing/2014/main" id="{C9186FE0-7CD3-4C29-B01E-4AF1CE90345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88" name="Text Box 2">
          <a:extLst>
            <a:ext uri="{FF2B5EF4-FFF2-40B4-BE49-F238E27FC236}">
              <a16:creationId xmlns:a16="http://schemas.microsoft.com/office/drawing/2014/main" id="{D700F9D6-349F-4402-9A82-F625762729C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689" name="Text Box 2">
          <a:extLst>
            <a:ext uri="{FF2B5EF4-FFF2-40B4-BE49-F238E27FC236}">
              <a16:creationId xmlns:a16="http://schemas.microsoft.com/office/drawing/2014/main" id="{1F44936A-392C-4A95-BF62-790605AFB313}"/>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90" name="Text Box 1">
          <a:extLst>
            <a:ext uri="{FF2B5EF4-FFF2-40B4-BE49-F238E27FC236}">
              <a16:creationId xmlns:a16="http://schemas.microsoft.com/office/drawing/2014/main" id="{D9D3C414-9768-4F79-8A30-34F78D821A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91" name="Text Box 2">
          <a:extLst>
            <a:ext uri="{FF2B5EF4-FFF2-40B4-BE49-F238E27FC236}">
              <a16:creationId xmlns:a16="http://schemas.microsoft.com/office/drawing/2014/main" id="{6995EFC9-D0C0-4DF6-A687-55F9088B5EA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692" name="Text Box 2">
          <a:extLst>
            <a:ext uri="{FF2B5EF4-FFF2-40B4-BE49-F238E27FC236}">
              <a16:creationId xmlns:a16="http://schemas.microsoft.com/office/drawing/2014/main" id="{65C31849-EBEF-45FB-AC90-265BA52ED137}"/>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93" name="Text Box 1">
          <a:extLst>
            <a:ext uri="{FF2B5EF4-FFF2-40B4-BE49-F238E27FC236}">
              <a16:creationId xmlns:a16="http://schemas.microsoft.com/office/drawing/2014/main" id="{EBB0989C-5E42-4036-A910-9C9868AF29E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94" name="Text Box 2">
          <a:extLst>
            <a:ext uri="{FF2B5EF4-FFF2-40B4-BE49-F238E27FC236}">
              <a16:creationId xmlns:a16="http://schemas.microsoft.com/office/drawing/2014/main" id="{FF1100C5-FAA3-418E-86FA-506F797BB37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695" name="Text Box 2">
          <a:extLst>
            <a:ext uri="{FF2B5EF4-FFF2-40B4-BE49-F238E27FC236}">
              <a16:creationId xmlns:a16="http://schemas.microsoft.com/office/drawing/2014/main" id="{BF1BA80E-B9DA-442F-B03A-64A3E5135A46}"/>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96" name="Text Box 1">
          <a:extLst>
            <a:ext uri="{FF2B5EF4-FFF2-40B4-BE49-F238E27FC236}">
              <a16:creationId xmlns:a16="http://schemas.microsoft.com/office/drawing/2014/main" id="{5CB917D6-6B1F-4E5E-9BE2-2FAFA1422BA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97" name="Text Box 2">
          <a:extLst>
            <a:ext uri="{FF2B5EF4-FFF2-40B4-BE49-F238E27FC236}">
              <a16:creationId xmlns:a16="http://schemas.microsoft.com/office/drawing/2014/main" id="{904E15F1-CF1A-4863-90E2-982F073D11F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698" name="Text Box 2">
          <a:extLst>
            <a:ext uri="{FF2B5EF4-FFF2-40B4-BE49-F238E27FC236}">
              <a16:creationId xmlns:a16="http://schemas.microsoft.com/office/drawing/2014/main" id="{D0061C41-AF98-437E-8389-FF38E4E7CA45}"/>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99" name="Text Box 1">
          <a:extLst>
            <a:ext uri="{FF2B5EF4-FFF2-40B4-BE49-F238E27FC236}">
              <a16:creationId xmlns:a16="http://schemas.microsoft.com/office/drawing/2014/main" id="{19A2E703-0044-4490-BB92-237C3E9BCDA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00" name="Text Box 2">
          <a:extLst>
            <a:ext uri="{FF2B5EF4-FFF2-40B4-BE49-F238E27FC236}">
              <a16:creationId xmlns:a16="http://schemas.microsoft.com/office/drawing/2014/main" id="{E0F3D1DA-85C6-4888-AFDC-373EB975CEC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01" name="Text Box 1">
          <a:extLst>
            <a:ext uri="{FF2B5EF4-FFF2-40B4-BE49-F238E27FC236}">
              <a16:creationId xmlns:a16="http://schemas.microsoft.com/office/drawing/2014/main" id="{4CEA54B0-321E-4729-96D8-CA4D0AD38F9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02" name="Text Box 2">
          <a:extLst>
            <a:ext uri="{FF2B5EF4-FFF2-40B4-BE49-F238E27FC236}">
              <a16:creationId xmlns:a16="http://schemas.microsoft.com/office/drawing/2014/main" id="{ADC4C2B7-5CAC-4DCB-B70B-2F29EF6F779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03" name="Text Box 1">
          <a:extLst>
            <a:ext uri="{FF2B5EF4-FFF2-40B4-BE49-F238E27FC236}">
              <a16:creationId xmlns:a16="http://schemas.microsoft.com/office/drawing/2014/main" id="{B8F36F07-EBBE-44D2-88AC-8F24B133FB4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04" name="Text Box 2">
          <a:extLst>
            <a:ext uri="{FF2B5EF4-FFF2-40B4-BE49-F238E27FC236}">
              <a16:creationId xmlns:a16="http://schemas.microsoft.com/office/drawing/2014/main" id="{FBE1DDF5-593C-42BE-8375-3CD33464901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05" name="Text Box 1">
          <a:extLst>
            <a:ext uri="{FF2B5EF4-FFF2-40B4-BE49-F238E27FC236}">
              <a16:creationId xmlns:a16="http://schemas.microsoft.com/office/drawing/2014/main" id="{CBA7F817-383A-432A-B8D3-7512952F119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06" name="Text Box 2">
          <a:extLst>
            <a:ext uri="{FF2B5EF4-FFF2-40B4-BE49-F238E27FC236}">
              <a16:creationId xmlns:a16="http://schemas.microsoft.com/office/drawing/2014/main" id="{558F531F-0235-4CDB-8892-03A72139B5E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07" name="Text Box 1">
          <a:extLst>
            <a:ext uri="{FF2B5EF4-FFF2-40B4-BE49-F238E27FC236}">
              <a16:creationId xmlns:a16="http://schemas.microsoft.com/office/drawing/2014/main" id="{5FEA86BA-3A5F-4574-B6F1-F09F7187CBF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08" name="Text Box 2">
          <a:extLst>
            <a:ext uri="{FF2B5EF4-FFF2-40B4-BE49-F238E27FC236}">
              <a16:creationId xmlns:a16="http://schemas.microsoft.com/office/drawing/2014/main" id="{BF444E0A-6092-42CD-90DC-55987C5C016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09" name="Text Box 1">
          <a:extLst>
            <a:ext uri="{FF2B5EF4-FFF2-40B4-BE49-F238E27FC236}">
              <a16:creationId xmlns:a16="http://schemas.microsoft.com/office/drawing/2014/main" id="{02BB899A-FF76-412E-8F2C-B3D8720914A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10" name="Text Box 2">
          <a:extLst>
            <a:ext uri="{FF2B5EF4-FFF2-40B4-BE49-F238E27FC236}">
              <a16:creationId xmlns:a16="http://schemas.microsoft.com/office/drawing/2014/main" id="{936A1E4D-BBFB-469B-9439-79988DFE26B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11" name="Text Box 1">
          <a:extLst>
            <a:ext uri="{FF2B5EF4-FFF2-40B4-BE49-F238E27FC236}">
              <a16:creationId xmlns:a16="http://schemas.microsoft.com/office/drawing/2014/main" id="{0B0DBEBE-FE4F-4145-B852-D9247C947FE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12" name="Text Box 2">
          <a:extLst>
            <a:ext uri="{FF2B5EF4-FFF2-40B4-BE49-F238E27FC236}">
              <a16:creationId xmlns:a16="http://schemas.microsoft.com/office/drawing/2014/main" id="{16281801-42CE-4DB1-8041-36503399E75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13" name="Text Box 1">
          <a:extLst>
            <a:ext uri="{FF2B5EF4-FFF2-40B4-BE49-F238E27FC236}">
              <a16:creationId xmlns:a16="http://schemas.microsoft.com/office/drawing/2014/main" id="{37C1C624-A2BC-4097-B37A-74100C98C64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14" name="Text Box 2">
          <a:extLst>
            <a:ext uri="{FF2B5EF4-FFF2-40B4-BE49-F238E27FC236}">
              <a16:creationId xmlns:a16="http://schemas.microsoft.com/office/drawing/2014/main" id="{640F298B-EDF4-49DC-9FBA-EEA645FD609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15" name="Text Box 1">
          <a:extLst>
            <a:ext uri="{FF2B5EF4-FFF2-40B4-BE49-F238E27FC236}">
              <a16:creationId xmlns:a16="http://schemas.microsoft.com/office/drawing/2014/main" id="{EDB1C922-E3B6-41FE-985F-7CCEDC5EC4D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16" name="Text Box 2">
          <a:extLst>
            <a:ext uri="{FF2B5EF4-FFF2-40B4-BE49-F238E27FC236}">
              <a16:creationId xmlns:a16="http://schemas.microsoft.com/office/drawing/2014/main" id="{817C325E-CF82-42AB-BA9A-A1E0A79337F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717" name="Text Box 2">
          <a:extLst>
            <a:ext uri="{FF2B5EF4-FFF2-40B4-BE49-F238E27FC236}">
              <a16:creationId xmlns:a16="http://schemas.microsoft.com/office/drawing/2014/main" id="{26CDAE06-D16D-495D-9BC2-FC5C87F1CE8C}"/>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18" name="Text Box 1">
          <a:extLst>
            <a:ext uri="{FF2B5EF4-FFF2-40B4-BE49-F238E27FC236}">
              <a16:creationId xmlns:a16="http://schemas.microsoft.com/office/drawing/2014/main" id="{DCE80B2A-64F5-4BA2-B181-17EA834BB29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19" name="Text Box 2">
          <a:extLst>
            <a:ext uri="{FF2B5EF4-FFF2-40B4-BE49-F238E27FC236}">
              <a16:creationId xmlns:a16="http://schemas.microsoft.com/office/drawing/2014/main" id="{81DA657E-59C7-491F-B250-97E083B84A5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20" name="Text Box 1">
          <a:extLst>
            <a:ext uri="{FF2B5EF4-FFF2-40B4-BE49-F238E27FC236}">
              <a16:creationId xmlns:a16="http://schemas.microsoft.com/office/drawing/2014/main" id="{B48B5749-8A46-4501-974D-881F3A74B77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21" name="Text Box 2">
          <a:extLst>
            <a:ext uri="{FF2B5EF4-FFF2-40B4-BE49-F238E27FC236}">
              <a16:creationId xmlns:a16="http://schemas.microsoft.com/office/drawing/2014/main" id="{2DE21DE1-C913-4554-A0EB-FE36E0CAF4D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22" name="Text Box 1">
          <a:extLst>
            <a:ext uri="{FF2B5EF4-FFF2-40B4-BE49-F238E27FC236}">
              <a16:creationId xmlns:a16="http://schemas.microsoft.com/office/drawing/2014/main" id="{1BDB9A45-D4FB-45CD-8FFE-D1E9EEBBB98C}"/>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23" name="Text Box 2">
          <a:extLst>
            <a:ext uri="{FF2B5EF4-FFF2-40B4-BE49-F238E27FC236}">
              <a16:creationId xmlns:a16="http://schemas.microsoft.com/office/drawing/2014/main" id="{4D37D5CE-3628-445B-9E4B-D28E36D68881}"/>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24" name="Text Box 1">
          <a:extLst>
            <a:ext uri="{FF2B5EF4-FFF2-40B4-BE49-F238E27FC236}">
              <a16:creationId xmlns:a16="http://schemas.microsoft.com/office/drawing/2014/main" id="{33806686-F4E0-4354-9017-E061DBAF4A2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25" name="Text Box 2">
          <a:extLst>
            <a:ext uri="{FF2B5EF4-FFF2-40B4-BE49-F238E27FC236}">
              <a16:creationId xmlns:a16="http://schemas.microsoft.com/office/drawing/2014/main" id="{200B8B19-13DA-480C-B40E-17838237E9B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726" name="Text Box 2">
          <a:extLst>
            <a:ext uri="{FF2B5EF4-FFF2-40B4-BE49-F238E27FC236}">
              <a16:creationId xmlns:a16="http://schemas.microsoft.com/office/drawing/2014/main" id="{0FEC2AE2-2739-4EAB-B670-12F03DBC673E}"/>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27" name="Text Box 1">
          <a:extLst>
            <a:ext uri="{FF2B5EF4-FFF2-40B4-BE49-F238E27FC236}">
              <a16:creationId xmlns:a16="http://schemas.microsoft.com/office/drawing/2014/main" id="{FA74A9D8-608D-4AAC-A217-D30BDD1DCB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28" name="Text Box 2">
          <a:extLst>
            <a:ext uri="{FF2B5EF4-FFF2-40B4-BE49-F238E27FC236}">
              <a16:creationId xmlns:a16="http://schemas.microsoft.com/office/drawing/2014/main" id="{E5BF38C0-C655-4BD4-9921-76625E8067F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729" name="Text Box 2">
          <a:extLst>
            <a:ext uri="{FF2B5EF4-FFF2-40B4-BE49-F238E27FC236}">
              <a16:creationId xmlns:a16="http://schemas.microsoft.com/office/drawing/2014/main" id="{AF36AEC5-3FFE-4DC5-ACFD-039175184A51}"/>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30" name="Text Box 1">
          <a:extLst>
            <a:ext uri="{FF2B5EF4-FFF2-40B4-BE49-F238E27FC236}">
              <a16:creationId xmlns:a16="http://schemas.microsoft.com/office/drawing/2014/main" id="{479676EE-6FEF-4AD4-B68A-A91D832D777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31" name="Text Box 2">
          <a:extLst>
            <a:ext uri="{FF2B5EF4-FFF2-40B4-BE49-F238E27FC236}">
              <a16:creationId xmlns:a16="http://schemas.microsoft.com/office/drawing/2014/main" id="{457FF58A-A68B-441F-BB26-02518C3A67F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732" name="Text Box 2">
          <a:extLst>
            <a:ext uri="{FF2B5EF4-FFF2-40B4-BE49-F238E27FC236}">
              <a16:creationId xmlns:a16="http://schemas.microsoft.com/office/drawing/2014/main" id="{39A78916-F3F3-4764-B311-31C19C7CBD0A}"/>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33" name="Text Box 1">
          <a:extLst>
            <a:ext uri="{FF2B5EF4-FFF2-40B4-BE49-F238E27FC236}">
              <a16:creationId xmlns:a16="http://schemas.microsoft.com/office/drawing/2014/main" id="{ECFE07DE-D303-42A4-9E1C-77CCB4D2A1C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34" name="Text Box 2">
          <a:extLst>
            <a:ext uri="{FF2B5EF4-FFF2-40B4-BE49-F238E27FC236}">
              <a16:creationId xmlns:a16="http://schemas.microsoft.com/office/drawing/2014/main" id="{931BA540-B6E5-489D-B152-C16A02D6697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735" name="Text Box 2">
          <a:extLst>
            <a:ext uri="{FF2B5EF4-FFF2-40B4-BE49-F238E27FC236}">
              <a16:creationId xmlns:a16="http://schemas.microsoft.com/office/drawing/2014/main" id="{65B37A62-53F9-411C-A167-3DA893A526C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36" name="Text Box 1">
          <a:extLst>
            <a:ext uri="{FF2B5EF4-FFF2-40B4-BE49-F238E27FC236}">
              <a16:creationId xmlns:a16="http://schemas.microsoft.com/office/drawing/2014/main" id="{51C2B21E-B63A-42FD-96C2-715A6201FF8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37" name="Text Box 2">
          <a:extLst>
            <a:ext uri="{FF2B5EF4-FFF2-40B4-BE49-F238E27FC236}">
              <a16:creationId xmlns:a16="http://schemas.microsoft.com/office/drawing/2014/main" id="{0F43135D-FCDC-4DC0-B55E-948FFA968BD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738" name="Text Box 2">
          <a:extLst>
            <a:ext uri="{FF2B5EF4-FFF2-40B4-BE49-F238E27FC236}">
              <a16:creationId xmlns:a16="http://schemas.microsoft.com/office/drawing/2014/main" id="{1378C1B8-BD86-4CE3-B183-3407B270C23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39" name="Text Box 1">
          <a:extLst>
            <a:ext uri="{FF2B5EF4-FFF2-40B4-BE49-F238E27FC236}">
              <a16:creationId xmlns:a16="http://schemas.microsoft.com/office/drawing/2014/main" id="{7FF72376-EDE8-462F-BCB9-1CDB8A9D374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40" name="Text Box 2">
          <a:extLst>
            <a:ext uri="{FF2B5EF4-FFF2-40B4-BE49-F238E27FC236}">
              <a16:creationId xmlns:a16="http://schemas.microsoft.com/office/drawing/2014/main" id="{026492C6-CAAE-4240-B9F6-13DC0BB3FF1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741" name="Text Box 2">
          <a:extLst>
            <a:ext uri="{FF2B5EF4-FFF2-40B4-BE49-F238E27FC236}">
              <a16:creationId xmlns:a16="http://schemas.microsoft.com/office/drawing/2014/main" id="{C4DA34A2-2DAE-4728-9DF8-78B8F0F214F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42" name="Text Box 1">
          <a:extLst>
            <a:ext uri="{FF2B5EF4-FFF2-40B4-BE49-F238E27FC236}">
              <a16:creationId xmlns:a16="http://schemas.microsoft.com/office/drawing/2014/main" id="{7D405CDF-6EF5-424D-AA77-11474A2B56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43" name="Text Box 2">
          <a:extLst>
            <a:ext uri="{FF2B5EF4-FFF2-40B4-BE49-F238E27FC236}">
              <a16:creationId xmlns:a16="http://schemas.microsoft.com/office/drawing/2014/main" id="{2F559A71-F583-47B3-97BA-CBFDD5DA0B4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44" name="Text Box 1">
          <a:extLst>
            <a:ext uri="{FF2B5EF4-FFF2-40B4-BE49-F238E27FC236}">
              <a16:creationId xmlns:a16="http://schemas.microsoft.com/office/drawing/2014/main" id="{6C9BD31C-0421-4BFF-974C-D0A92EAE4FC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45" name="Text Box 2">
          <a:extLst>
            <a:ext uri="{FF2B5EF4-FFF2-40B4-BE49-F238E27FC236}">
              <a16:creationId xmlns:a16="http://schemas.microsoft.com/office/drawing/2014/main" id="{A4E29CDA-36ED-4743-923A-1637265002B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46" name="Text Box 1">
          <a:extLst>
            <a:ext uri="{FF2B5EF4-FFF2-40B4-BE49-F238E27FC236}">
              <a16:creationId xmlns:a16="http://schemas.microsoft.com/office/drawing/2014/main" id="{C7E4CD9F-4D32-4E95-AD54-39794018EBF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47" name="Text Box 2">
          <a:extLst>
            <a:ext uri="{FF2B5EF4-FFF2-40B4-BE49-F238E27FC236}">
              <a16:creationId xmlns:a16="http://schemas.microsoft.com/office/drawing/2014/main" id="{75A2EAB5-35B2-429D-B9C8-A0CB117C950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48" name="Text Box 1">
          <a:extLst>
            <a:ext uri="{FF2B5EF4-FFF2-40B4-BE49-F238E27FC236}">
              <a16:creationId xmlns:a16="http://schemas.microsoft.com/office/drawing/2014/main" id="{4D455EA3-FCB3-4126-B94D-E413FBB4F092}"/>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49" name="Text Box 2">
          <a:extLst>
            <a:ext uri="{FF2B5EF4-FFF2-40B4-BE49-F238E27FC236}">
              <a16:creationId xmlns:a16="http://schemas.microsoft.com/office/drawing/2014/main" id="{10D45110-9E11-4242-91B9-D03BBDACB71B}"/>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50" name="Text Box 1">
          <a:extLst>
            <a:ext uri="{FF2B5EF4-FFF2-40B4-BE49-F238E27FC236}">
              <a16:creationId xmlns:a16="http://schemas.microsoft.com/office/drawing/2014/main" id="{6EC5A5A7-CB54-4C65-B20E-AE6F9A7FEDB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51" name="Text Box 2">
          <a:extLst>
            <a:ext uri="{FF2B5EF4-FFF2-40B4-BE49-F238E27FC236}">
              <a16:creationId xmlns:a16="http://schemas.microsoft.com/office/drawing/2014/main" id="{8AFAA273-B575-4778-BBD4-8E8DA8F0E18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52" name="Text Box 1">
          <a:extLst>
            <a:ext uri="{FF2B5EF4-FFF2-40B4-BE49-F238E27FC236}">
              <a16:creationId xmlns:a16="http://schemas.microsoft.com/office/drawing/2014/main" id="{51F5490E-A706-4150-A6F4-1DEA707D5AE2}"/>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53" name="Text Box 2">
          <a:extLst>
            <a:ext uri="{FF2B5EF4-FFF2-40B4-BE49-F238E27FC236}">
              <a16:creationId xmlns:a16="http://schemas.microsoft.com/office/drawing/2014/main" id="{5EF9B7F4-4DA4-45C0-8F3E-2D32366B6BA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54" name="Text Box 1">
          <a:extLst>
            <a:ext uri="{FF2B5EF4-FFF2-40B4-BE49-F238E27FC236}">
              <a16:creationId xmlns:a16="http://schemas.microsoft.com/office/drawing/2014/main" id="{1599B94B-AE12-4272-B6A6-6662D6C4DB3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55" name="Text Box 2">
          <a:extLst>
            <a:ext uri="{FF2B5EF4-FFF2-40B4-BE49-F238E27FC236}">
              <a16:creationId xmlns:a16="http://schemas.microsoft.com/office/drawing/2014/main" id="{4D07F603-E4D3-430C-B52B-1CADE4B8F2F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56" name="Text Box 1">
          <a:extLst>
            <a:ext uri="{FF2B5EF4-FFF2-40B4-BE49-F238E27FC236}">
              <a16:creationId xmlns:a16="http://schemas.microsoft.com/office/drawing/2014/main" id="{643D3996-88D3-449A-99AC-FDAC8C47A85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57" name="Text Box 2">
          <a:extLst>
            <a:ext uri="{FF2B5EF4-FFF2-40B4-BE49-F238E27FC236}">
              <a16:creationId xmlns:a16="http://schemas.microsoft.com/office/drawing/2014/main" id="{B29B7CE6-9D1B-499A-90A6-8EC3A8DEAA6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58" name="Text Box 1">
          <a:extLst>
            <a:ext uri="{FF2B5EF4-FFF2-40B4-BE49-F238E27FC236}">
              <a16:creationId xmlns:a16="http://schemas.microsoft.com/office/drawing/2014/main" id="{BD151D7B-F5CD-4E3D-931A-19612060556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59" name="Text Box 2">
          <a:extLst>
            <a:ext uri="{FF2B5EF4-FFF2-40B4-BE49-F238E27FC236}">
              <a16:creationId xmlns:a16="http://schemas.microsoft.com/office/drawing/2014/main" id="{0ADCE095-402A-432C-8517-5861CC84644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60" name="Text Box 1">
          <a:extLst>
            <a:ext uri="{FF2B5EF4-FFF2-40B4-BE49-F238E27FC236}">
              <a16:creationId xmlns:a16="http://schemas.microsoft.com/office/drawing/2014/main" id="{010F88DA-97AE-43D9-A472-FB90C10C0D4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61" name="Text Box 2">
          <a:extLst>
            <a:ext uri="{FF2B5EF4-FFF2-40B4-BE49-F238E27FC236}">
              <a16:creationId xmlns:a16="http://schemas.microsoft.com/office/drawing/2014/main" id="{8BDE7DC5-5E01-4E8F-9FA8-4B932B5041C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62" name="Text Box 2">
          <a:extLst>
            <a:ext uri="{FF2B5EF4-FFF2-40B4-BE49-F238E27FC236}">
              <a16:creationId xmlns:a16="http://schemas.microsoft.com/office/drawing/2014/main" id="{B3DCB49B-B2C1-4B34-866F-8CB312986BA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63" name="Text Box 1">
          <a:extLst>
            <a:ext uri="{FF2B5EF4-FFF2-40B4-BE49-F238E27FC236}">
              <a16:creationId xmlns:a16="http://schemas.microsoft.com/office/drawing/2014/main" id="{22E6BE04-090D-460B-B327-4544628E1AF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64" name="Text Box 2">
          <a:extLst>
            <a:ext uri="{FF2B5EF4-FFF2-40B4-BE49-F238E27FC236}">
              <a16:creationId xmlns:a16="http://schemas.microsoft.com/office/drawing/2014/main" id="{3FDE345D-D4D3-4E18-B7CB-45E2EF9530D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65" name="Text Box 1">
          <a:extLst>
            <a:ext uri="{FF2B5EF4-FFF2-40B4-BE49-F238E27FC236}">
              <a16:creationId xmlns:a16="http://schemas.microsoft.com/office/drawing/2014/main" id="{7D9D123C-5FBA-4737-B7D8-FDE7F5003B3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66" name="Text Box 2">
          <a:extLst>
            <a:ext uri="{FF2B5EF4-FFF2-40B4-BE49-F238E27FC236}">
              <a16:creationId xmlns:a16="http://schemas.microsoft.com/office/drawing/2014/main" id="{9052A231-8A0F-4ADA-AAE0-E05903AEFA2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67" name="Text Box 1">
          <a:extLst>
            <a:ext uri="{FF2B5EF4-FFF2-40B4-BE49-F238E27FC236}">
              <a16:creationId xmlns:a16="http://schemas.microsoft.com/office/drawing/2014/main" id="{11B152D9-5C8A-404E-8567-36044457DF9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68" name="Text Box 2">
          <a:extLst>
            <a:ext uri="{FF2B5EF4-FFF2-40B4-BE49-F238E27FC236}">
              <a16:creationId xmlns:a16="http://schemas.microsoft.com/office/drawing/2014/main" id="{77F3B882-C651-467C-9BBE-A519E78D59E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69" name="Text Box 1">
          <a:extLst>
            <a:ext uri="{FF2B5EF4-FFF2-40B4-BE49-F238E27FC236}">
              <a16:creationId xmlns:a16="http://schemas.microsoft.com/office/drawing/2014/main" id="{F85259D5-EBB1-4F30-9E84-491A3982CFA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70" name="Text Box 2">
          <a:extLst>
            <a:ext uri="{FF2B5EF4-FFF2-40B4-BE49-F238E27FC236}">
              <a16:creationId xmlns:a16="http://schemas.microsoft.com/office/drawing/2014/main" id="{14720740-0185-4857-9CC6-D3073D7667E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71" name="Text Box 1">
          <a:extLst>
            <a:ext uri="{FF2B5EF4-FFF2-40B4-BE49-F238E27FC236}">
              <a16:creationId xmlns:a16="http://schemas.microsoft.com/office/drawing/2014/main" id="{70BA910C-7DD3-43FE-AE06-74536ABEB30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72" name="Text Box 2">
          <a:extLst>
            <a:ext uri="{FF2B5EF4-FFF2-40B4-BE49-F238E27FC236}">
              <a16:creationId xmlns:a16="http://schemas.microsoft.com/office/drawing/2014/main" id="{E7C352C2-F34F-447F-85A1-702A4AB24E6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73" name="Text Box 1">
          <a:extLst>
            <a:ext uri="{FF2B5EF4-FFF2-40B4-BE49-F238E27FC236}">
              <a16:creationId xmlns:a16="http://schemas.microsoft.com/office/drawing/2014/main" id="{3A367003-1097-4412-B049-E0BE6A6B95A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74" name="Text Box 2">
          <a:extLst>
            <a:ext uri="{FF2B5EF4-FFF2-40B4-BE49-F238E27FC236}">
              <a16:creationId xmlns:a16="http://schemas.microsoft.com/office/drawing/2014/main" id="{B7B050BC-205F-4C51-9271-88377C37A6D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75" name="Text Box 1">
          <a:extLst>
            <a:ext uri="{FF2B5EF4-FFF2-40B4-BE49-F238E27FC236}">
              <a16:creationId xmlns:a16="http://schemas.microsoft.com/office/drawing/2014/main" id="{373E9B31-CC33-44C2-AA29-CF89AD64684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76" name="Text Box 2">
          <a:extLst>
            <a:ext uri="{FF2B5EF4-FFF2-40B4-BE49-F238E27FC236}">
              <a16:creationId xmlns:a16="http://schemas.microsoft.com/office/drawing/2014/main" id="{845DFE41-F4DB-41A8-B4F6-3A8F4E149BB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77" name="Text Box 1">
          <a:extLst>
            <a:ext uri="{FF2B5EF4-FFF2-40B4-BE49-F238E27FC236}">
              <a16:creationId xmlns:a16="http://schemas.microsoft.com/office/drawing/2014/main" id="{5B0EF19A-F6EA-4A6B-AE2C-48411A80C11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78" name="Text Box 2">
          <a:extLst>
            <a:ext uri="{FF2B5EF4-FFF2-40B4-BE49-F238E27FC236}">
              <a16:creationId xmlns:a16="http://schemas.microsoft.com/office/drawing/2014/main" id="{DB14BDA8-B683-4BA5-B6FB-09F6E92836F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79" name="Text Box 1">
          <a:extLst>
            <a:ext uri="{FF2B5EF4-FFF2-40B4-BE49-F238E27FC236}">
              <a16:creationId xmlns:a16="http://schemas.microsoft.com/office/drawing/2014/main" id="{7C75FD78-B0D5-49ED-904B-B6D660A6C80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80" name="Text Box 2">
          <a:extLst>
            <a:ext uri="{FF2B5EF4-FFF2-40B4-BE49-F238E27FC236}">
              <a16:creationId xmlns:a16="http://schemas.microsoft.com/office/drawing/2014/main" id="{8AD500CC-2C7A-4843-913B-227865B0757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81" name="Text Box 1">
          <a:extLst>
            <a:ext uri="{FF2B5EF4-FFF2-40B4-BE49-F238E27FC236}">
              <a16:creationId xmlns:a16="http://schemas.microsoft.com/office/drawing/2014/main" id="{4C702053-7744-42FF-83E5-BA50672ED88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82" name="Text Box 2">
          <a:extLst>
            <a:ext uri="{FF2B5EF4-FFF2-40B4-BE49-F238E27FC236}">
              <a16:creationId xmlns:a16="http://schemas.microsoft.com/office/drawing/2014/main" id="{93A7AB78-B976-4E7C-B2A4-A7B72A59625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83" name="Text Box 1">
          <a:extLst>
            <a:ext uri="{FF2B5EF4-FFF2-40B4-BE49-F238E27FC236}">
              <a16:creationId xmlns:a16="http://schemas.microsoft.com/office/drawing/2014/main" id="{BE5B51D6-1B9F-4DED-905A-2CCBF4B4D4B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84" name="Text Box 2">
          <a:extLst>
            <a:ext uri="{FF2B5EF4-FFF2-40B4-BE49-F238E27FC236}">
              <a16:creationId xmlns:a16="http://schemas.microsoft.com/office/drawing/2014/main" id="{E797AF7E-31C6-4B24-A54A-7EC8C377A1A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785" name="Text Box 2">
          <a:extLst>
            <a:ext uri="{FF2B5EF4-FFF2-40B4-BE49-F238E27FC236}">
              <a16:creationId xmlns:a16="http://schemas.microsoft.com/office/drawing/2014/main" id="{C33644D1-F999-4D51-92D5-3BCD5AAA5756}"/>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86" name="Text Box 1">
          <a:extLst>
            <a:ext uri="{FF2B5EF4-FFF2-40B4-BE49-F238E27FC236}">
              <a16:creationId xmlns:a16="http://schemas.microsoft.com/office/drawing/2014/main" id="{73F291E3-8AFF-489A-81A8-29E7EC959C1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87" name="Text Box 2">
          <a:extLst>
            <a:ext uri="{FF2B5EF4-FFF2-40B4-BE49-F238E27FC236}">
              <a16:creationId xmlns:a16="http://schemas.microsoft.com/office/drawing/2014/main" id="{A1DC4FB6-7141-4E92-A817-BCABE78328B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88" name="Text Box 1">
          <a:extLst>
            <a:ext uri="{FF2B5EF4-FFF2-40B4-BE49-F238E27FC236}">
              <a16:creationId xmlns:a16="http://schemas.microsoft.com/office/drawing/2014/main" id="{BBEEB6EF-39B4-449F-8F51-4263E303D9F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89" name="Text Box 2">
          <a:extLst>
            <a:ext uri="{FF2B5EF4-FFF2-40B4-BE49-F238E27FC236}">
              <a16:creationId xmlns:a16="http://schemas.microsoft.com/office/drawing/2014/main" id="{9C4B888D-D3BF-40A2-9279-F161D6F2AC9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90" name="Text Box 1">
          <a:extLst>
            <a:ext uri="{FF2B5EF4-FFF2-40B4-BE49-F238E27FC236}">
              <a16:creationId xmlns:a16="http://schemas.microsoft.com/office/drawing/2014/main" id="{49391C23-3B53-4C82-9186-05234AD2942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91" name="Text Box 2">
          <a:extLst>
            <a:ext uri="{FF2B5EF4-FFF2-40B4-BE49-F238E27FC236}">
              <a16:creationId xmlns:a16="http://schemas.microsoft.com/office/drawing/2014/main" id="{E02879DD-E0A9-4E9F-B804-E35E55129AC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92" name="Text Box 1">
          <a:extLst>
            <a:ext uri="{FF2B5EF4-FFF2-40B4-BE49-F238E27FC236}">
              <a16:creationId xmlns:a16="http://schemas.microsoft.com/office/drawing/2014/main" id="{B4999C28-5C17-42AA-B86B-16D2F1059C9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93" name="Text Box 2">
          <a:extLst>
            <a:ext uri="{FF2B5EF4-FFF2-40B4-BE49-F238E27FC236}">
              <a16:creationId xmlns:a16="http://schemas.microsoft.com/office/drawing/2014/main" id="{B0ABBF2D-E137-483F-9685-50A969EF3A5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794" name="Text Box 2">
          <a:extLst>
            <a:ext uri="{FF2B5EF4-FFF2-40B4-BE49-F238E27FC236}">
              <a16:creationId xmlns:a16="http://schemas.microsoft.com/office/drawing/2014/main" id="{F95A548B-9C6A-4918-B816-4FAD6C75CCDA}"/>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95" name="Text Box 1">
          <a:extLst>
            <a:ext uri="{FF2B5EF4-FFF2-40B4-BE49-F238E27FC236}">
              <a16:creationId xmlns:a16="http://schemas.microsoft.com/office/drawing/2014/main" id="{EDF690C9-BE75-46A9-A5D1-2E7E79B8DE5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96" name="Text Box 2">
          <a:extLst>
            <a:ext uri="{FF2B5EF4-FFF2-40B4-BE49-F238E27FC236}">
              <a16:creationId xmlns:a16="http://schemas.microsoft.com/office/drawing/2014/main" id="{8CFF3668-567B-4DDA-B53E-E850DF14B70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797" name="Text Box 2">
          <a:extLst>
            <a:ext uri="{FF2B5EF4-FFF2-40B4-BE49-F238E27FC236}">
              <a16:creationId xmlns:a16="http://schemas.microsoft.com/office/drawing/2014/main" id="{B7C76E1C-435B-47F2-BCD4-1686AC5B6660}"/>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98" name="Text Box 1">
          <a:extLst>
            <a:ext uri="{FF2B5EF4-FFF2-40B4-BE49-F238E27FC236}">
              <a16:creationId xmlns:a16="http://schemas.microsoft.com/office/drawing/2014/main" id="{4468B6CA-16C2-445F-B0C8-50DAD28C02F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99" name="Text Box 2">
          <a:extLst>
            <a:ext uri="{FF2B5EF4-FFF2-40B4-BE49-F238E27FC236}">
              <a16:creationId xmlns:a16="http://schemas.microsoft.com/office/drawing/2014/main" id="{01E71484-171C-4CAE-811E-9F41C717989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800" name="Text Box 2">
          <a:extLst>
            <a:ext uri="{FF2B5EF4-FFF2-40B4-BE49-F238E27FC236}">
              <a16:creationId xmlns:a16="http://schemas.microsoft.com/office/drawing/2014/main" id="{197E46D8-DB58-487B-8A5F-DD6CD86044A8}"/>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01" name="Text Box 1">
          <a:extLst>
            <a:ext uri="{FF2B5EF4-FFF2-40B4-BE49-F238E27FC236}">
              <a16:creationId xmlns:a16="http://schemas.microsoft.com/office/drawing/2014/main" id="{E689B581-15D6-44ED-B814-2299A2E44B9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02" name="Text Box 2">
          <a:extLst>
            <a:ext uri="{FF2B5EF4-FFF2-40B4-BE49-F238E27FC236}">
              <a16:creationId xmlns:a16="http://schemas.microsoft.com/office/drawing/2014/main" id="{40E4EA09-53FE-4DF2-BFEE-752913D1E71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803" name="Text Box 2">
          <a:extLst>
            <a:ext uri="{FF2B5EF4-FFF2-40B4-BE49-F238E27FC236}">
              <a16:creationId xmlns:a16="http://schemas.microsoft.com/office/drawing/2014/main" id="{14F2DB28-B9FC-412D-9C38-7851123138E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04" name="Text Box 1">
          <a:extLst>
            <a:ext uri="{FF2B5EF4-FFF2-40B4-BE49-F238E27FC236}">
              <a16:creationId xmlns:a16="http://schemas.microsoft.com/office/drawing/2014/main" id="{B2431E8A-C8D3-4B11-9949-2A6C6E6B28A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05" name="Text Box 2">
          <a:extLst>
            <a:ext uri="{FF2B5EF4-FFF2-40B4-BE49-F238E27FC236}">
              <a16:creationId xmlns:a16="http://schemas.microsoft.com/office/drawing/2014/main" id="{5B859E66-C131-4902-971E-F5209D5B1F6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806" name="Text Box 2">
          <a:extLst>
            <a:ext uri="{FF2B5EF4-FFF2-40B4-BE49-F238E27FC236}">
              <a16:creationId xmlns:a16="http://schemas.microsoft.com/office/drawing/2014/main" id="{6405A18B-3C03-45AC-BC4D-CF94D0E08E36}"/>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07" name="Text Box 1">
          <a:extLst>
            <a:ext uri="{FF2B5EF4-FFF2-40B4-BE49-F238E27FC236}">
              <a16:creationId xmlns:a16="http://schemas.microsoft.com/office/drawing/2014/main" id="{644BB4F4-7CB3-4043-BF21-84C6F91F418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08" name="Text Box 2">
          <a:extLst>
            <a:ext uri="{FF2B5EF4-FFF2-40B4-BE49-F238E27FC236}">
              <a16:creationId xmlns:a16="http://schemas.microsoft.com/office/drawing/2014/main" id="{3273E372-4B9B-470F-80DC-C9E0964EEEC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809" name="Text Box 2">
          <a:extLst>
            <a:ext uri="{FF2B5EF4-FFF2-40B4-BE49-F238E27FC236}">
              <a16:creationId xmlns:a16="http://schemas.microsoft.com/office/drawing/2014/main" id="{0545F5EA-46B4-4958-9902-C48EC3DCE246}"/>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10" name="Text Box 1">
          <a:extLst>
            <a:ext uri="{FF2B5EF4-FFF2-40B4-BE49-F238E27FC236}">
              <a16:creationId xmlns:a16="http://schemas.microsoft.com/office/drawing/2014/main" id="{6897B841-5BB2-4F94-8656-DEB78E7B626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11" name="Text Box 2">
          <a:extLst>
            <a:ext uri="{FF2B5EF4-FFF2-40B4-BE49-F238E27FC236}">
              <a16:creationId xmlns:a16="http://schemas.microsoft.com/office/drawing/2014/main" id="{585C8C72-ECE1-423D-BD5B-BFC8850AE9A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12" name="Text Box 1">
          <a:extLst>
            <a:ext uri="{FF2B5EF4-FFF2-40B4-BE49-F238E27FC236}">
              <a16:creationId xmlns:a16="http://schemas.microsoft.com/office/drawing/2014/main" id="{80C5BF42-4505-4D40-A7A9-B7021547FF0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13" name="Text Box 2">
          <a:extLst>
            <a:ext uri="{FF2B5EF4-FFF2-40B4-BE49-F238E27FC236}">
              <a16:creationId xmlns:a16="http://schemas.microsoft.com/office/drawing/2014/main" id="{D08C0A8F-2023-4752-9173-00FA5EB8AEE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14" name="Text Box 1">
          <a:extLst>
            <a:ext uri="{FF2B5EF4-FFF2-40B4-BE49-F238E27FC236}">
              <a16:creationId xmlns:a16="http://schemas.microsoft.com/office/drawing/2014/main" id="{0B3E2998-C0BA-4D2A-8744-6A00B205ADA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15" name="Text Box 2">
          <a:extLst>
            <a:ext uri="{FF2B5EF4-FFF2-40B4-BE49-F238E27FC236}">
              <a16:creationId xmlns:a16="http://schemas.microsoft.com/office/drawing/2014/main" id="{089E25BC-5366-4257-A8D4-DAD74F4099E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16" name="Text Box 1">
          <a:extLst>
            <a:ext uri="{FF2B5EF4-FFF2-40B4-BE49-F238E27FC236}">
              <a16:creationId xmlns:a16="http://schemas.microsoft.com/office/drawing/2014/main" id="{00291201-1AED-4914-ADBC-124B1867409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17" name="Text Box 2">
          <a:extLst>
            <a:ext uri="{FF2B5EF4-FFF2-40B4-BE49-F238E27FC236}">
              <a16:creationId xmlns:a16="http://schemas.microsoft.com/office/drawing/2014/main" id="{D9D753D7-BF0C-409E-9A97-264314A36B1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18" name="Text Box 1">
          <a:extLst>
            <a:ext uri="{FF2B5EF4-FFF2-40B4-BE49-F238E27FC236}">
              <a16:creationId xmlns:a16="http://schemas.microsoft.com/office/drawing/2014/main" id="{6DF7DE82-6125-4A18-8961-9582B3B244C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19" name="Text Box 2">
          <a:extLst>
            <a:ext uri="{FF2B5EF4-FFF2-40B4-BE49-F238E27FC236}">
              <a16:creationId xmlns:a16="http://schemas.microsoft.com/office/drawing/2014/main" id="{9D450815-A803-4F81-887E-938CF578CC3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20" name="Text Box 1">
          <a:extLst>
            <a:ext uri="{FF2B5EF4-FFF2-40B4-BE49-F238E27FC236}">
              <a16:creationId xmlns:a16="http://schemas.microsoft.com/office/drawing/2014/main" id="{FB682318-8C94-4BBB-9CAE-A89B1D8774C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21" name="Text Box 2">
          <a:extLst>
            <a:ext uri="{FF2B5EF4-FFF2-40B4-BE49-F238E27FC236}">
              <a16:creationId xmlns:a16="http://schemas.microsoft.com/office/drawing/2014/main" id="{00F8A260-E6E5-44C9-A948-82D59C93415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22" name="Text Box 2">
          <a:extLst>
            <a:ext uri="{FF2B5EF4-FFF2-40B4-BE49-F238E27FC236}">
              <a16:creationId xmlns:a16="http://schemas.microsoft.com/office/drawing/2014/main" id="{A9706A4B-FBD6-4F1B-A8A0-CD4A8D32EF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23" name="Text Box 1">
          <a:extLst>
            <a:ext uri="{FF2B5EF4-FFF2-40B4-BE49-F238E27FC236}">
              <a16:creationId xmlns:a16="http://schemas.microsoft.com/office/drawing/2014/main" id="{95487667-3C4E-4039-BC9C-2306131CBB8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24" name="Text Box 2">
          <a:extLst>
            <a:ext uri="{FF2B5EF4-FFF2-40B4-BE49-F238E27FC236}">
              <a16:creationId xmlns:a16="http://schemas.microsoft.com/office/drawing/2014/main" id="{5274A7DD-3C5F-45AA-90E3-AE1ADA143AA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25" name="Text Box 1">
          <a:extLst>
            <a:ext uri="{FF2B5EF4-FFF2-40B4-BE49-F238E27FC236}">
              <a16:creationId xmlns:a16="http://schemas.microsoft.com/office/drawing/2014/main" id="{3829B836-F19C-48A2-AEBD-B9B405CBBC1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26" name="Text Box 2">
          <a:extLst>
            <a:ext uri="{FF2B5EF4-FFF2-40B4-BE49-F238E27FC236}">
              <a16:creationId xmlns:a16="http://schemas.microsoft.com/office/drawing/2014/main" id="{0C815629-53F1-4919-9DF8-AE41B85CC18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27" name="Text Box 1">
          <a:extLst>
            <a:ext uri="{FF2B5EF4-FFF2-40B4-BE49-F238E27FC236}">
              <a16:creationId xmlns:a16="http://schemas.microsoft.com/office/drawing/2014/main" id="{D4D2C5A3-31B0-40A8-972D-1722FB291D1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28" name="Text Box 2">
          <a:extLst>
            <a:ext uri="{FF2B5EF4-FFF2-40B4-BE49-F238E27FC236}">
              <a16:creationId xmlns:a16="http://schemas.microsoft.com/office/drawing/2014/main" id="{F707B599-152E-480F-87B1-DBE50195F5B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29" name="Text Box 2">
          <a:extLst>
            <a:ext uri="{FF2B5EF4-FFF2-40B4-BE49-F238E27FC236}">
              <a16:creationId xmlns:a16="http://schemas.microsoft.com/office/drawing/2014/main" id="{AE0347D3-15B2-43B0-9B54-389A7479919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30" name="Text Box 1">
          <a:extLst>
            <a:ext uri="{FF2B5EF4-FFF2-40B4-BE49-F238E27FC236}">
              <a16:creationId xmlns:a16="http://schemas.microsoft.com/office/drawing/2014/main" id="{5DFD5A01-6E61-48D6-B2F7-F99277402A4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31" name="Text Box 2">
          <a:extLst>
            <a:ext uri="{FF2B5EF4-FFF2-40B4-BE49-F238E27FC236}">
              <a16:creationId xmlns:a16="http://schemas.microsoft.com/office/drawing/2014/main" id="{AFEBF866-9BAB-4E8A-9097-E39AD893228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32" name="Text Box 1">
          <a:extLst>
            <a:ext uri="{FF2B5EF4-FFF2-40B4-BE49-F238E27FC236}">
              <a16:creationId xmlns:a16="http://schemas.microsoft.com/office/drawing/2014/main" id="{E3FFE56E-EB4D-461F-B344-37C670EF9C6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33" name="Text Box 2">
          <a:extLst>
            <a:ext uri="{FF2B5EF4-FFF2-40B4-BE49-F238E27FC236}">
              <a16:creationId xmlns:a16="http://schemas.microsoft.com/office/drawing/2014/main" id="{5553C3B7-EA4C-4492-8393-D336024DB50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34" name="Text Box 1">
          <a:extLst>
            <a:ext uri="{FF2B5EF4-FFF2-40B4-BE49-F238E27FC236}">
              <a16:creationId xmlns:a16="http://schemas.microsoft.com/office/drawing/2014/main" id="{1D5C7450-1C57-4853-AD00-25AC27EDD67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35" name="Text Box 2">
          <a:extLst>
            <a:ext uri="{FF2B5EF4-FFF2-40B4-BE49-F238E27FC236}">
              <a16:creationId xmlns:a16="http://schemas.microsoft.com/office/drawing/2014/main" id="{BF17EC46-7BB3-4AF0-A64A-448786BD9FF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36" name="Text Box 1">
          <a:extLst>
            <a:ext uri="{FF2B5EF4-FFF2-40B4-BE49-F238E27FC236}">
              <a16:creationId xmlns:a16="http://schemas.microsoft.com/office/drawing/2014/main" id="{49A62CB1-C625-4ED3-875C-1F9E271C3AD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37" name="Text Box 2">
          <a:extLst>
            <a:ext uri="{FF2B5EF4-FFF2-40B4-BE49-F238E27FC236}">
              <a16:creationId xmlns:a16="http://schemas.microsoft.com/office/drawing/2014/main" id="{B4353C57-41CE-43CC-B0C6-E92F8626258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38" name="Text Box 1">
          <a:extLst>
            <a:ext uri="{FF2B5EF4-FFF2-40B4-BE49-F238E27FC236}">
              <a16:creationId xmlns:a16="http://schemas.microsoft.com/office/drawing/2014/main" id="{E1918459-7C9A-45A7-B42C-D41A25668A6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39" name="Text Box 2">
          <a:extLst>
            <a:ext uri="{FF2B5EF4-FFF2-40B4-BE49-F238E27FC236}">
              <a16:creationId xmlns:a16="http://schemas.microsoft.com/office/drawing/2014/main" id="{697D3CDC-8E07-4ADE-9C40-F38E4DCE996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40" name="Text Box 1">
          <a:extLst>
            <a:ext uri="{FF2B5EF4-FFF2-40B4-BE49-F238E27FC236}">
              <a16:creationId xmlns:a16="http://schemas.microsoft.com/office/drawing/2014/main" id="{02E511EC-4D7C-4099-900C-B049C40C3F9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41" name="Text Box 2">
          <a:extLst>
            <a:ext uri="{FF2B5EF4-FFF2-40B4-BE49-F238E27FC236}">
              <a16:creationId xmlns:a16="http://schemas.microsoft.com/office/drawing/2014/main" id="{06BDA11F-A90E-411E-9279-DAA4F6CBBF6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42" name="Text Box 1">
          <a:extLst>
            <a:ext uri="{FF2B5EF4-FFF2-40B4-BE49-F238E27FC236}">
              <a16:creationId xmlns:a16="http://schemas.microsoft.com/office/drawing/2014/main" id="{51E53E24-0ABE-4B5E-BC67-E915B1F6B88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43" name="Text Box 2">
          <a:extLst>
            <a:ext uri="{FF2B5EF4-FFF2-40B4-BE49-F238E27FC236}">
              <a16:creationId xmlns:a16="http://schemas.microsoft.com/office/drawing/2014/main" id="{2CE8F8CC-F63A-4AB7-990C-B7D00D45629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44" name="Text Box 1">
          <a:extLst>
            <a:ext uri="{FF2B5EF4-FFF2-40B4-BE49-F238E27FC236}">
              <a16:creationId xmlns:a16="http://schemas.microsoft.com/office/drawing/2014/main" id="{B19BC386-53F8-408F-A73E-B730D9225AE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45" name="Text Box 2">
          <a:extLst>
            <a:ext uri="{FF2B5EF4-FFF2-40B4-BE49-F238E27FC236}">
              <a16:creationId xmlns:a16="http://schemas.microsoft.com/office/drawing/2014/main" id="{9B028B45-CDEA-4F4A-B126-9EF269E5D02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46" name="Text Box 1">
          <a:extLst>
            <a:ext uri="{FF2B5EF4-FFF2-40B4-BE49-F238E27FC236}">
              <a16:creationId xmlns:a16="http://schemas.microsoft.com/office/drawing/2014/main" id="{7707588C-6C3A-49B8-AE21-7BEF9954FBB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47" name="Text Box 2">
          <a:extLst>
            <a:ext uri="{FF2B5EF4-FFF2-40B4-BE49-F238E27FC236}">
              <a16:creationId xmlns:a16="http://schemas.microsoft.com/office/drawing/2014/main" id="{0F81B1A7-99FE-490B-86F2-253D4D40605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48" name="Text Box 1">
          <a:extLst>
            <a:ext uri="{FF2B5EF4-FFF2-40B4-BE49-F238E27FC236}">
              <a16:creationId xmlns:a16="http://schemas.microsoft.com/office/drawing/2014/main" id="{CF4D6693-9BB3-452A-A83C-E5CDAA7AFB5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49" name="Text Box 2">
          <a:extLst>
            <a:ext uri="{FF2B5EF4-FFF2-40B4-BE49-F238E27FC236}">
              <a16:creationId xmlns:a16="http://schemas.microsoft.com/office/drawing/2014/main" id="{8FDE347A-AB6A-4D86-B237-E65665AC7CC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50" name="Text Box 1">
          <a:extLst>
            <a:ext uri="{FF2B5EF4-FFF2-40B4-BE49-F238E27FC236}">
              <a16:creationId xmlns:a16="http://schemas.microsoft.com/office/drawing/2014/main" id="{C22CBA51-76CB-42F5-8EA9-5F907BCCAF3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51" name="Text Box 2">
          <a:extLst>
            <a:ext uri="{FF2B5EF4-FFF2-40B4-BE49-F238E27FC236}">
              <a16:creationId xmlns:a16="http://schemas.microsoft.com/office/drawing/2014/main" id="{F7EAB1DE-D6FA-48C0-8D52-C9191CA9FC8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52" name="Text Box 1">
          <a:extLst>
            <a:ext uri="{FF2B5EF4-FFF2-40B4-BE49-F238E27FC236}">
              <a16:creationId xmlns:a16="http://schemas.microsoft.com/office/drawing/2014/main" id="{188E51D6-1A87-42F4-BD52-A678A43692B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53" name="Text Box 2">
          <a:extLst>
            <a:ext uri="{FF2B5EF4-FFF2-40B4-BE49-F238E27FC236}">
              <a16:creationId xmlns:a16="http://schemas.microsoft.com/office/drawing/2014/main" id="{375C3484-E26A-406E-861D-D671A3F0EE0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54" name="Text Box 1">
          <a:extLst>
            <a:ext uri="{FF2B5EF4-FFF2-40B4-BE49-F238E27FC236}">
              <a16:creationId xmlns:a16="http://schemas.microsoft.com/office/drawing/2014/main" id="{64275547-9233-459B-AA65-4DF51F58506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55" name="Text Box 2">
          <a:extLst>
            <a:ext uri="{FF2B5EF4-FFF2-40B4-BE49-F238E27FC236}">
              <a16:creationId xmlns:a16="http://schemas.microsoft.com/office/drawing/2014/main" id="{82E70F42-7878-42E5-8792-951C22D138F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56" name="Text Box 1">
          <a:extLst>
            <a:ext uri="{FF2B5EF4-FFF2-40B4-BE49-F238E27FC236}">
              <a16:creationId xmlns:a16="http://schemas.microsoft.com/office/drawing/2014/main" id="{F47F23B8-B5C2-4909-ADBB-DB45BE0D99A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57" name="Text Box 2">
          <a:extLst>
            <a:ext uri="{FF2B5EF4-FFF2-40B4-BE49-F238E27FC236}">
              <a16:creationId xmlns:a16="http://schemas.microsoft.com/office/drawing/2014/main" id="{09E1257F-BEE1-4493-BA40-B12A5ED8BE9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58" name="Text Box 1">
          <a:extLst>
            <a:ext uri="{FF2B5EF4-FFF2-40B4-BE49-F238E27FC236}">
              <a16:creationId xmlns:a16="http://schemas.microsoft.com/office/drawing/2014/main" id="{3073E891-912F-4152-82F9-A6A872139D8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59" name="Text Box 2">
          <a:extLst>
            <a:ext uri="{FF2B5EF4-FFF2-40B4-BE49-F238E27FC236}">
              <a16:creationId xmlns:a16="http://schemas.microsoft.com/office/drawing/2014/main" id="{50F791F6-5A7F-4C76-A460-74EC306D286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60" name="Text Box 1">
          <a:extLst>
            <a:ext uri="{FF2B5EF4-FFF2-40B4-BE49-F238E27FC236}">
              <a16:creationId xmlns:a16="http://schemas.microsoft.com/office/drawing/2014/main" id="{F85A8D61-97D5-40BC-A474-1373C44D29C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61" name="Text Box 2">
          <a:extLst>
            <a:ext uri="{FF2B5EF4-FFF2-40B4-BE49-F238E27FC236}">
              <a16:creationId xmlns:a16="http://schemas.microsoft.com/office/drawing/2014/main" id="{4A6C8816-C59C-45C8-A510-90A1C62BEBA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62" name="Text Box 1">
          <a:extLst>
            <a:ext uri="{FF2B5EF4-FFF2-40B4-BE49-F238E27FC236}">
              <a16:creationId xmlns:a16="http://schemas.microsoft.com/office/drawing/2014/main" id="{1EC71053-5E69-45B6-9FBC-BC3D828C2AC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63" name="Text Box 2">
          <a:extLst>
            <a:ext uri="{FF2B5EF4-FFF2-40B4-BE49-F238E27FC236}">
              <a16:creationId xmlns:a16="http://schemas.microsoft.com/office/drawing/2014/main" id="{9542135B-9C05-4136-8B09-C850E5336FB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64" name="Text Box 1">
          <a:extLst>
            <a:ext uri="{FF2B5EF4-FFF2-40B4-BE49-F238E27FC236}">
              <a16:creationId xmlns:a16="http://schemas.microsoft.com/office/drawing/2014/main" id="{904F7C4A-8279-427E-901D-01D34FECA78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65" name="Text Box 2">
          <a:extLst>
            <a:ext uri="{FF2B5EF4-FFF2-40B4-BE49-F238E27FC236}">
              <a16:creationId xmlns:a16="http://schemas.microsoft.com/office/drawing/2014/main" id="{E41488AB-631B-4AED-9C61-4DBF574B3C4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66" name="Text Box 1">
          <a:extLst>
            <a:ext uri="{FF2B5EF4-FFF2-40B4-BE49-F238E27FC236}">
              <a16:creationId xmlns:a16="http://schemas.microsoft.com/office/drawing/2014/main" id="{A7FAA00C-4753-45B7-BD7A-76C52148C62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67" name="Text Box 2">
          <a:extLst>
            <a:ext uri="{FF2B5EF4-FFF2-40B4-BE49-F238E27FC236}">
              <a16:creationId xmlns:a16="http://schemas.microsoft.com/office/drawing/2014/main" id="{1895E934-4E32-4352-8533-195327D402B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68" name="Text Box 1">
          <a:extLst>
            <a:ext uri="{FF2B5EF4-FFF2-40B4-BE49-F238E27FC236}">
              <a16:creationId xmlns:a16="http://schemas.microsoft.com/office/drawing/2014/main" id="{7B2AA489-D9E5-44FA-94E1-E177E27A3AC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69" name="Text Box 2">
          <a:extLst>
            <a:ext uri="{FF2B5EF4-FFF2-40B4-BE49-F238E27FC236}">
              <a16:creationId xmlns:a16="http://schemas.microsoft.com/office/drawing/2014/main" id="{86AD394B-BBEF-40CE-AE9A-1F69539C9AC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70" name="Text Box 1">
          <a:extLst>
            <a:ext uri="{FF2B5EF4-FFF2-40B4-BE49-F238E27FC236}">
              <a16:creationId xmlns:a16="http://schemas.microsoft.com/office/drawing/2014/main" id="{CC9F07E5-7AA7-4333-885C-853A9CA7A8C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71" name="Text Box 2">
          <a:extLst>
            <a:ext uri="{FF2B5EF4-FFF2-40B4-BE49-F238E27FC236}">
              <a16:creationId xmlns:a16="http://schemas.microsoft.com/office/drawing/2014/main" id="{9A49A6FA-FC28-4040-B510-0D30BF7C9CD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72" name="Text Box 1">
          <a:extLst>
            <a:ext uri="{FF2B5EF4-FFF2-40B4-BE49-F238E27FC236}">
              <a16:creationId xmlns:a16="http://schemas.microsoft.com/office/drawing/2014/main" id="{9ECD01A8-EEE3-4AA6-A3AC-67DA0D3FCDB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73" name="Text Box 2">
          <a:extLst>
            <a:ext uri="{FF2B5EF4-FFF2-40B4-BE49-F238E27FC236}">
              <a16:creationId xmlns:a16="http://schemas.microsoft.com/office/drawing/2014/main" id="{94BDBFFD-D3C8-4A89-BA43-ABB4D1BEC8A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74" name="Text Box 1">
          <a:extLst>
            <a:ext uri="{FF2B5EF4-FFF2-40B4-BE49-F238E27FC236}">
              <a16:creationId xmlns:a16="http://schemas.microsoft.com/office/drawing/2014/main" id="{6BF16C49-B8C7-43E0-834B-4BCBB5D6882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75" name="Text Box 2">
          <a:extLst>
            <a:ext uri="{FF2B5EF4-FFF2-40B4-BE49-F238E27FC236}">
              <a16:creationId xmlns:a16="http://schemas.microsoft.com/office/drawing/2014/main" id="{139334A9-C796-46DC-AFBE-B942E6192D8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76" name="Text Box 1">
          <a:extLst>
            <a:ext uri="{FF2B5EF4-FFF2-40B4-BE49-F238E27FC236}">
              <a16:creationId xmlns:a16="http://schemas.microsoft.com/office/drawing/2014/main" id="{107CB8C9-D452-4C2A-8A02-071258B9601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77" name="Text Box 2">
          <a:extLst>
            <a:ext uri="{FF2B5EF4-FFF2-40B4-BE49-F238E27FC236}">
              <a16:creationId xmlns:a16="http://schemas.microsoft.com/office/drawing/2014/main" id="{B1A7C492-59A5-4F5D-BE07-833461D955B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78" name="Text Box 1">
          <a:extLst>
            <a:ext uri="{FF2B5EF4-FFF2-40B4-BE49-F238E27FC236}">
              <a16:creationId xmlns:a16="http://schemas.microsoft.com/office/drawing/2014/main" id="{F09309D9-734F-4052-9D19-D5AF2EB5E53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79" name="Text Box 2">
          <a:extLst>
            <a:ext uri="{FF2B5EF4-FFF2-40B4-BE49-F238E27FC236}">
              <a16:creationId xmlns:a16="http://schemas.microsoft.com/office/drawing/2014/main" id="{517594EB-721C-49A5-9F42-E72754B3A7A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80" name="Text Box 1">
          <a:extLst>
            <a:ext uri="{FF2B5EF4-FFF2-40B4-BE49-F238E27FC236}">
              <a16:creationId xmlns:a16="http://schemas.microsoft.com/office/drawing/2014/main" id="{D71BCFF0-2A2C-4F08-81AB-EEAE3A37798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81" name="Text Box 2">
          <a:extLst>
            <a:ext uri="{FF2B5EF4-FFF2-40B4-BE49-F238E27FC236}">
              <a16:creationId xmlns:a16="http://schemas.microsoft.com/office/drawing/2014/main" id="{FD8943FD-EAC8-4C18-81E2-7BACBB87D52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82" name="Text Box 1">
          <a:extLst>
            <a:ext uri="{FF2B5EF4-FFF2-40B4-BE49-F238E27FC236}">
              <a16:creationId xmlns:a16="http://schemas.microsoft.com/office/drawing/2014/main" id="{8C40A083-0F0B-46F7-B29B-4AA3B4E549E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83" name="Text Box 2">
          <a:extLst>
            <a:ext uri="{FF2B5EF4-FFF2-40B4-BE49-F238E27FC236}">
              <a16:creationId xmlns:a16="http://schemas.microsoft.com/office/drawing/2014/main" id="{523A2406-4977-41D5-ADC9-FEC0CFF8E1D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84" name="Text Box 1">
          <a:extLst>
            <a:ext uri="{FF2B5EF4-FFF2-40B4-BE49-F238E27FC236}">
              <a16:creationId xmlns:a16="http://schemas.microsoft.com/office/drawing/2014/main" id="{C60ADC55-2392-4AE0-9294-6C4A967F8E2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85" name="Text Box 2">
          <a:extLst>
            <a:ext uri="{FF2B5EF4-FFF2-40B4-BE49-F238E27FC236}">
              <a16:creationId xmlns:a16="http://schemas.microsoft.com/office/drawing/2014/main" id="{9FA65DCD-0F7B-4AA7-98C7-9A615B3247BD}"/>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86" name="Text Box 1">
          <a:extLst>
            <a:ext uri="{FF2B5EF4-FFF2-40B4-BE49-F238E27FC236}">
              <a16:creationId xmlns:a16="http://schemas.microsoft.com/office/drawing/2014/main" id="{9DB03EF9-B303-4E49-86A2-428D1BE065C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87" name="Text Box 2">
          <a:extLst>
            <a:ext uri="{FF2B5EF4-FFF2-40B4-BE49-F238E27FC236}">
              <a16:creationId xmlns:a16="http://schemas.microsoft.com/office/drawing/2014/main" id="{84546F98-E7A5-4244-9D39-C4CAACE8AC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88" name="Text Box 1">
          <a:extLst>
            <a:ext uri="{FF2B5EF4-FFF2-40B4-BE49-F238E27FC236}">
              <a16:creationId xmlns:a16="http://schemas.microsoft.com/office/drawing/2014/main" id="{D7883DEC-2AD8-4C17-A44E-5E4012AFA8C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89" name="Text Box 2">
          <a:extLst>
            <a:ext uri="{FF2B5EF4-FFF2-40B4-BE49-F238E27FC236}">
              <a16:creationId xmlns:a16="http://schemas.microsoft.com/office/drawing/2014/main" id="{6D14D9E3-AE13-41F1-A5FC-56CA4B8184D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90" name="Text Box 1">
          <a:extLst>
            <a:ext uri="{FF2B5EF4-FFF2-40B4-BE49-F238E27FC236}">
              <a16:creationId xmlns:a16="http://schemas.microsoft.com/office/drawing/2014/main" id="{98C17E74-5734-4ECC-ACAB-650F4BC4C01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91" name="Text Box 2">
          <a:extLst>
            <a:ext uri="{FF2B5EF4-FFF2-40B4-BE49-F238E27FC236}">
              <a16:creationId xmlns:a16="http://schemas.microsoft.com/office/drawing/2014/main" id="{E59B7D3F-5E25-49D0-9AC4-69F5FBD15D9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92" name="Text Box 1">
          <a:extLst>
            <a:ext uri="{FF2B5EF4-FFF2-40B4-BE49-F238E27FC236}">
              <a16:creationId xmlns:a16="http://schemas.microsoft.com/office/drawing/2014/main" id="{B0D2AA56-9694-420C-AA6A-947188137DF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93" name="Text Box 2">
          <a:extLst>
            <a:ext uri="{FF2B5EF4-FFF2-40B4-BE49-F238E27FC236}">
              <a16:creationId xmlns:a16="http://schemas.microsoft.com/office/drawing/2014/main" id="{7FD1B893-F7A0-4FD8-8C6C-4D352067062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94" name="Text Box 1">
          <a:extLst>
            <a:ext uri="{FF2B5EF4-FFF2-40B4-BE49-F238E27FC236}">
              <a16:creationId xmlns:a16="http://schemas.microsoft.com/office/drawing/2014/main" id="{FCCD73DB-1496-4C4F-81BD-BEEA10B1B40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95" name="Text Box 2">
          <a:extLst>
            <a:ext uri="{FF2B5EF4-FFF2-40B4-BE49-F238E27FC236}">
              <a16:creationId xmlns:a16="http://schemas.microsoft.com/office/drawing/2014/main" id="{055B9601-D4A1-49B0-83C7-CFAFBE96681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96" name="Text Box 1">
          <a:extLst>
            <a:ext uri="{FF2B5EF4-FFF2-40B4-BE49-F238E27FC236}">
              <a16:creationId xmlns:a16="http://schemas.microsoft.com/office/drawing/2014/main" id="{E46C3FA1-89A9-4C66-BCB7-CE98381EB3A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97" name="Text Box 2">
          <a:extLst>
            <a:ext uri="{FF2B5EF4-FFF2-40B4-BE49-F238E27FC236}">
              <a16:creationId xmlns:a16="http://schemas.microsoft.com/office/drawing/2014/main" id="{9594BC0A-EAEB-49D8-A1C5-692EC167C9E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98" name="Text Box 1">
          <a:extLst>
            <a:ext uri="{FF2B5EF4-FFF2-40B4-BE49-F238E27FC236}">
              <a16:creationId xmlns:a16="http://schemas.microsoft.com/office/drawing/2014/main" id="{6C7D1E51-194D-4EA7-AE8A-AB4CC194C8A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99" name="Text Box 2">
          <a:extLst>
            <a:ext uri="{FF2B5EF4-FFF2-40B4-BE49-F238E27FC236}">
              <a16:creationId xmlns:a16="http://schemas.microsoft.com/office/drawing/2014/main" id="{F9F8E3B7-3620-4354-B83D-FF886D8B29F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00" name="Text Box 1">
          <a:extLst>
            <a:ext uri="{FF2B5EF4-FFF2-40B4-BE49-F238E27FC236}">
              <a16:creationId xmlns:a16="http://schemas.microsoft.com/office/drawing/2014/main" id="{185E09A6-8900-4E7E-A167-4361369A994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01" name="Text Box 2">
          <a:extLst>
            <a:ext uri="{FF2B5EF4-FFF2-40B4-BE49-F238E27FC236}">
              <a16:creationId xmlns:a16="http://schemas.microsoft.com/office/drawing/2014/main" id="{2B266905-412F-4DEE-97B8-9F7D7CDABF4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02" name="Text Box 1">
          <a:extLst>
            <a:ext uri="{FF2B5EF4-FFF2-40B4-BE49-F238E27FC236}">
              <a16:creationId xmlns:a16="http://schemas.microsoft.com/office/drawing/2014/main" id="{B4EB4DBB-EF70-4F0A-ABD8-1F0D96D68A7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03" name="Text Box 2">
          <a:extLst>
            <a:ext uri="{FF2B5EF4-FFF2-40B4-BE49-F238E27FC236}">
              <a16:creationId xmlns:a16="http://schemas.microsoft.com/office/drawing/2014/main" id="{E4022E50-00C8-4CFC-8EC4-F8D6890C1F1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04" name="Text Box 1">
          <a:extLst>
            <a:ext uri="{FF2B5EF4-FFF2-40B4-BE49-F238E27FC236}">
              <a16:creationId xmlns:a16="http://schemas.microsoft.com/office/drawing/2014/main" id="{9E5B3744-CDAC-4812-9410-FC07865A48F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05" name="Text Box 2">
          <a:extLst>
            <a:ext uri="{FF2B5EF4-FFF2-40B4-BE49-F238E27FC236}">
              <a16:creationId xmlns:a16="http://schemas.microsoft.com/office/drawing/2014/main" id="{EB64B3B8-9F89-4DD6-B2B6-567AF5377F6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06" name="Text Box 1">
          <a:extLst>
            <a:ext uri="{FF2B5EF4-FFF2-40B4-BE49-F238E27FC236}">
              <a16:creationId xmlns:a16="http://schemas.microsoft.com/office/drawing/2014/main" id="{414BABF9-7352-4A74-B32B-B7F95B19BC0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07" name="Text Box 2">
          <a:extLst>
            <a:ext uri="{FF2B5EF4-FFF2-40B4-BE49-F238E27FC236}">
              <a16:creationId xmlns:a16="http://schemas.microsoft.com/office/drawing/2014/main" id="{A0EA2646-3759-49BB-B49B-71853F508EC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08" name="Text Box 1">
          <a:extLst>
            <a:ext uri="{FF2B5EF4-FFF2-40B4-BE49-F238E27FC236}">
              <a16:creationId xmlns:a16="http://schemas.microsoft.com/office/drawing/2014/main" id="{05F8C2E2-6958-49D3-AAC6-D59B4346ED1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09" name="Text Box 2">
          <a:extLst>
            <a:ext uri="{FF2B5EF4-FFF2-40B4-BE49-F238E27FC236}">
              <a16:creationId xmlns:a16="http://schemas.microsoft.com/office/drawing/2014/main" id="{EB27743F-179F-4EC8-8D9A-6E0CE988856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10" name="Text Box 1">
          <a:extLst>
            <a:ext uri="{FF2B5EF4-FFF2-40B4-BE49-F238E27FC236}">
              <a16:creationId xmlns:a16="http://schemas.microsoft.com/office/drawing/2014/main" id="{56F89ED1-FFAB-45BD-A734-F52D82B5ECB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11" name="Text Box 2">
          <a:extLst>
            <a:ext uri="{FF2B5EF4-FFF2-40B4-BE49-F238E27FC236}">
              <a16:creationId xmlns:a16="http://schemas.microsoft.com/office/drawing/2014/main" id="{CB2924E9-F14E-458D-94F3-35D3EB33482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12" name="Text Box 1">
          <a:extLst>
            <a:ext uri="{FF2B5EF4-FFF2-40B4-BE49-F238E27FC236}">
              <a16:creationId xmlns:a16="http://schemas.microsoft.com/office/drawing/2014/main" id="{03143076-DF9F-4267-A7D8-7BA4ACE431E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13" name="Text Box 2">
          <a:extLst>
            <a:ext uri="{FF2B5EF4-FFF2-40B4-BE49-F238E27FC236}">
              <a16:creationId xmlns:a16="http://schemas.microsoft.com/office/drawing/2014/main" id="{87A70475-979D-4463-A72E-980898D0B03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14" name="Text Box 1">
          <a:extLst>
            <a:ext uri="{FF2B5EF4-FFF2-40B4-BE49-F238E27FC236}">
              <a16:creationId xmlns:a16="http://schemas.microsoft.com/office/drawing/2014/main" id="{C1FA425F-38C1-4DBC-B29D-7B678E63A17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15" name="Text Box 2">
          <a:extLst>
            <a:ext uri="{FF2B5EF4-FFF2-40B4-BE49-F238E27FC236}">
              <a16:creationId xmlns:a16="http://schemas.microsoft.com/office/drawing/2014/main" id="{E55CAE21-D336-4852-B256-0F8B8273B12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16" name="Text Box 1">
          <a:extLst>
            <a:ext uri="{FF2B5EF4-FFF2-40B4-BE49-F238E27FC236}">
              <a16:creationId xmlns:a16="http://schemas.microsoft.com/office/drawing/2014/main" id="{A16103E7-9352-4FE6-92C8-73248E89297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17" name="Text Box 2">
          <a:extLst>
            <a:ext uri="{FF2B5EF4-FFF2-40B4-BE49-F238E27FC236}">
              <a16:creationId xmlns:a16="http://schemas.microsoft.com/office/drawing/2014/main" id="{C43CF350-E2C1-41E6-BCEB-A1F16F9E033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18" name="Text Box 1">
          <a:extLst>
            <a:ext uri="{FF2B5EF4-FFF2-40B4-BE49-F238E27FC236}">
              <a16:creationId xmlns:a16="http://schemas.microsoft.com/office/drawing/2014/main" id="{7576C27F-E606-45FE-AA5E-622187FACE0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19" name="Text Box 2">
          <a:extLst>
            <a:ext uri="{FF2B5EF4-FFF2-40B4-BE49-F238E27FC236}">
              <a16:creationId xmlns:a16="http://schemas.microsoft.com/office/drawing/2014/main" id="{59BE0330-285D-4EE5-B863-CFFEE1A3A9F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20" name="Text Box 1">
          <a:extLst>
            <a:ext uri="{FF2B5EF4-FFF2-40B4-BE49-F238E27FC236}">
              <a16:creationId xmlns:a16="http://schemas.microsoft.com/office/drawing/2014/main" id="{5D3CB636-AAC2-46F8-8A97-662845A54D2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21" name="Text Box 2">
          <a:extLst>
            <a:ext uri="{FF2B5EF4-FFF2-40B4-BE49-F238E27FC236}">
              <a16:creationId xmlns:a16="http://schemas.microsoft.com/office/drawing/2014/main" id="{CE33A2F9-6D4A-440D-835B-89A73D3F464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22" name="Text Box 1">
          <a:extLst>
            <a:ext uri="{FF2B5EF4-FFF2-40B4-BE49-F238E27FC236}">
              <a16:creationId xmlns:a16="http://schemas.microsoft.com/office/drawing/2014/main" id="{CB9792F8-4A5A-4721-A1D0-C651740F154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23" name="Text Box 2">
          <a:extLst>
            <a:ext uri="{FF2B5EF4-FFF2-40B4-BE49-F238E27FC236}">
              <a16:creationId xmlns:a16="http://schemas.microsoft.com/office/drawing/2014/main" id="{F7E50AC1-6390-4961-AE25-B7E097321271}"/>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24" name="Text Box 1">
          <a:extLst>
            <a:ext uri="{FF2B5EF4-FFF2-40B4-BE49-F238E27FC236}">
              <a16:creationId xmlns:a16="http://schemas.microsoft.com/office/drawing/2014/main" id="{133ACD99-AD96-4E7E-BFC5-6DE7395939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25" name="Text Box 2">
          <a:extLst>
            <a:ext uri="{FF2B5EF4-FFF2-40B4-BE49-F238E27FC236}">
              <a16:creationId xmlns:a16="http://schemas.microsoft.com/office/drawing/2014/main" id="{FF6D9EC5-B09B-46B7-A6C8-DF0A5B16C33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26" name="Text Box 1">
          <a:extLst>
            <a:ext uri="{FF2B5EF4-FFF2-40B4-BE49-F238E27FC236}">
              <a16:creationId xmlns:a16="http://schemas.microsoft.com/office/drawing/2014/main" id="{31E134D6-524D-48EA-AE65-BAE6C8AFB43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27" name="Text Box 2">
          <a:extLst>
            <a:ext uri="{FF2B5EF4-FFF2-40B4-BE49-F238E27FC236}">
              <a16:creationId xmlns:a16="http://schemas.microsoft.com/office/drawing/2014/main" id="{43F81A34-A3CE-4423-914B-2B702949064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28" name="Text Box 1">
          <a:extLst>
            <a:ext uri="{FF2B5EF4-FFF2-40B4-BE49-F238E27FC236}">
              <a16:creationId xmlns:a16="http://schemas.microsoft.com/office/drawing/2014/main" id="{3973D2D5-7B9C-4BDF-9150-FAEBE5AB943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29" name="Text Box 2">
          <a:extLst>
            <a:ext uri="{FF2B5EF4-FFF2-40B4-BE49-F238E27FC236}">
              <a16:creationId xmlns:a16="http://schemas.microsoft.com/office/drawing/2014/main" id="{8B4F5651-271C-4228-9D38-782D03DCA5A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30" name="Text Box 1">
          <a:extLst>
            <a:ext uri="{FF2B5EF4-FFF2-40B4-BE49-F238E27FC236}">
              <a16:creationId xmlns:a16="http://schemas.microsoft.com/office/drawing/2014/main" id="{6CB4ACBE-649A-410E-B245-05D3E1A221B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31" name="Text Box 2">
          <a:extLst>
            <a:ext uri="{FF2B5EF4-FFF2-40B4-BE49-F238E27FC236}">
              <a16:creationId xmlns:a16="http://schemas.microsoft.com/office/drawing/2014/main" id="{84B3DD65-245A-4D98-BDF5-108BFBEF0C7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32" name="Text Box 1">
          <a:extLst>
            <a:ext uri="{FF2B5EF4-FFF2-40B4-BE49-F238E27FC236}">
              <a16:creationId xmlns:a16="http://schemas.microsoft.com/office/drawing/2014/main" id="{E7D7DDF7-35B2-414F-B5B5-FE87C8419B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33" name="Text Box 2">
          <a:extLst>
            <a:ext uri="{FF2B5EF4-FFF2-40B4-BE49-F238E27FC236}">
              <a16:creationId xmlns:a16="http://schemas.microsoft.com/office/drawing/2014/main" id="{CEB9B277-5C4B-42CF-B62F-2468F7503CE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34" name="Text Box 1">
          <a:extLst>
            <a:ext uri="{FF2B5EF4-FFF2-40B4-BE49-F238E27FC236}">
              <a16:creationId xmlns:a16="http://schemas.microsoft.com/office/drawing/2014/main" id="{45C27319-D2F5-449F-A665-D0511997CAC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35" name="Text Box 2">
          <a:extLst>
            <a:ext uri="{FF2B5EF4-FFF2-40B4-BE49-F238E27FC236}">
              <a16:creationId xmlns:a16="http://schemas.microsoft.com/office/drawing/2014/main" id="{7E5CC32D-C3D5-4A1D-835C-79029D85408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36" name="Text Box 1">
          <a:extLst>
            <a:ext uri="{FF2B5EF4-FFF2-40B4-BE49-F238E27FC236}">
              <a16:creationId xmlns:a16="http://schemas.microsoft.com/office/drawing/2014/main" id="{60A38DD5-16A1-4C2A-A4FE-625B9E579B1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37" name="Text Box 2">
          <a:extLst>
            <a:ext uri="{FF2B5EF4-FFF2-40B4-BE49-F238E27FC236}">
              <a16:creationId xmlns:a16="http://schemas.microsoft.com/office/drawing/2014/main" id="{1C2CEADC-D9E2-4118-82A3-EA98F7A444A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38" name="Text Box 1">
          <a:extLst>
            <a:ext uri="{FF2B5EF4-FFF2-40B4-BE49-F238E27FC236}">
              <a16:creationId xmlns:a16="http://schemas.microsoft.com/office/drawing/2014/main" id="{FBCF8B3F-EBEF-43AE-99D3-01FDC6910CD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39" name="Text Box 2">
          <a:extLst>
            <a:ext uri="{FF2B5EF4-FFF2-40B4-BE49-F238E27FC236}">
              <a16:creationId xmlns:a16="http://schemas.microsoft.com/office/drawing/2014/main" id="{C1DE86A4-A895-447C-B39F-ECBB9B8A806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40" name="Text Box 1">
          <a:extLst>
            <a:ext uri="{FF2B5EF4-FFF2-40B4-BE49-F238E27FC236}">
              <a16:creationId xmlns:a16="http://schemas.microsoft.com/office/drawing/2014/main" id="{29ABA9B0-ADA5-44F6-BB6A-9180ABF75DD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41" name="Text Box 2">
          <a:extLst>
            <a:ext uri="{FF2B5EF4-FFF2-40B4-BE49-F238E27FC236}">
              <a16:creationId xmlns:a16="http://schemas.microsoft.com/office/drawing/2014/main" id="{FADBABB4-16CC-41A7-B32D-586B9A12502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42" name="Text Box 1">
          <a:extLst>
            <a:ext uri="{FF2B5EF4-FFF2-40B4-BE49-F238E27FC236}">
              <a16:creationId xmlns:a16="http://schemas.microsoft.com/office/drawing/2014/main" id="{0AD4AA22-5613-4F06-B9BD-08499CB87CC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43" name="Text Box 2">
          <a:extLst>
            <a:ext uri="{FF2B5EF4-FFF2-40B4-BE49-F238E27FC236}">
              <a16:creationId xmlns:a16="http://schemas.microsoft.com/office/drawing/2014/main" id="{5A9E30EA-B96D-4EA2-B03D-B752CEF2014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44" name="Text Box 1">
          <a:extLst>
            <a:ext uri="{FF2B5EF4-FFF2-40B4-BE49-F238E27FC236}">
              <a16:creationId xmlns:a16="http://schemas.microsoft.com/office/drawing/2014/main" id="{F9F0DF30-D4CF-4A87-B505-C4C6412ABEB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45" name="Text Box 2">
          <a:extLst>
            <a:ext uri="{FF2B5EF4-FFF2-40B4-BE49-F238E27FC236}">
              <a16:creationId xmlns:a16="http://schemas.microsoft.com/office/drawing/2014/main" id="{D11CE251-2274-44E8-98D6-2FAE2706389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46" name="Text Box 1">
          <a:extLst>
            <a:ext uri="{FF2B5EF4-FFF2-40B4-BE49-F238E27FC236}">
              <a16:creationId xmlns:a16="http://schemas.microsoft.com/office/drawing/2014/main" id="{BE436847-EDC5-40EB-BF23-1D88CF55DCF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47" name="Text Box 2">
          <a:extLst>
            <a:ext uri="{FF2B5EF4-FFF2-40B4-BE49-F238E27FC236}">
              <a16:creationId xmlns:a16="http://schemas.microsoft.com/office/drawing/2014/main" id="{70F4DF98-B844-4EBF-8CDC-0314E39AC38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48" name="Text Box 1">
          <a:extLst>
            <a:ext uri="{FF2B5EF4-FFF2-40B4-BE49-F238E27FC236}">
              <a16:creationId xmlns:a16="http://schemas.microsoft.com/office/drawing/2014/main" id="{C79353D0-97A2-47A4-8D1A-E4EDC917CAE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49" name="Text Box 2">
          <a:extLst>
            <a:ext uri="{FF2B5EF4-FFF2-40B4-BE49-F238E27FC236}">
              <a16:creationId xmlns:a16="http://schemas.microsoft.com/office/drawing/2014/main" id="{DA7750B2-D8CD-4E48-B856-6C12824623C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50" name="Text Box 1">
          <a:extLst>
            <a:ext uri="{FF2B5EF4-FFF2-40B4-BE49-F238E27FC236}">
              <a16:creationId xmlns:a16="http://schemas.microsoft.com/office/drawing/2014/main" id="{63CCF4DA-7C9D-4D8A-982C-91FAEB454CB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51" name="Text Box 2">
          <a:extLst>
            <a:ext uri="{FF2B5EF4-FFF2-40B4-BE49-F238E27FC236}">
              <a16:creationId xmlns:a16="http://schemas.microsoft.com/office/drawing/2014/main" id="{ED0F1295-8EE2-41D9-ABFB-40AF4F846F3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52" name="Text Box 1">
          <a:extLst>
            <a:ext uri="{FF2B5EF4-FFF2-40B4-BE49-F238E27FC236}">
              <a16:creationId xmlns:a16="http://schemas.microsoft.com/office/drawing/2014/main" id="{0D3E734B-0E7F-458E-9F0A-CC317F647CC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53" name="Text Box 2">
          <a:extLst>
            <a:ext uri="{FF2B5EF4-FFF2-40B4-BE49-F238E27FC236}">
              <a16:creationId xmlns:a16="http://schemas.microsoft.com/office/drawing/2014/main" id="{4CA5C48B-57BA-4ACD-AD79-8004CFDD449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54" name="Text Box 1">
          <a:extLst>
            <a:ext uri="{FF2B5EF4-FFF2-40B4-BE49-F238E27FC236}">
              <a16:creationId xmlns:a16="http://schemas.microsoft.com/office/drawing/2014/main" id="{7AAEEE8D-33C7-4142-9BCA-EC036240DB4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55" name="Text Box 2">
          <a:extLst>
            <a:ext uri="{FF2B5EF4-FFF2-40B4-BE49-F238E27FC236}">
              <a16:creationId xmlns:a16="http://schemas.microsoft.com/office/drawing/2014/main" id="{D14CB99D-054D-4916-9241-5F4FB5FF6A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56" name="Text Box 1">
          <a:extLst>
            <a:ext uri="{FF2B5EF4-FFF2-40B4-BE49-F238E27FC236}">
              <a16:creationId xmlns:a16="http://schemas.microsoft.com/office/drawing/2014/main" id="{9D54071C-AEB5-4C84-9E30-AF06F41D814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57" name="Text Box 2">
          <a:extLst>
            <a:ext uri="{FF2B5EF4-FFF2-40B4-BE49-F238E27FC236}">
              <a16:creationId xmlns:a16="http://schemas.microsoft.com/office/drawing/2014/main" id="{DEFA1EC9-DFA4-4686-9C3C-2BCC3BC5DD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58" name="Text Box 1">
          <a:extLst>
            <a:ext uri="{FF2B5EF4-FFF2-40B4-BE49-F238E27FC236}">
              <a16:creationId xmlns:a16="http://schemas.microsoft.com/office/drawing/2014/main" id="{F19AC7AF-AEA7-4781-A1E0-EABFC2ED43E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59" name="Text Box 2">
          <a:extLst>
            <a:ext uri="{FF2B5EF4-FFF2-40B4-BE49-F238E27FC236}">
              <a16:creationId xmlns:a16="http://schemas.microsoft.com/office/drawing/2014/main" id="{1866DAA5-FD3F-4EFF-B831-79B8EFBCF00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60" name="Text Box 1">
          <a:extLst>
            <a:ext uri="{FF2B5EF4-FFF2-40B4-BE49-F238E27FC236}">
              <a16:creationId xmlns:a16="http://schemas.microsoft.com/office/drawing/2014/main" id="{192A92EF-EC33-4788-846D-10607932BB0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61" name="Text Box 2">
          <a:extLst>
            <a:ext uri="{FF2B5EF4-FFF2-40B4-BE49-F238E27FC236}">
              <a16:creationId xmlns:a16="http://schemas.microsoft.com/office/drawing/2014/main" id="{3120830E-EBE2-4E4E-B3E7-94D7C95FAE8D}"/>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62" name="Text Box 1">
          <a:extLst>
            <a:ext uri="{FF2B5EF4-FFF2-40B4-BE49-F238E27FC236}">
              <a16:creationId xmlns:a16="http://schemas.microsoft.com/office/drawing/2014/main" id="{624A3969-AC59-487E-9AC2-55022FAEB58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63" name="Text Box 2">
          <a:extLst>
            <a:ext uri="{FF2B5EF4-FFF2-40B4-BE49-F238E27FC236}">
              <a16:creationId xmlns:a16="http://schemas.microsoft.com/office/drawing/2014/main" id="{56FF4DA2-4186-4B27-AE3F-8B62F5673A8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64" name="Text Box 1">
          <a:extLst>
            <a:ext uri="{FF2B5EF4-FFF2-40B4-BE49-F238E27FC236}">
              <a16:creationId xmlns:a16="http://schemas.microsoft.com/office/drawing/2014/main" id="{EF55CEF7-A571-4997-9299-8F89273C31F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65" name="Text Box 2">
          <a:extLst>
            <a:ext uri="{FF2B5EF4-FFF2-40B4-BE49-F238E27FC236}">
              <a16:creationId xmlns:a16="http://schemas.microsoft.com/office/drawing/2014/main" id="{1DC614F3-6567-4047-8ECC-402264F9572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66" name="Text Box 1">
          <a:extLst>
            <a:ext uri="{FF2B5EF4-FFF2-40B4-BE49-F238E27FC236}">
              <a16:creationId xmlns:a16="http://schemas.microsoft.com/office/drawing/2014/main" id="{58AE5DE6-6D4B-4F65-9C1B-F0840A426D4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67" name="Text Box 2">
          <a:extLst>
            <a:ext uri="{FF2B5EF4-FFF2-40B4-BE49-F238E27FC236}">
              <a16:creationId xmlns:a16="http://schemas.microsoft.com/office/drawing/2014/main" id="{FDFCBCD3-6CA4-4017-A3F5-F17A0EFB4B0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68" name="Text Box 1">
          <a:extLst>
            <a:ext uri="{FF2B5EF4-FFF2-40B4-BE49-F238E27FC236}">
              <a16:creationId xmlns:a16="http://schemas.microsoft.com/office/drawing/2014/main" id="{6705AE3A-43A5-4332-9487-3B84F98DD13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69" name="Text Box 2">
          <a:extLst>
            <a:ext uri="{FF2B5EF4-FFF2-40B4-BE49-F238E27FC236}">
              <a16:creationId xmlns:a16="http://schemas.microsoft.com/office/drawing/2014/main" id="{FD81ADD0-903B-4A46-938E-AB3DFCA10E1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70" name="Text Box 1">
          <a:extLst>
            <a:ext uri="{FF2B5EF4-FFF2-40B4-BE49-F238E27FC236}">
              <a16:creationId xmlns:a16="http://schemas.microsoft.com/office/drawing/2014/main" id="{45ADD584-24C9-4B02-B267-4DB27CABB09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71" name="Text Box 2">
          <a:extLst>
            <a:ext uri="{FF2B5EF4-FFF2-40B4-BE49-F238E27FC236}">
              <a16:creationId xmlns:a16="http://schemas.microsoft.com/office/drawing/2014/main" id="{AF95E433-B33E-4268-A45B-988CFF310B6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72" name="Text Box 1">
          <a:extLst>
            <a:ext uri="{FF2B5EF4-FFF2-40B4-BE49-F238E27FC236}">
              <a16:creationId xmlns:a16="http://schemas.microsoft.com/office/drawing/2014/main" id="{780C2AA0-50FE-486B-9F1F-AFE4344F288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73" name="Text Box 2">
          <a:extLst>
            <a:ext uri="{FF2B5EF4-FFF2-40B4-BE49-F238E27FC236}">
              <a16:creationId xmlns:a16="http://schemas.microsoft.com/office/drawing/2014/main" id="{AFFC91B5-CE88-4CB8-A9C3-D2B8847CD38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74" name="Text Box 1">
          <a:extLst>
            <a:ext uri="{FF2B5EF4-FFF2-40B4-BE49-F238E27FC236}">
              <a16:creationId xmlns:a16="http://schemas.microsoft.com/office/drawing/2014/main" id="{64FC8D6B-E2D3-40C4-8E3A-53612168A54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75" name="Text Box 2">
          <a:extLst>
            <a:ext uri="{FF2B5EF4-FFF2-40B4-BE49-F238E27FC236}">
              <a16:creationId xmlns:a16="http://schemas.microsoft.com/office/drawing/2014/main" id="{B4971BCB-C977-470E-BFF6-D2D0B3E5837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76" name="Text Box 1">
          <a:extLst>
            <a:ext uri="{FF2B5EF4-FFF2-40B4-BE49-F238E27FC236}">
              <a16:creationId xmlns:a16="http://schemas.microsoft.com/office/drawing/2014/main" id="{700F7F12-C54C-4F92-A80C-33A43ED597F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77" name="Text Box 2">
          <a:extLst>
            <a:ext uri="{FF2B5EF4-FFF2-40B4-BE49-F238E27FC236}">
              <a16:creationId xmlns:a16="http://schemas.microsoft.com/office/drawing/2014/main" id="{69D12420-A1EF-4457-B6F7-BC8D12E8CAB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78" name="Text Box 1">
          <a:extLst>
            <a:ext uri="{FF2B5EF4-FFF2-40B4-BE49-F238E27FC236}">
              <a16:creationId xmlns:a16="http://schemas.microsoft.com/office/drawing/2014/main" id="{81E34BAD-CB8C-4262-88FA-0FF5085B6B4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79" name="Text Box 2">
          <a:extLst>
            <a:ext uri="{FF2B5EF4-FFF2-40B4-BE49-F238E27FC236}">
              <a16:creationId xmlns:a16="http://schemas.microsoft.com/office/drawing/2014/main" id="{E7D9F55A-1566-4E48-A6E3-E8723A1F4AF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80" name="Text Box 1">
          <a:extLst>
            <a:ext uri="{FF2B5EF4-FFF2-40B4-BE49-F238E27FC236}">
              <a16:creationId xmlns:a16="http://schemas.microsoft.com/office/drawing/2014/main" id="{AD91CD7E-6D44-4B1E-91D5-AB9F2725D08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81" name="Text Box 2">
          <a:extLst>
            <a:ext uri="{FF2B5EF4-FFF2-40B4-BE49-F238E27FC236}">
              <a16:creationId xmlns:a16="http://schemas.microsoft.com/office/drawing/2014/main" id="{7072AE1B-1425-4595-9EE3-52AF8706B07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82" name="Text Box 1">
          <a:extLst>
            <a:ext uri="{FF2B5EF4-FFF2-40B4-BE49-F238E27FC236}">
              <a16:creationId xmlns:a16="http://schemas.microsoft.com/office/drawing/2014/main" id="{D77F260B-0304-4C24-A646-D3B47C71E3E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83" name="Text Box 2">
          <a:extLst>
            <a:ext uri="{FF2B5EF4-FFF2-40B4-BE49-F238E27FC236}">
              <a16:creationId xmlns:a16="http://schemas.microsoft.com/office/drawing/2014/main" id="{F4DCD135-B88E-43BE-9748-5719F82D6D5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84" name="Text Box 1">
          <a:extLst>
            <a:ext uri="{FF2B5EF4-FFF2-40B4-BE49-F238E27FC236}">
              <a16:creationId xmlns:a16="http://schemas.microsoft.com/office/drawing/2014/main" id="{9B18C6D3-BC40-4FC6-94C7-B89E198BAFA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85" name="Text Box 2">
          <a:extLst>
            <a:ext uri="{FF2B5EF4-FFF2-40B4-BE49-F238E27FC236}">
              <a16:creationId xmlns:a16="http://schemas.microsoft.com/office/drawing/2014/main" id="{CD15EABD-8C34-41E4-8C43-51A54F0B75A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86" name="Text Box 1">
          <a:extLst>
            <a:ext uri="{FF2B5EF4-FFF2-40B4-BE49-F238E27FC236}">
              <a16:creationId xmlns:a16="http://schemas.microsoft.com/office/drawing/2014/main" id="{B9E51C0F-EC5D-48FE-A291-B63174A5EFF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87" name="Text Box 2">
          <a:extLst>
            <a:ext uri="{FF2B5EF4-FFF2-40B4-BE49-F238E27FC236}">
              <a16:creationId xmlns:a16="http://schemas.microsoft.com/office/drawing/2014/main" id="{4CB5C1DE-E590-45B3-A862-7089E888E2A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88" name="Text Box 1">
          <a:extLst>
            <a:ext uri="{FF2B5EF4-FFF2-40B4-BE49-F238E27FC236}">
              <a16:creationId xmlns:a16="http://schemas.microsoft.com/office/drawing/2014/main" id="{4877D85A-B16D-409C-B74B-4E1EEA62516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89" name="Text Box 2">
          <a:extLst>
            <a:ext uri="{FF2B5EF4-FFF2-40B4-BE49-F238E27FC236}">
              <a16:creationId xmlns:a16="http://schemas.microsoft.com/office/drawing/2014/main" id="{6733FA06-750A-4A78-BFFC-392EB7F1846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90" name="Text Box 1">
          <a:extLst>
            <a:ext uri="{FF2B5EF4-FFF2-40B4-BE49-F238E27FC236}">
              <a16:creationId xmlns:a16="http://schemas.microsoft.com/office/drawing/2014/main" id="{0A31529F-D2E4-4945-A23A-6448304EC47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91" name="Text Box 2">
          <a:extLst>
            <a:ext uri="{FF2B5EF4-FFF2-40B4-BE49-F238E27FC236}">
              <a16:creationId xmlns:a16="http://schemas.microsoft.com/office/drawing/2014/main" id="{3B759C01-A8A9-45F9-85D7-DB2336C0F1E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92" name="Text Box 1">
          <a:extLst>
            <a:ext uri="{FF2B5EF4-FFF2-40B4-BE49-F238E27FC236}">
              <a16:creationId xmlns:a16="http://schemas.microsoft.com/office/drawing/2014/main" id="{0630DDB6-1338-4743-8C46-7FA78F61850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93" name="Text Box 2">
          <a:extLst>
            <a:ext uri="{FF2B5EF4-FFF2-40B4-BE49-F238E27FC236}">
              <a16:creationId xmlns:a16="http://schemas.microsoft.com/office/drawing/2014/main" id="{164E6AF8-392F-4060-9943-DBC54B2F76A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94" name="Text Box 1">
          <a:extLst>
            <a:ext uri="{FF2B5EF4-FFF2-40B4-BE49-F238E27FC236}">
              <a16:creationId xmlns:a16="http://schemas.microsoft.com/office/drawing/2014/main" id="{D5CD4602-6E3B-40A1-8E76-6FE0FE8ED10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95" name="Text Box 2">
          <a:extLst>
            <a:ext uri="{FF2B5EF4-FFF2-40B4-BE49-F238E27FC236}">
              <a16:creationId xmlns:a16="http://schemas.microsoft.com/office/drawing/2014/main" id="{60886DA5-9F3B-4E45-969C-E42E4194F76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96" name="Text Box 1">
          <a:extLst>
            <a:ext uri="{FF2B5EF4-FFF2-40B4-BE49-F238E27FC236}">
              <a16:creationId xmlns:a16="http://schemas.microsoft.com/office/drawing/2014/main" id="{00C480BA-75B6-4CB9-A1F9-576E278F143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97" name="Text Box 2">
          <a:extLst>
            <a:ext uri="{FF2B5EF4-FFF2-40B4-BE49-F238E27FC236}">
              <a16:creationId xmlns:a16="http://schemas.microsoft.com/office/drawing/2014/main" id="{74E70136-BF96-4B9E-A3E5-F875A9E83EF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98" name="Text Box 1">
          <a:extLst>
            <a:ext uri="{FF2B5EF4-FFF2-40B4-BE49-F238E27FC236}">
              <a16:creationId xmlns:a16="http://schemas.microsoft.com/office/drawing/2014/main" id="{C84F47A8-381A-43D4-9305-569D98A3EF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99" name="Text Box 2">
          <a:extLst>
            <a:ext uri="{FF2B5EF4-FFF2-40B4-BE49-F238E27FC236}">
              <a16:creationId xmlns:a16="http://schemas.microsoft.com/office/drawing/2014/main" id="{1D99653A-FEEE-4923-99EF-11DDBFE3E7A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00" name="Text Box 1">
          <a:extLst>
            <a:ext uri="{FF2B5EF4-FFF2-40B4-BE49-F238E27FC236}">
              <a16:creationId xmlns:a16="http://schemas.microsoft.com/office/drawing/2014/main" id="{5D685BEF-0E18-44F0-8D86-C4F762D47C0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01" name="Text Box 2">
          <a:extLst>
            <a:ext uri="{FF2B5EF4-FFF2-40B4-BE49-F238E27FC236}">
              <a16:creationId xmlns:a16="http://schemas.microsoft.com/office/drawing/2014/main" id="{DA67ED71-0F2C-43FC-8886-E734696916C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02" name="Text Box 1">
          <a:extLst>
            <a:ext uri="{FF2B5EF4-FFF2-40B4-BE49-F238E27FC236}">
              <a16:creationId xmlns:a16="http://schemas.microsoft.com/office/drawing/2014/main" id="{08F609F3-B7DB-4DF5-8AE4-F48655FC4CD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03" name="Text Box 2">
          <a:extLst>
            <a:ext uri="{FF2B5EF4-FFF2-40B4-BE49-F238E27FC236}">
              <a16:creationId xmlns:a16="http://schemas.microsoft.com/office/drawing/2014/main" id="{4370A3B4-F693-406D-BF8C-0884E685990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04" name="Text Box 1">
          <a:extLst>
            <a:ext uri="{FF2B5EF4-FFF2-40B4-BE49-F238E27FC236}">
              <a16:creationId xmlns:a16="http://schemas.microsoft.com/office/drawing/2014/main" id="{49447023-2D5E-44B6-AB84-159AC559F52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05" name="Text Box 2">
          <a:extLst>
            <a:ext uri="{FF2B5EF4-FFF2-40B4-BE49-F238E27FC236}">
              <a16:creationId xmlns:a16="http://schemas.microsoft.com/office/drawing/2014/main" id="{C95775B9-A97E-40EA-ABBC-8E366587B7F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06" name="Text Box 1">
          <a:extLst>
            <a:ext uri="{FF2B5EF4-FFF2-40B4-BE49-F238E27FC236}">
              <a16:creationId xmlns:a16="http://schemas.microsoft.com/office/drawing/2014/main" id="{7ADD7B9B-6F77-43EB-A0EF-2A9AF8C4DA0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07" name="Text Box 2">
          <a:extLst>
            <a:ext uri="{FF2B5EF4-FFF2-40B4-BE49-F238E27FC236}">
              <a16:creationId xmlns:a16="http://schemas.microsoft.com/office/drawing/2014/main" id="{83D36274-46EB-4D47-9396-0CB43A2200C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08" name="Text Box 1">
          <a:extLst>
            <a:ext uri="{FF2B5EF4-FFF2-40B4-BE49-F238E27FC236}">
              <a16:creationId xmlns:a16="http://schemas.microsoft.com/office/drawing/2014/main" id="{9C96266E-247F-4C57-A918-418C4ADDB11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09" name="Text Box 2">
          <a:extLst>
            <a:ext uri="{FF2B5EF4-FFF2-40B4-BE49-F238E27FC236}">
              <a16:creationId xmlns:a16="http://schemas.microsoft.com/office/drawing/2014/main" id="{DF64DA6B-15C8-4E37-B715-802E69858CB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010" name="Text Box 2">
          <a:extLst>
            <a:ext uri="{FF2B5EF4-FFF2-40B4-BE49-F238E27FC236}">
              <a16:creationId xmlns:a16="http://schemas.microsoft.com/office/drawing/2014/main" id="{4A27DB9C-3734-48FC-B5E3-CD87AEEEB321}"/>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11" name="Text Box 1">
          <a:extLst>
            <a:ext uri="{FF2B5EF4-FFF2-40B4-BE49-F238E27FC236}">
              <a16:creationId xmlns:a16="http://schemas.microsoft.com/office/drawing/2014/main" id="{055186B3-07AE-4B34-A61D-25CF7326FCB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12" name="Text Box 2">
          <a:extLst>
            <a:ext uri="{FF2B5EF4-FFF2-40B4-BE49-F238E27FC236}">
              <a16:creationId xmlns:a16="http://schemas.microsoft.com/office/drawing/2014/main" id="{BA17ED30-314B-4E09-B5B5-06A24659685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13" name="Text Box 1">
          <a:extLst>
            <a:ext uri="{FF2B5EF4-FFF2-40B4-BE49-F238E27FC236}">
              <a16:creationId xmlns:a16="http://schemas.microsoft.com/office/drawing/2014/main" id="{5BB5ACA6-D600-4CDA-8C73-9CEF8D6A48C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14" name="Text Box 2">
          <a:extLst>
            <a:ext uri="{FF2B5EF4-FFF2-40B4-BE49-F238E27FC236}">
              <a16:creationId xmlns:a16="http://schemas.microsoft.com/office/drawing/2014/main" id="{8D9CB818-3B94-4005-8930-1FA70E7A7B7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015" name="Text Box 1">
          <a:extLst>
            <a:ext uri="{FF2B5EF4-FFF2-40B4-BE49-F238E27FC236}">
              <a16:creationId xmlns:a16="http://schemas.microsoft.com/office/drawing/2014/main" id="{DBA2437B-2A32-451A-9DD8-A4E2A62A662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016" name="Text Box 2">
          <a:extLst>
            <a:ext uri="{FF2B5EF4-FFF2-40B4-BE49-F238E27FC236}">
              <a16:creationId xmlns:a16="http://schemas.microsoft.com/office/drawing/2014/main" id="{D9A37572-7DB5-4451-9198-15D800965DA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17" name="Text Box 1">
          <a:extLst>
            <a:ext uri="{FF2B5EF4-FFF2-40B4-BE49-F238E27FC236}">
              <a16:creationId xmlns:a16="http://schemas.microsoft.com/office/drawing/2014/main" id="{54E7E113-26C7-4BBF-BCFF-C63657043D2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18" name="Text Box 2">
          <a:extLst>
            <a:ext uri="{FF2B5EF4-FFF2-40B4-BE49-F238E27FC236}">
              <a16:creationId xmlns:a16="http://schemas.microsoft.com/office/drawing/2014/main" id="{8165D835-D8FA-4D21-B575-F776033C487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19" name="Text Box 2">
          <a:extLst>
            <a:ext uri="{FF2B5EF4-FFF2-40B4-BE49-F238E27FC236}">
              <a16:creationId xmlns:a16="http://schemas.microsoft.com/office/drawing/2014/main" id="{BCE52393-A141-4DBC-8EBA-14C245D989BB}"/>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20" name="Text Box 1">
          <a:extLst>
            <a:ext uri="{FF2B5EF4-FFF2-40B4-BE49-F238E27FC236}">
              <a16:creationId xmlns:a16="http://schemas.microsoft.com/office/drawing/2014/main" id="{DB3AD5FD-95AF-4918-9457-AF6E16A307F0}"/>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21" name="Text Box 2">
          <a:extLst>
            <a:ext uri="{FF2B5EF4-FFF2-40B4-BE49-F238E27FC236}">
              <a16:creationId xmlns:a16="http://schemas.microsoft.com/office/drawing/2014/main" id="{7818F535-CC44-4333-B062-BA645E67E442}"/>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022" name="Text Box 2">
          <a:extLst>
            <a:ext uri="{FF2B5EF4-FFF2-40B4-BE49-F238E27FC236}">
              <a16:creationId xmlns:a16="http://schemas.microsoft.com/office/drawing/2014/main" id="{6E6D7AD8-6AD6-441A-8A4C-BA3CFAA4747C}"/>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23" name="Text Box 1">
          <a:extLst>
            <a:ext uri="{FF2B5EF4-FFF2-40B4-BE49-F238E27FC236}">
              <a16:creationId xmlns:a16="http://schemas.microsoft.com/office/drawing/2014/main" id="{C1F7478C-2CC3-4310-9037-49F73395729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24" name="Text Box 2">
          <a:extLst>
            <a:ext uri="{FF2B5EF4-FFF2-40B4-BE49-F238E27FC236}">
              <a16:creationId xmlns:a16="http://schemas.microsoft.com/office/drawing/2014/main" id="{57F318B3-35EB-4FE4-A268-1FBEE7CD9AF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25" name="Text Box 2">
          <a:extLst>
            <a:ext uri="{FF2B5EF4-FFF2-40B4-BE49-F238E27FC236}">
              <a16:creationId xmlns:a16="http://schemas.microsoft.com/office/drawing/2014/main" id="{639F66C3-C228-4E7D-A5F8-3839DB6685F5}"/>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26" name="Text Box 1">
          <a:extLst>
            <a:ext uri="{FF2B5EF4-FFF2-40B4-BE49-F238E27FC236}">
              <a16:creationId xmlns:a16="http://schemas.microsoft.com/office/drawing/2014/main" id="{2C4E58C7-1E77-48A7-BFA6-FFB5DECE1026}"/>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27" name="Text Box 2">
          <a:extLst>
            <a:ext uri="{FF2B5EF4-FFF2-40B4-BE49-F238E27FC236}">
              <a16:creationId xmlns:a16="http://schemas.microsoft.com/office/drawing/2014/main" id="{3E2FEA3E-A02A-4AF2-9CBD-05811E04DC25}"/>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028" name="Text Box 2">
          <a:extLst>
            <a:ext uri="{FF2B5EF4-FFF2-40B4-BE49-F238E27FC236}">
              <a16:creationId xmlns:a16="http://schemas.microsoft.com/office/drawing/2014/main" id="{BDB85A48-9245-47A1-99C5-9AAA9FC80078}"/>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29" name="Text Box 1">
          <a:extLst>
            <a:ext uri="{FF2B5EF4-FFF2-40B4-BE49-F238E27FC236}">
              <a16:creationId xmlns:a16="http://schemas.microsoft.com/office/drawing/2014/main" id="{23A2497C-CA9D-43B5-814A-2E8C5A9F5B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30" name="Text Box 2">
          <a:extLst>
            <a:ext uri="{FF2B5EF4-FFF2-40B4-BE49-F238E27FC236}">
              <a16:creationId xmlns:a16="http://schemas.microsoft.com/office/drawing/2014/main" id="{61F495EA-FDAF-4794-827C-559B1DE08FD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31" name="Text Box 2">
          <a:extLst>
            <a:ext uri="{FF2B5EF4-FFF2-40B4-BE49-F238E27FC236}">
              <a16:creationId xmlns:a16="http://schemas.microsoft.com/office/drawing/2014/main" id="{84AFF2AC-84CD-4E0B-8EC7-AB483778E1F8}"/>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32" name="Text Box 1">
          <a:extLst>
            <a:ext uri="{FF2B5EF4-FFF2-40B4-BE49-F238E27FC236}">
              <a16:creationId xmlns:a16="http://schemas.microsoft.com/office/drawing/2014/main" id="{F552E1B1-715E-4E2E-B66E-19D365BD22F7}"/>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33" name="Text Box 2">
          <a:extLst>
            <a:ext uri="{FF2B5EF4-FFF2-40B4-BE49-F238E27FC236}">
              <a16:creationId xmlns:a16="http://schemas.microsoft.com/office/drawing/2014/main" id="{61BB09C2-479A-4C03-AA2C-2983335E1902}"/>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034" name="Text Box 2">
          <a:extLst>
            <a:ext uri="{FF2B5EF4-FFF2-40B4-BE49-F238E27FC236}">
              <a16:creationId xmlns:a16="http://schemas.microsoft.com/office/drawing/2014/main" id="{B7B62FC7-3CAB-4CC3-8321-08E6293C5D16}"/>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35" name="Text Box 1">
          <a:extLst>
            <a:ext uri="{FF2B5EF4-FFF2-40B4-BE49-F238E27FC236}">
              <a16:creationId xmlns:a16="http://schemas.microsoft.com/office/drawing/2014/main" id="{72CE9B4F-D5BF-4663-8FC4-166252DED79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36" name="Text Box 2">
          <a:extLst>
            <a:ext uri="{FF2B5EF4-FFF2-40B4-BE49-F238E27FC236}">
              <a16:creationId xmlns:a16="http://schemas.microsoft.com/office/drawing/2014/main" id="{09C0401D-4F7C-47F4-8FD2-B57DD82DCAC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37" name="Text Box 2">
          <a:extLst>
            <a:ext uri="{FF2B5EF4-FFF2-40B4-BE49-F238E27FC236}">
              <a16:creationId xmlns:a16="http://schemas.microsoft.com/office/drawing/2014/main" id="{A8EC25A4-10C0-4FE3-8E26-93B791EEA4B5}"/>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38" name="Text Box 1">
          <a:extLst>
            <a:ext uri="{FF2B5EF4-FFF2-40B4-BE49-F238E27FC236}">
              <a16:creationId xmlns:a16="http://schemas.microsoft.com/office/drawing/2014/main" id="{1E0449F9-F0B4-4AAB-96C3-7577DF3205B8}"/>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39" name="Text Box 2">
          <a:extLst>
            <a:ext uri="{FF2B5EF4-FFF2-40B4-BE49-F238E27FC236}">
              <a16:creationId xmlns:a16="http://schemas.microsoft.com/office/drawing/2014/main" id="{9976F339-A38D-405E-AECB-ED31FAF25931}"/>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040" name="Text Box 2">
          <a:extLst>
            <a:ext uri="{FF2B5EF4-FFF2-40B4-BE49-F238E27FC236}">
              <a16:creationId xmlns:a16="http://schemas.microsoft.com/office/drawing/2014/main" id="{C020ABE6-E129-4F07-8183-4F525529E726}"/>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41" name="Text Box 1">
          <a:extLst>
            <a:ext uri="{FF2B5EF4-FFF2-40B4-BE49-F238E27FC236}">
              <a16:creationId xmlns:a16="http://schemas.microsoft.com/office/drawing/2014/main" id="{5965C329-8A7C-4E11-8542-ADCF6D7C73F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42" name="Text Box 2">
          <a:extLst>
            <a:ext uri="{FF2B5EF4-FFF2-40B4-BE49-F238E27FC236}">
              <a16:creationId xmlns:a16="http://schemas.microsoft.com/office/drawing/2014/main" id="{09841A6A-F4E4-4C42-B954-1480E443617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43" name="Text Box 2">
          <a:extLst>
            <a:ext uri="{FF2B5EF4-FFF2-40B4-BE49-F238E27FC236}">
              <a16:creationId xmlns:a16="http://schemas.microsoft.com/office/drawing/2014/main" id="{3E6D162E-F501-4F69-BF95-DEB2A50DC0CD}"/>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44" name="Text Box 1">
          <a:extLst>
            <a:ext uri="{FF2B5EF4-FFF2-40B4-BE49-F238E27FC236}">
              <a16:creationId xmlns:a16="http://schemas.microsoft.com/office/drawing/2014/main" id="{75D964CC-A64D-4530-B9CC-F8BE0C72F004}"/>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45" name="Text Box 2">
          <a:extLst>
            <a:ext uri="{FF2B5EF4-FFF2-40B4-BE49-F238E27FC236}">
              <a16:creationId xmlns:a16="http://schemas.microsoft.com/office/drawing/2014/main" id="{F28CAF1E-5E7A-4DD8-9F68-1CA49B95E0F6}"/>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046" name="Text Box 2">
          <a:extLst>
            <a:ext uri="{FF2B5EF4-FFF2-40B4-BE49-F238E27FC236}">
              <a16:creationId xmlns:a16="http://schemas.microsoft.com/office/drawing/2014/main" id="{A07C5AF9-D95E-4D5A-8605-6BF2F3508E1E}"/>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47" name="Text Box 1">
          <a:extLst>
            <a:ext uri="{FF2B5EF4-FFF2-40B4-BE49-F238E27FC236}">
              <a16:creationId xmlns:a16="http://schemas.microsoft.com/office/drawing/2014/main" id="{7322BA6B-6AB9-4B3E-A759-74C1286BE56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48" name="Text Box 2">
          <a:extLst>
            <a:ext uri="{FF2B5EF4-FFF2-40B4-BE49-F238E27FC236}">
              <a16:creationId xmlns:a16="http://schemas.microsoft.com/office/drawing/2014/main" id="{EFC025E4-8CB1-472E-A7D5-AAF159CA701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49" name="Text Box 2">
          <a:extLst>
            <a:ext uri="{FF2B5EF4-FFF2-40B4-BE49-F238E27FC236}">
              <a16:creationId xmlns:a16="http://schemas.microsoft.com/office/drawing/2014/main" id="{AD69E716-5775-4E63-8012-5CB4E26EB2DA}"/>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50" name="Text Box 1">
          <a:extLst>
            <a:ext uri="{FF2B5EF4-FFF2-40B4-BE49-F238E27FC236}">
              <a16:creationId xmlns:a16="http://schemas.microsoft.com/office/drawing/2014/main" id="{D92C1BF4-7C7F-463B-A598-53649B650039}"/>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51" name="Text Box 2">
          <a:extLst>
            <a:ext uri="{FF2B5EF4-FFF2-40B4-BE49-F238E27FC236}">
              <a16:creationId xmlns:a16="http://schemas.microsoft.com/office/drawing/2014/main" id="{206D1680-DA8E-48D4-826F-4E5917C06C75}"/>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052" name="Text Box 2">
          <a:extLst>
            <a:ext uri="{FF2B5EF4-FFF2-40B4-BE49-F238E27FC236}">
              <a16:creationId xmlns:a16="http://schemas.microsoft.com/office/drawing/2014/main" id="{A13768FA-B243-449B-A199-B972244552C1}"/>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53" name="Text Box 1">
          <a:extLst>
            <a:ext uri="{FF2B5EF4-FFF2-40B4-BE49-F238E27FC236}">
              <a16:creationId xmlns:a16="http://schemas.microsoft.com/office/drawing/2014/main" id="{FFAF6B6F-AF45-48EC-A99B-97A45CE0ABB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54" name="Text Box 2">
          <a:extLst>
            <a:ext uri="{FF2B5EF4-FFF2-40B4-BE49-F238E27FC236}">
              <a16:creationId xmlns:a16="http://schemas.microsoft.com/office/drawing/2014/main" id="{ED7953E4-4641-45F5-9076-A25BF742823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55" name="Text Box 1">
          <a:extLst>
            <a:ext uri="{FF2B5EF4-FFF2-40B4-BE49-F238E27FC236}">
              <a16:creationId xmlns:a16="http://schemas.microsoft.com/office/drawing/2014/main" id="{D41F13DA-6932-41B3-96D3-F9E2344A112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56" name="Text Box 2">
          <a:extLst>
            <a:ext uri="{FF2B5EF4-FFF2-40B4-BE49-F238E27FC236}">
              <a16:creationId xmlns:a16="http://schemas.microsoft.com/office/drawing/2014/main" id="{4302F93E-8B6C-4FBA-A24C-0307C2699A1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57" name="Text Box 1">
          <a:extLst>
            <a:ext uri="{FF2B5EF4-FFF2-40B4-BE49-F238E27FC236}">
              <a16:creationId xmlns:a16="http://schemas.microsoft.com/office/drawing/2014/main" id="{30714AE1-6F21-4907-86AB-954CAFF3EE7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58" name="Text Box 2">
          <a:extLst>
            <a:ext uri="{FF2B5EF4-FFF2-40B4-BE49-F238E27FC236}">
              <a16:creationId xmlns:a16="http://schemas.microsoft.com/office/drawing/2014/main" id="{CEB77B0C-EB6A-4575-86C2-0C3FD1A6364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059" name="Text Box 1">
          <a:extLst>
            <a:ext uri="{FF2B5EF4-FFF2-40B4-BE49-F238E27FC236}">
              <a16:creationId xmlns:a16="http://schemas.microsoft.com/office/drawing/2014/main" id="{D0CFFD0E-3803-4136-992B-05D951D2723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060" name="Text Box 2">
          <a:extLst>
            <a:ext uri="{FF2B5EF4-FFF2-40B4-BE49-F238E27FC236}">
              <a16:creationId xmlns:a16="http://schemas.microsoft.com/office/drawing/2014/main" id="{D13DC385-D6B3-4048-8E60-578C7B37ED0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61" name="Text Box 1">
          <a:extLst>
            <a:ext uri="{FF2B5EF4-FFF2-40B4-BE49-F238E27FC236}">
              <a16:creationId xmlns:a16="http://schemas.microsoft.com/office/drawing/2014/main" id="{1F50BC18-7BB2-4CF7-8389-9AFF86C9ACE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62" name="Text Box 2">
          <a:extLst>
            <a:ext uri="{FF2B5EF4-FFF2-40B4-BE49-F238E27FC236}">
              <a16:creationId xmlns:a16="http://schemas.microsoft.com/office/drawing/2014/main" id="{39F0F427-3706-4739-BD99-DB1BC15F505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063" name="Text Box 1">
          <a:extLst>
            <a:ext uri="{FF2B5EF4-FFF2-40B4-BE49-F238E27FC236}">
              <a16:creationId xmlns:a16="http://schemas.microsoft.com/office/drawing/2014/main" id="{A3293506-F53D-46D8-8B57-60728DC040C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064" name="Text Box 2">
          <a:extLst>
            <a:ext uri="{FF2B5EF4-FFF2-40B4-BE49-F238E27FC236}">
              <a16:creationId xmlns:a16="http://schemas.microsoft.com/office/drawing/2014/main" id="{4F10E0C2-AD7C-400D-8D3E-C057D52238EB}"/>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65" name="Text Box 1">
          <a:extLst>
            <a:ext uri="{FF2B5EF4-FFF2-40B4-BE49-F238E27FC236}">
              <a16:creationId xmlns:a16="http://schemas.microsoft.com/office/drawing/2014/main" id="{6482FB8A-2B72-44CA-9FBF-092001AE6BC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66" name="Text Box 2">
          <a:extLst>
            <a:ext uri="{FF2B5EF4-FFF2-40B4-BE49-F238E27FC236}">
              <a16:creationId xmlns:a16="http://schemas.microsoft.com/office/drawing/2014/main" id="{4564522F-A54D-418D-922B-F3555D7AF15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67" name="Text Box 1">
          <a:extLst>
            <a:ext uri="{FF2B5EF4-FFF2-40B4-BE49-F238E27FC236}">
              <a16:creationId xmlns:a16="http://schemas.microsoft.com/office/drawing/2014/main" id="{AF402C4A-3196-48BF-931A-5EF4ACC7803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68" name="Text Box 2">
          <a:extLst>
            <a:ext uri="{FF2B5EF4-FFF2-40B4-BE49-F238E27FC236}">
              <a16:creationId xmlns:a16="http://schemas.microsoft.com/office/drawing/2014/main" id="{A6A2015E-A6BE-4A1F-A765-517FBFFF942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069" name="Text Box 1">
          <a:extLst>
            <a:ext uri="{FF2B5EF4-FFF2-40B4-BE49-F238E27FC236}">
              <a16:creationId xmlns:a16="http://schemas.microsoft.com/office/drawing/2014/main" id="{13DD6155-C0BF-40E8-8D1E-0C9FB0C6874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070" name="Text Box 2">
          <a:extLst>
            <a:ext uri="{FF2B5EF4-FFF2-40B4-BE49-F238E27FC236}">
              <a16:creationId xmlns:a16="http://schemas.microsoft.com/office/drawing/2014/main" id="{039685A0-C012-4E49-98E6-3DFDEA1B9D4C}"/>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71" name="Text Box 2">
          <a:extLst>
            <a:ext uri="{FF2B5EF4-FFF2-40B4-BE49-F238E27FC236}">
              <a16:creationId xmlns:a16="http://schemas.microsoft.com/office/drawing/2014/main" id="{6611700C-BCE5-4A77-975A-9EE1A99D9F84}"/>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72" name="Text Box 1">
          <a:extLst>
            <a:ext uri="{FF2B5EF4-FFF2-40B4-BE49-F238E27FC236}">
              <a16:creationId xmlns:a16="http://schemas.microsoft.com/office/drawing/2014/main" id="{F9C11E40-31D8-442D-BCBB-4ADC27A00E77}"/>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73" name="Text Box 2">
          <a:extLst>
            <a:ext uri="{FF2B5EF4-FFF2-40B4-BE49-F238E27FC236}">
              <a16:creationId xmlns:a16="http://schemas.microsoft.com/office/drawing/2014/main" id="{3E86F84E-E305-4690-9213-1B901393FE5D}"/>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074" name="Text Box 2">
          <a:extLst>
            <a:ext uri="{FF2B5EF4-FFF2-40B4-BE49-F238E27FC236}">
              <a16:creationId xmlns:a16="http://schemas.microsoft.com/office/drawing/2014/main" id="{75578228-E704-4157-B18A-D6082C839A90}"/>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75" name="Text Box 1">
          <a:extLst>
            <a:ext uri="{FF2B5EF4-FFF2-40B4-BE49-F238E27FC236}">
              <a16:creationId xmlns:a16="http://schemas.microsoft.com/office/drawing/2014/main" id="{528D39B8-9D1E-4949-AB63-2EA2A423BB0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76" name="Text Box 2">
          <a:extLst>
            <a:ext uri="{FF2B5EF4-FFF2-40B4-BE49-F238E27FC236}">
              <a16:creationId xmlns:a16="http://schemas.microsoft.com/office/drawing/2014/main" id="{36410583-85D8-44F3-9D92-042508674AA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77" name="Text Box 1">
          <a:extLst>
            <a:ext uri="{FF2B5EF4-FFF2-40B4-BE49-F238E27FC236}">
              <a16:creationId xmlns:a16="http://schemas.microsoft.com/office/drawing/2014/main" id="{1D34E85F-1164-4ACE-BB13-33537E06068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78" name="Text Box 2">
          <a:extLst>
            <a:ext uri="{FF2B5EF4-FFF2-40B4-BE49-F238E27FC236}">
              <a16:creationId xmlns:a16="http://schemas.microsoft.com/office/drawing/2014/main" id="{B4E90C93-F2FF-4D94-B954-8B19A3795D2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079" name="Text Box 1">
          <a:extLst>
            <a:ext uri="{FF2B5EF4-FFF2-40B4-BE49-F238E27FC236}">
              <a16:creationId xmlns:a16="http://schemas.microsoft.com/office/drawing/2014/main" id="{056A9189-561A-49C5-B29E-99850D6DFDE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080" name="Text Box 2">
          <a:extLst>
            <a:ext uri="{FF2B5EF4-FFF2-40B4-BE49-F238E27FC236}">
              <a16:creationId xmlns:a16="http://schemas.microsoft.com/office/drawing/2014/main" id="{A8F8C5D8-A8EA-4003-ACF3-16D1CACEC30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81" name="Text Box 1">
          <a:extLst>
            <a:ext uri="{FF2B5EF4-FFF2-40B4-BE49-F238E27FC236}">
              <a16:creationId xmlns:a16="http://schemas.microsoft.com/office/drawing/2014/main" id="{2B810A12-867E-4D6F-93BC-3E7D3DFEEA9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82" name="Text Box 2">
          <a:extLst>
            <a:ext uri="{FF2B5EF4-FFF2-40B4-BE49-F238E27FC236}">
              <a16:creationId xmlns:a16="http://schemas.microsoft.com/office/drawing/2014/main" id="{1D63E2D2-4056-4EED-8583-237B2E12F5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83" name="Text Box 2">
          <a:extLst>
            <a:ext uri="{FF2B5EF4-FFF2-40B4-BE49-F238E27FC236}">
              <a16:creationId xmlns:a16="http://schemas.microsoft.com/office/drawing/2014/main" id="{89C5D0C7-8E5F-4829-9AD7-9CE9D8595FD7}"/>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84" name="Text Box 1">
          <a:extLst>
            <a:ext uri="{FF2B5EF4-FFF2-40B4-BE49-F238E27FC236}">
              <a16:creationId xmlns:a16="http://schemas.microsoft.com/office/drawing/2014/main" id="{88173E4B-405C-4979-852A-1E4C5E702E32}"/>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85" name="Text Box 2">
          <a:extLst>
            <a:ext uri="{FF2B5EF4-FFF2-40B4-BE49-F238E27FC236}">
              <a16:creationId xmlns:a16="http://schemas.microsoft.com/office/drawing/2014/main" id="{F2D534BD-EB65-45C5-92D3-931E62C9290D}"/>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086" name="Text Box 2">
          <a:extLst>
            <a:ext uri="{FF2B5EF4-FFF2-40B4-BE49-F238E27FC236}">
              <a16:creationId xmlns:a16="http://schemas.microsoft.com/office/drawing/2014/main" id="{3715CC44-3108-42B8-B300-8567D1D6D6DF}"/>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87" name="Text Box 1">
          <a:extLst>
            <a:ext uri="{FF2B5EF4-FFF2-40B4-BE49-F238E27FC236}">
              <a16:creationId xmlns:a16="http://schemas.microsoft.com/office/drawing/2014/main" id="{93DECE7F-543D-453F-A5B5-3823B45526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88" name="Text Box 2">
          <a:extLst>
            <a:ext uri="{FF2B5EF4-FFF2-40B4-BE49-F238E27FC236}">
              <a16:creationId xmlns:a16="http://schemas.microsoft.com/office/drawing/2014/main" id="{9CCEA483-4AAF-4775-A5E0-D4D05A222CE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89" name="Text Box 2">
          <a:extLst>
            <a:ext uri="{FF2B5EF4-FFF2-40B4-BE49-F238E27FC236}">
              <a16:creationId xmlns:a16="http://schemas.microsoft.com/office/drawing/2014/main" id="{673C734C-69BB-472E-8B71-BFBFD6D22D93}"/>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90" name="Text Box 1">
          <a:extLst>
            <a:ext uri="{FF2B5EF4-FFF2-40B4-BE49-F238E27FC236}">
              <a16:creationId xmlns:a16="http://schemas.microsoft.com/office/drawing/2014/main" id="{D3B60A53-B9D0-4166-8E0D-D79E733C7FE7}"/>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91" name="Text Box 2">
          <a:extLst>
            <a:ext uri="{FF2B5EF4-FFF2-40B4-BE49-F238E27FC236}">
              <a16:creationId xmlns:a16="http://schemas.microsoft.com/office/drawing/2014/main" id="{6EC0985C-FD3C-4382-9C19-CD5CF294B70A}"/>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092" name="Text Box 2">
          <a:extLst>
            <a:ext uri="{FF2B5EF4-FFF2-40B4-BE49-F238E27FC236}">
              <a16:creationId xmlns:a16="http://schemas.microsoft.com/office/drawing/2014/main" id="{ECE1236A-6BB6-4B33-BEB7-4C822BE78FBA}"/>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93" name="Text Box 1">
          <a:extLst>
            <a:ext uri="{FF2B5EF4-FFF2-40B4-BE49-F238E27FC236}">
              <a16:creationId xmlns:a16="http://schemas.microsoft.com/office/drawing/2014/main" id="{50334D79-F0B2-433D-8EFF-782DB5E8EC8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94" name="Text Box 2">
          <a:extLst>
            <a:ext uri="{FF2B5EF4-FFF2-40B4-BE49-F238E27FC236}">
              <a16:creationId xmlns:a16="http://schemas.microsoft.com/office/drawing/2014/main" id="{C139EADD-27AE-441A-9122-2ED97AB7EA9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95" name="Text Box 2">
          <a:extLst>
            <a:ext uri="{FF2B5EF4-FFF2-40B4-BE49-F238E27FC236}">
              <a16:creationId xmlns:a16="http://schemas.microsoft.com/office/drawing/2014/main" id="{DAEEABE8-B636-409E-94AD-DB69D4A2108D}"/>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96" name="Text Box 1">
          <a:extLst>
            <a:ext uri="{FF2B5EF4-FFF2-40B4-BE49-F238E27FC236}">
              <a16:creationId xmlns:a16="http://schemas.microsoft.com/office/drawing/2014/main" id="{CBC0F6E1-C706-431E-84F6-FCD32734B787}"/>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97" name="Text Box 2">
          <a:extLst>
            <a:ext uri="{FF2B5EF4-FFF2-40B4-BE49-F238E27FC236}">
              <a16:creationId xmlns:a16="http://schemas.microsoft.com/office/drawing/2014/main" id="{F370C886-A5D8-4EE7-A612-390969740C66}"/>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098" name="Text Box 2">
          <a:extLst>
            <a:ext uri="{FF2B5EF4-FFF2-40B4-BE49-F238E27FC236}">
              <a16:creationId xmlns:a16="http://schemas.microsoft.com/office/drawing/2014/main" id="{F792E343-8688-4878-91D3-B1E589F0F028}"/>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99" name="Text Box 1">
          <a:extLst>
            <a:ext uri="{FF2B5EF4-FFF2-40B4-BE49-F238E27FC236}">
              <a16:creationId xmlns:a16="http://schemas.microsoft.com/office/drawing/2014/main" id="{F79FE273-9DA2-4B28-896F-51D8C6F5253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00" name="Text Box 2">
          <a:extLst>
            <a:ext uri="{FF2B5EF4-FFF2-40B4-BE49-F238E27FC236}">
              <a16:creationId xmlns:a16="http://schemas.microsoft.com/office/drawing/2014/main" id="{71B3CA7C-79C2-4B9C-ACCD-6CAA5388A20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01" name="Text Box 2">
          <a:extLst>
            <a:ext uri="{FF2B5EF4-FFF2-40B4-BE49-F238E27FC236}">
              <a16:creationId xmlns:a16="http://schemas.microsoft.com/office/drawing/2014/main" id="{1D27B949-EC8C-44F1-A0EB-0E49D5A20F15}"/>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02" name="Text Box 1">
          <a:extLst>
            <a:ext uri="{FF2B5EF4-FFF2-40B4-BE49-F238E27FC236}">
              <a16:creationId xmlns:a16="http://schemas.microsoft.com/office/drawing/2014/main" id="{C67521BD-8685-433C-B9C5-2E9E0C389B33}"/>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03" name="Text Box 2">
          <a:extLst>
            <a:ext uri="{FF2B5EF4-FFF2-40B4-BE49-F238E27FC236}">
              <a16:creationId xmlns:a16="http://schemas.microsoft.com/office/drawing/2014/main" id="{14934F5C-4698-417E-ADAB-8B2F39D37F2E}"/>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104" name="Text Box 2">
          <a:extLst>
            <a:ext uri="{FF2B5EF4-FFF2-40B4-BE49-F238E27FC236}">
              <a16:creationId xmlns:a16="http://schemas.microsoft.com/office/drawing/2014/main" id="{D1717FA6-419A-44CF-8AD9-6CF775A41ADF}"/>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05" name="Text Box 1">
          <a:extLst>
            <a:ext uri="{FF2B5EF4-FFF2-40B4-BE49-F238E27FC236}">
              <a16:creationId xmlns:a16="http://schemas.microsoft.com/office/drawing/2014/main" id="{60605B25-8022-4F6D-907F-D3E1FF6640F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06" name="Text Box 2">
          <a:extLst>
            <a:ext uri="{FF2B5EF4-FFF2-40B4-BE49-F238E27FC236}">
              <a16:creationId xmlns:a16="http://schemas.microsoft.com/office/drawing/2014/main" id="{5D7F8334-47A4-4DF0-9FA2-C14B2D8ABC4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07" name="Text Box 2">
          <a:extLst>
            <a:ext uri="{FF2B5EF4-FFF2-40B4-BE49-F238E27FC236}">
              <a16:creationId xmlns:a16="http://schemas.microsoft.com/office/drawing/2014/main" id="{CD3DFCCE-77F6-48D4-91E5-89843F022A43}"/>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08" name="Text Box 1">
          <a:extLst>
            <a:ext uri="{FF2B5EF4-FFF2-40B4-BE49-F238E27FC236}">
              <a16:creationId xmlns:a16="http://schemas.microsoft.com/office/drawing/2014/main" id="{4A953909-2A19-4BD1-970B-88B6109E23F1}"/>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09" name="Text Box 2">
          <a:extLst>
            <a:ext uri="{FF2B5EF4-FFF2-40B4-BE49-F238E27FC236}">
              <a16:creationId xmlns:a16="http://schemas.microsoft.com/office/drawing/2014/main" id="{3D071EC9-D475-4550-B2CB-A6C44C5980EE}"/>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110" name="Text Box 2">
          <a:extLst>
            <a:ext uri="{FF2B5EF4-FFF2-40B4-BE49-F238E27FC236}">
              <a16:creationId xmlns:a16="http://schemas.microsoft.com/office/drawing/2014/main" id="{9DB430D2-D072-4AB6-BB6C-6A7FA83243E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11" name="Text Box 1">
          <a:extLst>
            <a:ext uri="{FF2B5EF4-FFF2-40B4-BE49-F238E27FC236}">
              <a16:creationId xmlns:a16="http://schemas.microsoft.com/office/drawing/2014/main" id="{0962A1E1-95FA-414E-8E54-55D9C6967D0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12" name="Text Box 2">
          <a:extLst>
            <a:ext uri="{FF2B5EF4-FFF2-40B4-BE49-F238E27FC236}">
              <a16:creationId xmlns:a16="http://schemas.microsoft.com/office/drawing/2014/main" id="{57F29206-2F5E-4554-85FB-9C3AAEA57E0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13" name="Text Box 2">
          <a:extLst>
            <a:ext uri="{FF2B5EF4-FFF2-40B4-BE49-F238E27FC236}">
              <a16:creationId xmlns:a16="http://schemas.microsoft.com/office/drawing/2014/main" id="{76DBBE0E-C6B5-4EAC-84D0-085B98E7A545}"/>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14" name="Text Box 1">
          <a:extLst>
            <a:ext uri="{FF2B5EF4-FFF2-40B4-BE49-F238E27FC236}">
              <a16:creationId xmlns:a16="http://schemas.microsoft.com/office/drawing/2014/main" id="{6D13D707-E4F0-49B9-8C3D-659F1310D635}"/>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15" name="Text Box 2">
          <a:extLst>
            <a:ext uri="{FF2B5EF4-FFF2-40B4-BE49-F238E27FC236}">
              <a16:creationId xmlns:a16="http://schemas.microsoft.com/office/drawing/2014/main" id="{48F7D6FD-DBCC-4242-AFFE-82FDD71F45BF}"/>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116" name="Text Box 2">
          <a:extLst>
            <a:ext uri="{FF2B5EF4-FFF2-40B4-BE49-F238E27FC236}">
              <a16:creationId xmlns:a16="http://schemas.microsoft.com/office/drawing/2014/main" id="{CC0C174E-07C3-4688-B97D-0C9D9EFBA07D}"/>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17" name="Text Box 1">
          <a:extLst>
            <a:ext uri="{FF2B5EF4-FFF2-40B4-BE49-F238E27FC236}">
              <a16:creationId xmlns:a16="http://schemas.microsoft.com/office/drawing/2014/main" id="{B445944A-7102-4598-97D0-3651B8499C8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18" name="Text Box 2">
          <a:extLst>
            <a:ext uri="{FF2B5EF4-FFF2-40B4-BE49-F238E27FC236}">
              <a16:creationId xmlns:a16="http://schemas.microsoft.com/office/drawing/2014/main" id="{72E2329F-FAAF-419D-BA51-3355DBE54F9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19" name="Text Box 1">
          <a:extLst>
            <a:ext uri="{FF2B5EF4-FFF2-40B4-BE49-F238E27FC236}">
              <a16:creationId xmlns:a16="http://schemas.microsoft.com/office/drawing/2014/main" id="{06D15DE8-94DB-40C2-909D-5EC482468FA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20" name="Text Box 2">
          <a:extLst>
            <a:ext uri="{FF2B5EF4-FFF2-40B4-BE49-F238E27FC236}">
              <a16:creationId xmlns:a16="http://schemas.microsoft.com/office/drawing/2014/main" id="{D2C8F94A-4522-425C-9DFB-DC2CAA81DC9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21" name="Text Box 1">
          <a:extLst>
            <a:ext uri="{FF2B5EF4-FFF2-40B4-BE49-F238E27FC236}">
              <a16:creationId xmlns:a16="http://schemas.microsoft.com/office/drawing/2014/main" id="{13A0235A-A9D2-4ADF-A74D-2F41DFB5002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22" name="Text Box 2">
          <a:extLst>
            <a:ext uri="{FF2B5EF4-FFF2-40B4-BE49-F238E27FC236}">
              <a16:creationId xmlns:a16="http://schemas.microsoft.com/office/drawing/2014/main" id="{1D5E5E12-41C3-4EA4-A3A8-CB47A64F836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123" name="Text Box 1">
          <a:extLst>
            <a:ext uri="{FF2B5EF4-FFF2-40B4-BE49-F238E27FC236}">
              <a16:creationId xmlns:a16="http://schemas.microsoft.com/office/drawing/2014/main" id="{E70041E3-6578-488A-A111-593CEF8E9B8C}"/>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124" name="Text Box 2">
          <a:extLst>
            <a:ext uri="{FF2B5EF4-FFF2-40B4-BE49-F238E27FC236}">
              <a16:creationId xmlns:a16="http://schemas.microsoft.com/office/drawing/2014/main" id="{15A6D3D0-E791-45EA-81E4-1FE10026963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25" name="Text Box 1">
          <a:extLst>
            <a:ext uri="{FF2B5EF4-FFF2-40B4-BE49-F238E27FC236}">
              <a16:creationId xmlns:a16="http://schemas.microsoft.com/office/drawing/2014/main" id="{63462204-D91A-462E-9250-23CB50D5F6F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26" name="Text Box 2">
          <a:extLst>
            <a:ext uri="{FF2B5EF4-FFF2-40B4-BE49-F238E27FC236}">
              <a16:creationId xmlns:a16="http://schemas.microsoft.com/office/drawing/2014/main" id="{4BA61A45-56B4-4C20-9192-C5E0B8D8BDB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127" name="Text Box 1">
          <a:extLst>
            <a:ext uri="{FF2B5EF4-FFF2-40B4-BE49-F238E27FC236}">
              <a16:creationId xmlns:a16="http://schemas.microsoft.com/office/drawing/2014/main" id="{F73502EB-2477-4E81-AD48-CD4F705F0D7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128" name="Text Box 2">
          <a:extLst>
            <a:ext uri="{FF2B5EF4-FFF2-40B4-BE49-F238E27FC236}">
              <a16:creationId xmlns:a16="http://schemas.microsoft.com/office/drawing/2014/main" id="{E064277E-083D-4BD5-AC4D-2E335C813B5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29" name="Text Box 1">
          <a:extLst>
            <a:ext uri="{FF2B5EF4-FFF2-40B4-BE49-F238E27FC236}">
              <a16:creationId xmlns:a16="http://schemas.microsoft.com/office/drawing/2014/main" id="{49B74739-1373-454B-82B1-0B70770AB63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30" name="Text Box 2">
          <a:extLst>
            <a:ext uri="{FF2B5EF4-FFF2-40B4-BE49-F238E27FC236}">
              <a16:creationId xmlns:a16="http://schemas.microsoft.com/office/drawing/2014/main" id="{45EBFE1B-98B5-40BA-BD90-5107F12163A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31" name="Text Box 1">
          <a:extLst>
            <a:ext uri="{FF2B5EF4-FFF2-40B4-BE49-F238E27FC236}">
              <a16:creationId xmlns:a16="http://schemas.microsoft.com/office/drawing/2014/main" id="{420B314C-A729-4556-B093-CC9B790D811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32" name="Text Box 2">
          <a:extLst>
            <a:ext uri="{FF2B5EF4-FFF2-40B4-BE49-F238E27FC236}">
              <a16:creationId xmlns:a16="http://schemas.microsoft.com/office/drawing/2014/main" id="{D2331B55-BEF4-415E-B810-C3B4BB1D82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133" name="Text Box 1">
          <a:extLst>
            <a:ext uri="{FF2B5EF4-FFF2-40B4-BE49-F238E27FC236}">
              <a16:creationId xmlns:a16="http://schemas.microsoft.com/office/drawing/2014/main" id="{D662A0E3-6A47-4FAF-B24E-D990D6869E4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134" name="Text Box 2">
          <a:extLst>
            <a:ext uri="{FF2B5EF4-FFF2-40B4-BE49-F238E27FC236}">
              <a16:creationId xmlns:a16="http://schemas.microsoft.com/office/drawing/2014/main" id="{3BAA85C6-09AC-4966-B497-E197EF77E47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35" name="Text Box 1">
          <a:extLst>
            <a:ext uri="{FF2B5EF4-FFF2-40B4-BE49-F238E27FC236}">
              <a16:creationId xmlns:a16="http://schemas.microsoft.com/office/drawing/2014/main" id="{3A9F0B6E-D141-44ED-882C-7B86B162DDC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36" name="Text Box 2">
          <a:extLst>
            <a:ext uri="{FF2B5EF4-FFF2-40B4-BE49-F238E27FC236}">
              <a16:creationId xmlns:a16="http://schemas.microsoft.com/office/drawing/2014/main" id="{165E6664-680D-4BEA-A8ED-B2B2FE3FB75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37" name="Text Box 2">
          <a:extLst>
            <a:ext uri="{FF2B5EF4-FFF2-40B4-BE49-F238E27FC236}">
              <a16:creationId xmlns:a16="http://schemas.microsoft.com/office/drawing/2014/main" id="{48E3A268-1E9B-4BDE-BAEA-EA56C2E204C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138" name="Text Box 1">
          <a:extLst>
            <a:ext uri="{FF2B5EF4-FFF2-40B4-BE49-F238E27FC236}">
              <a16:creationId xmlns:a16="http://schemas.microsoft.com/office/drawing/2014/main" id="{8ABEB2FC-943A-4617-9892-3A069CFCBAE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139" name="Text Box 2">
          <a:extLst>
            <a:ext uri="{FF2B5EF4-FFF2-40B4-BE49-F238E27FC236}">
              <a16:creationId xmlns:a16="http://schemas.microsoft.com/office/drawing/2014/main" id="{35B81BFB-0DE2-43B4-ACA8-41A275B871C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40" name="Text Box 1">
          <a:extLst>
            <a:ext uri="{FF2B5EF4-FFF2-40B4-BE49-F238E27FC236}">
              <a16:creationId xmlns:a16="http://schemas.microsoft.com/office/drawing/2014/main" id="{03D73FC2-C1C9-4701-8BC2-12B99618F8D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41" name="Text Box 2">
          <a:extLst>
            <a:ext uri="{FF2B5EF4-FFF2-40B4-BE49-F238E27FC236}">
              <a16:creationId xmlns:a16="http://schemas.microsoft.com/office/drawing/2014/main" id="{3F651A20-36B0-46C8-AC50-3DABD797A3F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142" name="Text Box 1">
          <a:extLst>
            <a:ext uri="{FF2B5EF4-FFF2-40B4-BE49-F238E27FC236}">
              <a16:creationId xmlns:a16="http://schemas.microsoft.com/office/drawing/2014/main" id="{A37DC3F6-3268-4A06-AC2F-4039B1B82B0C}"/>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143" name="Text Box 2">
          <a:extLst>
            <a:ext uri="{FF2B5EF4-FFF2-40B4-BE49-F238E27FC236}">
              <a16:creationId xmlns:a16="http://schemas.microsoft.com/office/drawing/2014/main" id="{A888D073-1EA9-4D51-8829-8A91CD628001}"/>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144" name="Text Box 1">
          <a:extLst>
            <a:ext uri="{FF2B5EF4-FFF2-40B4-BE49-F238E27FC236}">
              <a16:creationId xmlns:a16="http://schemas.microsoft.com/office/drawing/2014/main" id="{7B740E39-8467-4C60-8636-1C27F0A22D22}"/>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145" name="Text Box 2">
          <a:extLst>
            <a:ext uri="{FF2B5EF4-FFF2-40B4-BE49-F238E27FC236}">
              <a16:creationId xmlns:a16="http://schemas.microsoft.com/office/drawing/2014/main" id="{6B5CA7E0-355B-4478-9C5C-D4440CA858C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46" name="Text Box 1">
          <a:extLst>
            <a:ext uri="{FF2B5EF4-FFF2-40B4-BE49-F238E27FC236}">
              <a16:creationId xmlns:a16="http://schemas.microsoft.com/office/drawing/2014/main" id="{3D749E08-55A3-44DA-AA0D-7C7E9B2B296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47" name="Text Box 2">
          <a:extLst>
            <a:ext uri="{FF2B5EF4-FFF2-40B4-BE49-F238E27FC236}">
              <a16:creationId xmlns:a16="http://schemas.microsoft.com/office/drawing/2014/main" id="{8A9C65C9-191A-49EC-972E-D7FAAFF5604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148" name="Text Box 1">
          <a:extLst>
            <a:ext uri="{FF2B5EF4-FFF2-40B4-BE49-F238E27FC236}">
              <a16:creationId xmlns:a16="http://schemas.microsoft.com/office/drawing/2014/main" id="{FA6BA451-097A-4CCA-AD84-E2B9E9EF742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149" name="Text Box 2">
          <a:extLst>
            <a:ext uri="{FF2B5EF4-FFF2-40B4-BE49-F238E27FC236}">
              <a16:creationId xmlns:a16="http://schemas.microsoft.com/office/drawing/2014/main" id="{E5E12E8E-AB70-4759-ACCD-DB2C81DD38F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150" name="Text Box 1">
          <a:extLst>
            <a:ext uri="{FF2B5EF4-FFF2-40B4-BE49-F238E27FC236}">
              <a16:creationId xmlns:a16="http://schemas.microsoft.com/office/drawing/2014/main" id="{DD31385B-3C70-4062-94D4-45AD3B5EF9A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151" name="Text Box 2">
          <a:extLst>
            <a:ext uri="{FF2B5EF4-FFF2-40B4-BE49-F238E27FC236}">
              <a16:creationId xmlns:a16="http://schemas.microsoft.com/office/drawing/2014/main" id="{4295A6F2-DC0C-4C4B-898D-6195710A7A1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52" name="Text Box 1">
          <a:extLst>
            <a:ext uri="{FF2B5EF4-FFF2-40B4-BE49-F238E27FC236}">
              <a16:creationId xmlns:a16="http://schemas.microsoft.com/office/drawing/2014/main" id="{7C3FB35A-B0A4-42F5-8794-7D643DF675C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53" name="Text Box 2">
          <a:extLst>
            <a:ext uri="{FF2B5EF4-FFF2-40B4-BE49-F238E27FC236}">
              <a16:creationId xmlns:a16="http://schemas.microsoft.com/office/drawing/2014/main" id="{63DD0FAB-C25B-4BC7-8498-4C14E848500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154" name="Text Box 1">
          <a:extLst>
            <a:ext uri="{FF2B5EF4-FFF2-40B4-BE49-F238E27FC236}">
              <a16:creationId xmlns:a16="http://schemas.microsoft.com/office/drawing/2014/main" id="{3E30159C-F2F5-455A-943A-130B3B06985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155" name="Text Box 2">
          <a:extLst>
            <a:ext uri="{FF2B5EF4-FFF2-40B4-BE49-F238E27FC236}">
              <a16:creationId xmlns:a16="http://schemas.microsoft.com/office/drawing/2014/main" id="{A78DC1F0-C4CD-4A59-8173-389B6BAD0D2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156" name="Text Box 1">
          <a:extLst>
            <a:ext uri="{FF2B5EF4-FFF2-40B4-BE49-F238E27FC236}">
              <a16:creationId xmlns:a16="http://schemas.microsoft.com/office/drawing/2014/main" id="{A58A4390-E707-433D-BD1C-C781FD05A22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157" name="Text Box 2">
          <a:extLst>
            <a:ext uri="{FF2B5EF4-FFF2-40B4-BE49-F238E27FC236}">
              <a16:creationId xmlns:a16="http://schemas.microsoft.com/office/drawing/2014/main" id="{50F9297C-4FB6-4310-9823-6A8570B6E1A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58" name="Text Box 1">
          <a:extLst>
            <a:ext uri="{FF2B5EF4-FFF2-40B4-BE49-F238E27FC236}">
              <a16:creationId xmlns:a16="http://schemas.microsoft.com/office/drawing/2014/main" id="{2757A3D9-AF48-4C18-80AC-2177D1D7015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59" name="Text Box 2">
          <a:extLst>
            <a:ext uri="{FF2B5EF4-FFF2-40B4-BE49-F238E27FC236}">
              <a16:creationId xmlns:a16="http://schemas.microsoft.com/office/drawing/2014/main" id="{B4574F99-2868-42B1-AD43-A0BBAB34F1D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60" name="Text Box 2">
          <a:extLst>
            <a:ext uri="{FF2B5EF4-FFF2-40B4-BE49-F238E27FC236}">
              <a16:creationId xmlns:a16="http://schemas.microsoft.com/office/drawing/2014/main" id="{7B9E479A-DB19-4D6F-89DA-546A8DFB023D}"/>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61" name="Text Box 1">
          <a:extLst>
            <a:ext uri="{FF2B5EF4-FFF2-40B4-BE49-F238E27FC236}">
              <a16:creationId xmlns:a16="http://schemas.microsoft.com/office/drawing/2014/main" id="{C03DEA31-1253-45BD-867C-280503AE69BB}"/>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62" name="Text Box 2">
          <a:extLst>
            <a:ext uri="{FF2B5EF4-FFF2-40B4-BE49-F238E27FC236}">
              <a16:creationId xmlns:a16="http://schemas.microsoft.com/office/drawing/2014/main" id="{F1235C49-E48C-4C71-8AD7-1F738B5648D6}"/>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163" name="Text Box 2">
          <a:extLst>
            <a:ext uri="{FF2B5EF4-FFF2-40B4-BE49-F238E27FC236}">
              <a16:creationId xmlns:a16="http://schemas.microsoft.com/office/drawing/2014/main" id="{BF3D1D7F-E366-476C-A63B-703282C7AD29}"/>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64" name="Text Box 1">
          <a:extLst>
            <a:ext uri="{FF2B5EF4-FFF2-40B4-BE49-F238E27FC236}">
              <a16:creationId xmlns:a16="http://schemas.microsoft.com/office/drawing/2014/main" id="{F45B99E3-1A15-4344-A532-F5E1E423A2B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65" name="Text Box 2">
          <a:extLst>
            <a:ext uri="{FF2B5EF4-FFF2-40B4-BE49-F238E27FC236}">
              <a16:creationId xmlns:a16="http://schemas.microsoft.com/office/drawing/2014/main" id="{6014D7C2-48AD-4395-96CF-3FB0563469C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66" name="Text Box 1">
          <a:extLst>
            <a:ext uri="{FF2B5EF4-FFF2-40B4-BE49-F238E27FC236}">
              <a16:creationId xmlns:a16="http://schemas.microsoft.com/office/drawing/2014/main" id="{54B66A6A-9F3B-420C-91DD-FDBEB1A0D8C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67" name="Text Box 2">
          <a:extLst>
            <a:ext uri="{FF2B5EF4-FFF2-40B4-BE49-F238E27FC236}">
              <a16:creationId xmlns:a16="http://schemas.microsoft.com/office/drawing/2014/main" id="{E6BB3511-ED58-4B31-A86E-6B0075A3F80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168" name="Text Box 1">
          <a:extLst>
            <a:ext uri="{FF2B5EF4-FFF2-40B4-BE49-F238E27FC236}">
              <a16:creationId xmlns:a16="http://schemas.microsoft.com/office/drawing/2014/main" id="{9D4C6F3D-EFB2-4F53-AAA9-95B5BA2EB55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169" name="Text Box 2">
          <a:extLst>
            <a:ext uri="{FF2B5EF4-FFF2-40B4-BE49-F238E27FC236}">
              <a16:creationId xmlns:a16="http://schemas.microsoft.com/office/drawing/2014/main" id="{2D039538-FF7F-400C-850A-1717D88F900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70" name="Text Box 1">
          <a:extLst>
            <a:ext uri="{FF2B5EF4-FFF2-40B4-BE49-F238E27FC236}">
              <a16:creationId xmlns:a16="http://schemas.microsoft.com/office/drawing/2014/main" id="{7EFC4EEC-DE6D-4375-B579-CF2EB3C68C9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71" name="Text Box 2">
          <a:extLst>
            <a:ext uri="{FF2B5EF4-FFF2-40B4-BE49-F238E27FC236}">
              <a16:creationId xmlns:a16="http://schemas.microsoft.com/office/drawing/2014/main" id="{B9CBC82C-0CC7-46DC-B0FD-947606526EB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72" name="Text Box 2">
          <a:extLst>
            <a:ext uri="{FF2B5EF4-FFF2-40B4-BE49-F238E27FC236}">
              <a16:creationId xmlns:a16="http://schemas.microsoft.com/office/drawing/2014/main" id="{B452208A-8380-4B8C-B37E-8737939AA1F5}"/>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73" name="Text Box 1">
          <a:extLst>
            <a:ext uri="{FF2B5EF4-FFF2-40B4-BE49-F238E27FC236}">
              <a16:creationId xmlns:a16="http://schemas.microsoft.com/office/drawing/2014/main" id="{6909A70F-0751-49E9-B4EB-6E61D1A65460}"/>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74" name="Text Box 2">
          <a:extLst>
            <a:ext uri="{FF2B5EF4-FFF2-40B4-BE49-F238E27FC236}">
              <a16:creationId xmlns:a16="http://schemas.microsoft.com/office/drawing/2014/main" id="{0922EFD1-32DC-4D05-BC1E-36BA46F87F62}"/>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175" name="Text Box 2">
          <a:extLst>
            <a:ext uri="{FF2B5EF4-FFF2-40B4-BE49-F238E27FC236}">
              <a16:creationId xmlns:a16="http://schemas.microsoft.com/office/drawing/2014/main" id="{633A296B-D28B-4A5F-9AB3-5AE59C110D43}"/>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76" name="Text Box 1">
          <a:extLst>
            <a:ext uri="{FF2B5EF4-FFF2-40B4-BE49-F238E27FC236}">
              <a16:creationId xmlns:a16="http://schemas.microsoft.com/office/drawing/2014/main" id="{AB09E89F-D2B4-4BF0-BF0D-F9903AE641D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77" name="Text Box 2">
          <a:extLst>
            <a:ext uri="{FF2B5EF4-FFF2-40B4-BE49-F238E27FC236}">
              <a16:creationId xmlns:a16="http://schemas.microsoft.com/office/drawing/2014/main" id="{EF97EEB1-93CD-4E2B-9234-89B25B01B42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78" name="Text Box 2">
          <a:extLst>
            <a:ext uri="{FF2B5EF4-FFF2-40B4-BE49-F238E27FC236}">
              <a16:creationId xmlns:a16="http://schemas.microsoft.com/office/drawing/2014/main" id="{83366410-21BB-475A-A45B-92D7C15403A6}"/>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79" name="Text Box 1">
          <a:extLst>
            <a:ext uri="{FF2B5EF4-FFF2-40B4-BE49-F238E27FC236}">
              <a16:creationId xmlns:a16="http://schemas.microsoft.com/office/drawing/2014/main" id="{409C4B81-8F86-48F0-AA11-1AD810590269}"/>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80" name="Text Box 2">
          <a:extLst>
            <a:ext uri="{FF2B5EF4-FFF2-40B4-BE49-F238E27FC236}">
              <a16:creationId xmlns:a16="http://schemas.microsoft.com/office/drawing/2014/main" id="{5531689C-F130-4E8A-A25C-9D9B7933B49C}"/>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181" name="Text Box 2">
          <a:extLst>
            <a:ext uri="{FF2B5EF4-FFF2-40B4-BE49-F238E27FC236}">
              <a16:creationId xmlns:a16="http://schemas.microsoft.com/office/drawing/2014/main" id="{FDAE983F-4E59-4866-A530-F7E53B763D0C}"/>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82" name="Text Box 1">
          <a:extLst>
            <a:ext uri="{FF2B5EF4-FFF2-40B4-BE49-F238E27FC236}">
              <a16:creationId xmlns:a16="http://schemas.microsoft.com/office/drawing/2014/main" id="{33931752-7744-48D0-A08E-39A675BA5B5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83" name="Text Box 2">
          <a:extLst>
            <a:ext uri="{FF2B5EF4-FFF2-40B4-BE49-F238E27FC236}">
              <a16:creationId xmlns:a16="http://schemas.microsoft.com/office/drawing/2014/main" id="{32E1CBE7-8B43-499A-81B9-7E772F7D34B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84" name="Text Box 2">
          <a:extLst>
            <a:ext uri="{FF2B5EF4-FFF2-40B4-BE49-F238E27FC236}">
              <a16:creationId xmlns:a16="http://schemas.microsoft.com/office/drawing/2014/main" id="{1B9E1299-F72A-44A1-AD0C-5F2E698CEBA6}"/>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85" name="Text Box 1">
          <a:extLst>
            <a:ext uri="{FF2B5EF4-FFF2-40B4-BE49-F238E27FC236}">
              <a16:creationId xmlns:a16="http://schemas.microsoft.com/office/drawing/2014/main" id="{00219D4A-69E0-4135-BC2F-09C34C4578C7}"/>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86" name="Text Box 2">
          <a:extLst>
            <a:ext uri="{FF2B5EF4-FFF2-40B4-BE49-F238E27FC236}">
              <a16:creationId xmlns:a16="http://schemas.microsoft.com/office/drawing/2014/main" id="{946DCF79-9E48-4260-B3B6-9DE555590926}"/>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187" name="Text Box 2">
          <a:extLst>
            <a:ext uri="{FF2B5EF4-FFF2-40B4-BE49-F238E27FC236}">
              <a16:creationId xmlns:a16="http://schemas.microsoft.com/office/drawing/2014/main" id="{20654AF9-049E-493E-AF50-6A70EE0995B5}"/>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88" name="Text Box 1">
          <a:extLst>
            <a:ext uri="{FF2B5EF4-FFF2-40B4-BE49-F238E27FC236}">
              <a16:creationId xmlns:a16="http://schemas.microsoft.com/office/drawing/2014/main" id="{59EC60E7-2C13-4F79-8A3D-366BC0375B1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89" name="Text Box 2">
          <a:extLst>
            <a:ext uri="{FF2B5EF4-FFF2-40B4-BE49-F238E27FC236}">
              <a16:creationId xmlns:a16="http://schemas.microsoft.com/office/drawing/2014/main" id="{DDC037C6-BE0F-4CA6-8837-2B24AE2B6E0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90" name="Text Box 2">
          <a:extLst>
            <a:ext uri="{FF2B5EF4-FFF2-40B4-BE49-F238E27FC236}">
              <a16:creationId xmlns:a16="http://schemas.microsoft.com/office/drawing/2014/main" id="{9124EB9B-3A05-47BB-A2C1-8FA55BFE9141}"/>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91" name="Text Box 1">
          <a:extLst>
            <a:ext uri="{FF2B5EF4-FFF2-40B4-BE49-F238E27FC236}">
              <a16:creationId xmlns:a16="http://schemas.microsoft.com/office/drawing/2014/main" id="{70DFBECA-9CF1-40B3-B24A-B50F1BC9082E}"/>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92" name="Text Box 2">
          <a:extLst>
            <a:ext uri="{FF2B5EF4-FFF2-40B4-BE49-F238E27FC236}">
              <a16:creationId xmlns:a16="http://schemas.microsoft.com/office/drawing/2014/main" id="{A4CCF2A4-DCCE-4631-A87B-F4FEE97D2DCB}"/>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193" name="Text Box 2">
          <a:extLst>
            <a:ext uri="{FF2B5EF4-FFF2-40B4-BE49-F238E27FC236}">
              <a16:creationId xmlns:a16="http://schemas.microsoft.com/office/drawing/2014/main" id="{5361502E-342B-433B-BB60-C1C677632609}"/>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94" name="Text Box 1">
          <a:extLst>
            <a:ext uri="{FF2B5EF4-FFF2-40B4-BE49-F238E27FC236}">
              <a16:creationId xmlns:a16="http://schemas.microsoft.com/office/drawing/2014/main" id="{1A1EE093-FCED-41CE-85C2-984279B4547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95" name="Text Box 2">
          <a:extLst>
            <a:ext uri="{FF2B5EF4-FFF2-40B4-BE49-F238E27FC236}">
              <a16:creationId xmlns:a16="http://schemas.microsoft.com/office/drawing/2014/main" id="{1681B91F-514F-4784-80B8-18C819B45B9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96" name="Text Box 2">
          <a:extLst>
            <a:ext uri="{FF2B5EF4-FFF2-40B4-BE49-F238E27FC236}">
              <a16:creationId xmlns:a16="http://schemas.microsoft.com/office/drawing/2014/main" id="{C1040D20-59EA-46AA-B04D-5CAF976676FB}"/>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97" name="Text Box 1">
          <a:extLst>
            <a:ext uri="{FF2B5EF4-FFF2-40B4-BE49-F238E27FC236}">
              <a16:creationId xmlns:a16="http://schemas.microsoft.com/office/drawing/2014/main" id="{883665CF-DAB9-4E31-8490-A292E0540D67}"/>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98" name="Text Box 2">
          <a:extLst>
            <a:ext uri="{FF2B5EF4-FFF2-40B4-BE49-F238E27FC236}">
              <a16:creationId xmlns:a16="http://schemas.microsoft.com/office/drawing/2014/main" id="{CF12E771-3CF4-430A-BF64-83288D5146D7}"/>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199" name="Text Box 2">
          <a:extLst>
            <a:ext uri="{FF2B5EF4-FFF2-40B4-BE49-F238E27FC236}">
              <a16:creationId xmlns:a16="http://schemas.microsoft.com/office/drawing/2014/main" id="{EF227EA1-8DAC-41A3-8FB2-C457A630F300}"/>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00" name="Text Box 1">
          <a:extLst>
            <a:ext uri="{FF2B5EF4-FFF2-40B4-BE49-F238E27FC236}">
              <a16:creationId xmlns:a16="http://schemas.microsoft.com/office/drawing/2014/main" id="{04F30C86-4AD4-4EB0-A64D-FE71F7353C4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01" name="Text Box 2">
          <a:extLst>
            <a:ext uri="{FF2B5EF4-FFF2-40B4-BE49-F238E27FC236}">
              <a16:creationId xmlns:a16="http://schemas.microsoft.com/office/drawing/2014/main" id="{5C178949-8217-444D-984C-83F2C289837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202" name="Text Box 2">
          <a:extLst>
            <a:ext uri="{FF2B5EF4-FFF2-40B4-BE49-F238E27FC236}">
              <a16:creationId xmlns:a16="http://schemas.microsoft.com/office/drawing/2014/main" id="{682BCC98-0DE7-414F-986D-3926FAE35434}"/>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203" name="Text Box 1">
          <a:extLst>
            <a:ext uri="{FF2B5EF4-FFF2-40B4-BE49-F238E27FC236}">
              <a16:creationId xmlns:a16="http://schemas.microsoft.com/office/drawing/2014/main" id="{4C1E5046-5888-4B9E-82D7-689B8ED0CD6C}"/>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204" name="Text Box 2">
          <a:extLst>
            <a:ext uri="{FF2B5EF4-FFF2-40B4-BE49-F238E27FC236}">
              <a16:creationId xmlns:a16="http://schemas.microsoft.com/office/drawing/2014/main" id="{1484AF8A-76BA-45CE-B56F-7D7E27723278}"/>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205" name="Text Box 2">
          <a:extLst>
            <a:ext uri="{FF2B5EF4-FFF2-40B4-BE49-F238E27FC236}">
              <a16:creationId xmlns:a16="http://schemas.microsoft.com/office/drawing/2014/main" id="{1F96A333-8AE7-4981-B3BF-679CF6E7029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06" name="Text Box 1">
          <a:extLst>
            <a:ext uri="{FF2B5EF4-FFF2-40B4-BE49-F238E27FC236}">
              <a16:creationId xmlns:a16="http://schemas.microsoft.com/office/drawing/2014/main" id="{37D2D532-54AD-4FE5-8C0A-3E507ABCBE9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07" name="Text Box 2">
          <a:extLst>
            <a:ext uri="{FF2B5EF4-FFF2-40B4-BE49-F238E27FC236}">
              <a16:creationId xmlns:a16="http://schemas.microsoft.com/office/drawing/2014/main" id="{18C5475F-824C-4129-990D-DD82780A2FE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08" name="Text Box 1">
          <a:extLst>
            <a:ext uri="{FF2B5EF4-FFF2-40B4-BE49-F238E27FC236}">
              <a16:creationId xmlns:a16="http://schemas.microsoft.com/office/drawing/2014/main" id="{9E09D96A-A40C-4A8F-A6A7-B730739690D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09" name="Text Box 2">
          <a:extLst>
            <a:ext uri="{FF2B5EF4-FFF2-40B4-BE49-F238E27FC236}">
              <a16:creationId xmlns:a16="http://schemas.microsoft.com/office/drawing/2014/main" id="{90FE9734-66C2-4C05-95E6-E5550505278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10" name="Text Box 1">
          <a:extLst>
            <a:ext uri="{FF2B5EF4-FFF2-40B4-BE49-F238E27FC236}">
              <a16:creationId xmlns:a16="http://schemas.microsoft.com/office/drawing/2014/main" id="{A82E3104-8390-4399-942B-E5478C14A06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11" name="Text Box 2">
          <a:extLst>
            <a:ext uri="{FF2B5EF4-FFF2-40B4-BE49-F238E27FC236}">
              <a16:creationId xmlns:a16="http://schemas.microsoft.com/office/drawing/2014/main" id="{B2CC44D9-73F2-4D47-8FE0-83F13B84185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12" name="Text Box 1">
          <a:extLst>
            <a:ext uri="{FF2B5EF4-FFF2-40B4-BE49-F238E27FC236}">
              <a16:creationId xmlns:a16="http://schemas.microsoft.com/office/drawing/2014/main" id="{CA6623DA-5926-42AE-9ADF-BDEC32C37F98}"/>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13" name="Text Box 2">
          <a:extLst>
            <a:ext uri="{FF2B5EF4-FFF2-40B4-BE49-F238E27FC236}">
              <a16:creationId xmlns:a16="http://schemas.microsoft.com/office/drawing/2014/main" id="{B3B0E538-0531-4D13-9256-667A51A29C6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14" name="Text Box 1">
          <a:extLst>
            <a:ext uri="{FF2B5EF4-FFF2-40B4-BE49-F238E27FC236}">
              <a16:creationId xmlns:a16="http://schemas.microsoft.com/office/drawing/2014/main" id="{FA78F45F-429B-44CE-9FFA-1AAADBF9486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15" name="Text Box 2">
          <a:extLst>
            <a:ext uri="{FF2B5EF4-FFF2-40B4-BE49-F238E27FC236}">
              <a16:creationId xmlns:a16="http://schemas.microsoft.com/office/drawing/2014/main" id="{E8C6C79D-81B2-49A1-8517-B9E131CC99F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16" name="Text Box 1">
          <a:extLst>
            <a:ext uri="{FF2B5EF4-FFF2-40B4-BE49-F238E27FC236}">
              <a16:creationId xmlns:a16="http://schemas.microsoft.com/office/drawing/2014/main" id="{795E99B2-8539-4299-81B8-8A33205E501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17" name="Text Box 2">
          <a:extLst>
            <a:ext uri="{FF2B5EF4-FFF2-40B4-BE49-F238E27FC236}">
              <a16:creationId xmlns:a16="http://schemas.microsoft.com/office/drawing/2014/main" id="{C0858709-3CB1-4C09-B38B-0CBF6DE698C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18" name="Text Box 2">
          <a:extLst>
            <a:ext uri="{FF2B5EF4-FFF2-40B4-BE49-F238E27FC236}">
              <a16:creationId xmlns:a16="http://schemas.microsoft.com/office/drawing/2014/main" id="{FE2FF605-189A-4050-83B1-177F4ADE01C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19" name="Text Box 1">
          <a:extLst>
            <a:ext uri="{FF2B5EF4-FFF2-40B4-BE49-F238E27FC236}">
              <a16:creationId xmlns:a16="http://schemas.microsoft.com/office/drawing/2014/main" id="{62734390-FF09-4128-8B75-0643F9DFFBF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20" name="Text Box 2">
          <a:extLst>
            <a:ext uri="{FF2B5EF4-FFF2-40B4-BE49-F238E27FC236}">
              <a16:creationId xmlns:a16="http://schemas.microsoft.com/office/drawing/2014/main" id="{8E646514-3F04-4DA7-B267-25F3CFD22B1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21" name="Text Box 1">
          <a:extLst>
            <a:ext uri="{FF2B5EF4-FFF2-40B4-BE49-F238E27FC236}">
              <a16:creationId xmlns:a16="http://schemas.microsoft.com/office/drawing/2014/main" id="{35CE5C42-D0CA-49B7-890E-5052D23859B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22" name="Text Box 2">
          <a:extLst>
            <a:ext uri="{FF2B5EF4-FFF2-40B4-BE49-F238E27FC236}">
              <a16:creationId xmlns:a16="http://schemas.microsoft.com/office/drawing/2014/main" id="{B766154F-A83B-48C8-A887-2DC4E180CDB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23" name="Text Box 1">
          <a:extLst>
            <a:ext uri="{FF2B5EF4-FFF2-40B4-BE49-F238E27FC236}">
              <a16:creationId xmlns:a16="http://schemas.microsoft.com/office/drawing/2014/main" id="{32EDB59A-61CE-4EED-BD39-F312AA562A4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24" name="Text Box 2">
          <a:extLst>
            <a:ext uri="{FF2B5EF4-FFF2-40B4-BE49-F238E27FC236}">
              <a16:creationId xmlns:a16="http://schemas.microsoft.com/office/drawing/2014/main" id="{8FBDF70A-4F70-4CA6-B217-7D5C1ED6419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25" name="Text Box 2">
          <a:extLst>
            <a:ext uri="{FF2B5EF4-FFF2-40B4-BE49-F238E27FC236}">
              <a16:creationId xmlns:a16="http://schemas.microsoft.com/office/drawing/2014/main" id="{2E17EC0D-B921-4ABE-A8FE-D63ABE54091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26" name="Text Box 1">
          <a:extLst>
            <a:ext uri="{FF2B5EF4-FFF2-40B4-BE49-F238E27FC236}">
              <a16:creationId xmlns:a16="http://schemas.microsoft.com/office/drawing/2014/main" id="{2C6F6730-255B-4AEE-AB45-4AE7468CDFC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27" name="Text Box 2">
          <a:extLst>
            <a:ext uri="{FF2B5EF4-FFF2-40B4-BE49-F238E27FC236}">
              <a16:creationId xmlns:a16="http://schemas.microsoft.com/office/drawing/2014/main" id="{70097A78-5D1E-4365-AB9C-627468582DF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28" name="Text Box 1">
          <a:extLst>
            <a:ext uri="{FF2B5EF4-FFF2-40B4-BE49-F238E27FC236}">
              <a16:creationId xmlns:a16="http://schemas.microsoft.com/office/drawing/2014/main" id="{AED09EF1-B29F-4EDD-A38C-ABB2F555C70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29" name="Text Box 2">
          <a:extLst>
            <a:ext uri="{FF2B5EF4-FFF2-40B4-BE49-F238E27FC236}">
              <a16:creationId xmlns:a16="http://schemas.microsoft.com/office/drawing/2014/main" id="{1CFD4EB4-C998-4F41-BB42-6D164D3B487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30" name="Text Box 1">
          <a:extLst>
            <a:ext uri="{FF2B5EF4-FFF2-40B4-BE49-F238E27FC236}">
              <a16:creationId xmlns:a16="http://schemas.microsoft.com/office/drawing/2014/main" id="{A9F094F4-268F-4299-854C-6E087EC9CE5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31" name="Text Box 2">
          <a:extLst>
            <a:ext uri="{FF2B5EF4-FFF2-40B4-BE49-F238E27FC236}">
              <a16:creationId xmlns:a16="http://schemas.microsoft.com/office/drawing/2014/main" id="{C1CB22D9-0C83-4AFC-8736-78B55B86E89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32" name="Text Box 1">
          <a:extLst>
            <a:ext uri="{FF2B5EF4-FFF2-40B4-BE49-F238E27FC236}">
              <a16:creationId xmlns:a16="http://schemas.microsoft.com/office/drawing/2014/main" id="{C0A007CF-B682-405C-8002-B53CD383409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33" name="Text Box 2">
          <a:extLst>
            <a:ext uri="{FF2B5EF4-FFF2-40B4-BE49-F238E27FC236}">
              <a16:creationId xmlns:a16="http://schemas.microsoft.com/office/drawing/2014/main" id="{698F2CB8-9B82-4F61-BE05-3EB7FE8AEC5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34" name="Text Box 1">
          <a:extLst>
            <a:ext uri="{FF2B5EF4-FFF2-40B4-BE49-F238E27FC236}">
              <a16:creationId xmlns:a16="http://schemas.microsoft.com/office/drawing/2014/main" id="{47E35AD2-4F87-4DD8-A952-24002078CF8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35" name="Text Box 2">
          <a:extLst>
            <a:ext uri="{FF2B5EF4-FFF2-40B4-BE49-F238E27FC236}">
              <a16:creationId xmlns:a16="http://schemas.microsoft.com/office/drawing/2014/main" id="{004D5BA7-242E-4170-8B1C-39A35D4DE90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36" name="Text Box 1">
          <a:extLst>
            <a:ext uri="{FF2B5EF4-FFF2-40B4-BE49-F238E27FC236}">
              <a16:creationId xmlns:a16="http://schemas.microsoft.com/office/drawing/2014/main" id="{A1CC030A-C4C4-4C39-B26A-3BC6AB4A395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37" name="Text Box 2">
          <a:extLst>
            <a:ext uri="{FF2B5EF4-FFF2-40B4-BE49-F238E27FC236}">
              <a16:creationId xmlns:a16="http://schemas.microsoft.com/office/drawing/2014/main" id="{54443ACD-2CD3-48FA-8F6C-5397BA6CC48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38" name="Text Box 1">
          <a:extLst>
            <a:ext uri="{FF2B5EF4-FFF2-40B4-BE49-F238E27FC236}">
              <a16:creationId xmlns:a16="http://schemas.microsoft.com/office/drawing/2014/main" id="{0631FBF4-A8B4-472E-82A9-83F1CBD2C7B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39" name="Text Box 2">
          <a:extLst>
            <a:ext uri="{FF2B5EF4-FFF2-40B4-BE49-F238E27FC236}">
              <a16:creationId xmlns:a16="http://schemas.microsoft.com/office/drawing/2014/main" id="{5630ACAC-C693-4CA8-AE2E-3A1B6886BE0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40" name="Text Box 1">
          <a:extLst>
            <a:ext uri="{FF2B5EF4-FFF2-40B4-BE49-F238E27FC236}">
              <a16:creationId xmlns:a16="http://schemas.microsoft.com/office/drawing/2014/main" id="{0D08C4C1-C6E6-420F-A2D3-C771127A330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41" name="Text Box 2">
          <a:extLst>
            <a:ext uri="{FF2B5EF4-FFF2-40B4-BE49-F238E27FC236}">
              <a16:creationId xmlns:a16="http://schemas.microsoft.com/office/drawing/2014/main" id="{29495486-A367-4C20-AE17-E7B4B6EE740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42" name="Text Box 1">
          <a:extLst>
            <a:ext uri="{FF2B5EF4-FFF2-40B4-BE49-F238E27FC236}">
              <a16:creationId xmlns:a16="http://schemas.microsoft.com/office/drawing/2014/main" id="{6431ED97-D53B-4897-A45F-5D79032D0602}"/>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43" name="Text Box 2">
          <a:extLst>
            <a:ext uri="{FF2B5EF4-FFF2-40B4-BE49-F238E27FC236}">
              <a16:creationId xmlns:a16="http://schemas.microsoft.com/office/drawing/2014/main" id="{18AC604F-651A-4643-B717-6027C6B1E35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44" name="Text Box 1">
          <a:extLst>
            <a:ext uri="{FF2B5EF4-FFF2-40B4-BE49-F238E27FC236}">
              <a16:creationId xmlns:a16="http://schemas.microsoft.com/office/drawing/2014/main" id="{A8ECE6FB-E975-43FB-8CFD-4ADD725426C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45" name="Text Box 2">
          <a:extLst>
            <a:ext uri="{FF2B5EF4-FFF2-40B4-BE49-F238E27FC236}">
              <a16:creationId xmlns:a16="http://schemas.microsoft.com/office/drawing/2014/main" id="{F2B0F953-176A-458F-BCE6-DCFF48208EC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46" name="Text Box 1">
          <a:extLst>
            <a:ext uri="{FF2B5EF4-FFF2-40B4-BE49-F238E27FC236}">
              <a16:creationId xmlns:a16="http://schemas.microsoft.com/office/drawing/2014/main" id="{9D65AA06-9CFE-4452-91A7-AE0C51D57B4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47" name="Text Box 2">
          <a:extLst>
            <a:ext uri="{FF2B5EF4-FFF2-40B4-BE49-F238E27FC236}">
              <a16:creationId xmlns:a16="http://schemas.microsoft.com/office/drawing/2014/main" id="{C8CB8E7D-31FF-4ACD-AD5B-EAF45EE9AF8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48" name="Text Box 1">
          <a:extLst>
            <a:ext uri="{FF2B5EF4-FFF2-40B4-BE49-F238E27FC236}">
              <a16:creationId xmlns:a16="http://schemas.microsoft.com/office/drawing/2014/main" id="{8179E604-181C-48F8-9906-95F587A7EEA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49" name="Text Box 2">
          <a:extLst>
            <a:ext uri="{FF2B5EF4-FFF2-40B4-BE49-F238E27FC236}">
              <a16:creationId xmlns:a16="http://schemas.microsoft.com/office/drawing/2014/main" id="{1F73CDE2-AA46-4624-9AAD-BFDB6F191C4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50" name="Text Box 1">
          <a:extLst>
            <a:ext uri="{FF2B5EF4-FFF2-40B4-BE49-F238E27FC236}">
              <a16:creationId xmlns:a16="http://schemas.microsoft.com/office/drawing/2014/main" id="{6A0BF253-4447-401D-9A3E-4FC9DEA6AE3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51" name="Text Box 2">
          <a:extLst>
            <a:ext uri="{FF2B5EF4-FFF2-40B4-BE49-F238E27FC236}">
              <a16:creationId xmlns:a16="http://schemas.microsoft.com/office/drawing/2014/main" id="{2AA6ACF9-9A8C-4920-84BA-8919125A727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52" name="Text Box 1">
          <a:extLst>
            <a:ext uri="{FF2B5EF4-FFF2-40B4-BE49-F238E27FC236}">
              <a16:creationId xmlns:a16="http://schemas.microsoft.com/office/drawing/2014/main" id="{68DAD338-4EBA-4807-A471-96FF50E6C8F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53" name="Text Box 2">
          <a:extLst>
            <a:ext uri="{FF2B5EF4-FFF2-40B4-BE49-F238E27FC236}">
              <a16:creationId xmlns:a16="http://schemas.microsoft.com/office/drawing/2014/main" id="{E33D347E-7681-458D-8777-E7A1D47FC33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54" name="Text Box 1">
          <a:extLst>
            <a:ext uri="{FF2B5EF4-FFF2-40B4-BE49-F238E27FC236}">
              <a16:creationId xmlns:a16="http://schemas.microsoft.com/office/drawing/2014/main" id="{252B1DD3-8189-4CF5-BCC1-D6B45C109BB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55" name="Text Box 2">
          <a:extLst>
            <a:ext uri="{FF2B5EF4-FFF2-40B4-BE49-F238E27FC236}">
              <a16:creationId xmlns:a16="http://schemas.microsoft.com/office/drawing/2014/main" id="{E34D4980-4F93-42D9-AD33-ABEA9FCEB63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56" name="Text Box 1">
          <a:extLst>
            <a:ext uri="{FF2B5EF4-FFF2-40B4-BE49-F238E27FC236}">
              <a16:creationId xmlns:a16="http://schemas.microsoft.com/office/drawing/2014/main" id="{4DCBE01A-D5DA-4045-B350-B411798DF84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57" name="Text Box 2">
          <a:extLst>
            <a:ext uri="{FF2B5EF4-FFF2-40B4-BE49-F238E27FC236}">
              <a16:creationId xmlns:a16="http://schemas.microsoft.com/office/drawing/2014/main" id="{F5FE9455-0FC2-45BD-A907-B9FFB8529C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58" name="Text Box 1">
          <a:extLst>
            <a:ext uri="{FF2B5EF4-FFF2-40B4-BE49-F238E27FC236}">
              <a16:creationId xmlns:a16="http://schemas.microsoft.com/office/drawing/2014/main" id="{0717ECD1-B5B7-4A44-BC24-DBC912E1A66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59" name="Text Box 2">
          <a:extLst>
            <a:ext uri="{FF2B5EF4-FFF2-40B4-BE49-F238E27FC236}">
              <a16:creationId xmlns:a16="http://schemas.microsoft.com/office/drawing/2014/main" id="{5BB66209-7546-49AB-A302-719AF6C38CF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60" name="Text Box 1">
          <a:extLst>
            <a:ext uri="{FF2B5EF4-FFF2-40B4-BE49-F238E27FC236}">
              <a16:creationId xmlns:a16="http://schemas.microsoft.com/office/drawing/2014/main" id="{0E7EE186-3191-4E5E-B3CE-63026653D23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61" name="Text Box 2">
          <a:extLst>
            <a:ext uri="{FF2B5EF4-FFF2-40B4-BE49-F238E27FC236}">
              <a16:creationId xmlns:a16="http://schemas.microsoft.com/office/drawing/2014/main" id="{227F5E0A-68F2-4763-8582-0D733FAA875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62" name="Text Box 1">
          <a:extLst>
            <a:ext uri="{FF2B5EF4-FFF2-40B4-BE49-F238E27FC236}">
              <a16:creationId xmlns:a16="http://schemas.microsoft.com/office/drawing/2014/main" id="{2E792F38-F8F6-4DCE-B306-5D475C8D7E5C}"/>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63" name="Text Box 2">
          <a:extLst>
            <a:ext uri="{FF2B5EF4-FFF2-40B4-BE49-F238E27FC236}">
              <a16:creationId xmlns:a16="http://schemas.microsoft.com/office/drawing/2014/main" id="{DCF90A2A-9A18-4561-9771-CEDA129F41E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64" name="Text Box 1">
          <a:extLst>
            <a:ext uri="{FF2B5EF4-FFF2-40B4-BE49-F238E27FC236}">
              <a16:creationId xmlns:a16="http://schemas.microsoft.com/office/drawing/2014/main" id="{F03797AB-03E7-4BBC-B5B2-26B1ED66F66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65" name="Text Box 2">
          <a:extLst>
            <a:ext uri="{FF2B5EF4-FFF2-40B4-BE49-F238E27FC236}">
              <a16:creationId xmlns:a16="http://schemas.microsoft.com/office/drawing/2014/main" id="{9DC06351-538C-4EE6-B555-F4790D2B9E8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66" name="Text Box 1">
          <a:extLst>
            <a:ext uri="{FF2B5EF4-FFF2-40B4-BE49-F238E27FC236}">
              <a16:creationId xmlns:a16="http://schemas.microsoft.com/office/drawing/2014/main" id="{CC75D24D-9ED6-4331-8C5E-384EC1C0A0B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67" name="Text Box 2">
          <a:extLst>
            <a:ext uri="{FF2B5EF4-FFF2-40B4-BE49-F238E27FC236}">
              <a16:creationId xmlns:a16="http://schemas.microsoft.com/office/drawing/2014/main" id="{0B233163-B97D-44FB-9FCF-5339334A6DE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68" name="Text Box 1">
          <a:extLst>
            <a:ext uri="{FF2B5EF4-FFF2-40B4-BE49-F238E27FC236}">
              <a16:creationId xmlns:a16="http://schemas.microsoft.com/office/drawing/2014/main" id="{3B3AF01E-69A4-4131-94F8-A5F57B19A9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69" name="Text Box 2">
          <a:extLst>
            <a:ext uri="{FF2B5EF4-FFF2-40B4-BE49-F238E27FC236}">
              <a16:creationId xmlns:a16="http://schemas.microsoft.com/office/drawing/2014/main" id="{DDEC3FD3-A23E-4569-9557-FAF3A8E6A86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70" name="Text Box 1">
          <a:extLst>
            <a:ext uri="{FF2B5EF4-FFF2-40B4-BE49-F238E27FC236}">
              <a16:creationId xmlns:a16="http://schemas.microsoft.com/office/drawing/2014/main" id="{D23E6071-D117-459E-B5D5-2A20894B862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71" name="Text Box 2">
          <a:extLst>
            <a:ext uri="{FF2B5EF4-FFF2-40B4-BE49-F238E27FC236}">
              <a16:creationId xmlns:a16="http://schemas.microsoft.com/office/drawing/2014/main" id="{920D4EFA-FF5D-4F0F-80D5-DCB567A4D60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72" name="Text Box 1">
          <a:extLst>
            <a:ext uri="{FF2B5EF4-FFF2-40B4-BE49-F238E27FC236}">
              <a16:creationId xmlns:a16="http://schemas.microsoft.com/office/drawing/2014/main" id="{E18353EA-F98E-41BF-8E1B-56C29974466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73" name="Text Box 2">
          <a:extLst>
            <a:ext uri="{FF2B5EF4-FFF2-40B4-BE49-F238E27FC236}">
              <a16:creationId xmlns:a16="http://schemas.microsoft.com/office/drawing/2014/main" id="{EAD2C8F3-B766-4DAF-B400-9EE6257D56E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74" name="Text Box 1">
          <a:extLst>
            <a:ext uri="{FF2B5EF4-FFF2-40B4-BE49-F238E27FC236}">
              <a16:creationId xmlns:a16="http://schemas.microsoft.com/office/drawing/2014/main" id="{E8334E5C-78F3-42B3-A3C5-966685DCB73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75" name="Text Box 2">
          <a:extLst>
            <a:ext uri="{FF2B5EF4-FFF2-40B4-BE49-F238E27FC236}">
              <a16:creationId xmlns:a16="http://schemas.microsoft.com/office/drawing/2014/main" id="{26A3E7BC-01C0-4935-890C-D2C9D96D67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76" name="Text Box 1">
          <a:extLst>
            <a:ext uri="{FF2B5EF4-FFF2-40B4-BE49-F238E27FC236}">
              <a16:creationId xmlns:a16="http://schemas.microsoft.com/office/drawing/2014/main" id="{68A37E42-F048-4CC4-ABFD-0EC66162AEC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77" name="Text Box 2">
          <a:extLst>
            <a:ext uri="{FF2B5EF4-FFF2-40B4-BE49-F238E27FC236}">
              <a16:creationId xmlns:a16="http://schemas.microsoft.com/office/drawing/2014/main" id="{595BBEC3-1C6B-4D33-B0F6-7C39BAF228B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78" name="Text Box 1">
          <a:extLst>
            <a:ext uri="{FF2B5EF4-FFF2-40B4-BE49-F238E27FC236}">
              <a16:creationId xmlns:a16="http://schemas.microsoft.com/office/drawing/2014/main" id="{C917D87C-BD20-45E8-BF9A-43FEF81D738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79" name="Text Box 2">
          <a:extLst>
            <a:ext uri="{FF2B5EF4-FFF2-40B4-BE49-F238E27FC236}">
              <a16:creationId xmlns:a16="http://schemas.microsoft.com/office/drawing/2014/main" id="{C15C1D46-E682-4175-91C3-463C8DB9553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80" name="Text Box 1">
          <a:extLst>
            <a:ext uri="{FF2B5EF4-FFF2-40B4-BE49-F238E27FC236}">
              <a16:creationId xmlns:a16="http://schemas.microsoft.com/office/drawing/2014/main" id="{4A126A18-38F1-4967-9D48-E1C8E544449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81" name="Text Box 2">
          <a:extLst>
            <a:ext uri="{FF2B5EF4-FFF2-40B4-BE49-F238E27FC236}">
              <a16:creationId xmlns:a16="http://schemas.microsoft.com/office/drawing/2014/main" id="{116F3F6A-1EED-4CD4-9AB4-A587A3BFBE4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82" name="Text Box 1">
          <a:extLst>
            <a:ext uri="{FF2B5EF4-FFF2-40B4-BE49-F238E27FC236}">
              <a16:creationId xmlns:a16="http://schemas.microsoft.com/office/drawing/2014/main" id="{4EEA674B-2BAD-4125-A43A-B85A8E7ED12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83" name="Text Box 2">
          <a:extLst>
            <a:ext uri="{FF2B5EF4-FFF2-40B4-BE49-F238E27FC236}">
              <a16:creationId xmlns:a16="http://schemas.microsoft.com/office/drawing/2014/main" id="{74AAB62F-A054-41FC-A982-F2854C20EA6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84" name="Text Box 1">
          <a:extLst>
            <a:ext uri="{FF2B5EF4-FFF2-40B4-BE49-F238E27FC236}">
              <a16:creationId xmlns:a16="http://schemas.microsoft.com/office/drawing/2014/main" id="{581F1BFA-077F-4176-B381-E66C084A787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85" name="Text Box 2">
          <a:extLst>
            <a:ext uri="{FF2B5EF4-FFF2-40B4-BE49-F238E27FC236}">
              <a16:creationId xmlns:a16="http://schemas.microsoft.com/office/drawing/2014/main" id="{BF03C0EC-8F4E-4C61-9F44-29B8B3A44D9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86" name="Text Box 1">
          <a:extLst>
            <a:ext uri="{FF2B5EF4-FFF2-40B4-BE49-F238E27FC236}">
              <a16:creationId xmlns:a16="http://schemas.microsoft.com/office/drawing/2014/main" id="{8AFD09B0-E0E5-4D2B-8BD1-392AA48FA13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87" name="Text Box 2">
          <a:extLst>
            <a:ext uri="{FF2B5EF4-FFF2-40B4-BE49-F238E27FC236}">
              <a16:creationId xmlns:a16="http://schemas.microsoft.com/office/drawing/2014/main" id="{2752897F-6DBC-494E-A31A-31D3F21A355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88" name="Text Box 1">
          <a:extLst>
            <a:ext uri="{FF2B5EF4-FFF2-40B4-BE49-F238E27FC236}">
              <a16:creationId xmlns:a16="http://schemas.microsoft.com/office/drawing/2014/main" id="{F0693A44-DD6E-4B49-A628-A78C6A15877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89" name="Text Box 2">
          <a:extLst>
            <a:ext uri="{FF2B5EF4-FFF2-40B4-BE49-F238E27FC236}">
              <a16:creationId xmlns:a16="http://schemas.microsoft.com/office/drawing/2014/main" id="{67D93939-3F07-46B9-B0AC-15030EDD994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90" name="Text Box 1">
          <a:extLst>
            <a:ext uri="{FF2B5EF4-FFF2-40B4-BE49-F238E27FC236}">
              <a16:creationId xmlns:a16="http://schemas.microsoft.com/office/drawing/2014/main" id="{EE101E4C-B82F-4DBE-A636-9C4E8045070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91" name="Text Box 2">
          <a:extLst>
            <a:ext uri="{FF2B5EF4-FFF2-40B4-BE49-F238E27FC236}">
              <a16:creationId xmlns:a16="http://schemas.microsoft.com/office/drawing/2014/main" id="{1913D07E-352D-4B05-BA6B-B7A91A1902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92" name="Text Box 1">
          <a:extLst>
            <a:ext uri="{FF2B5EF4-FFF2-40B4-BE49-F238E27FC236}">
              <a16:creationId xmlns:a16="http://schemas.microsoft.com/office/drawing/2014/main" id="{C34E9510-7BA9-4F46-ADA8-12E82B1C8C2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93" name="Text Box 2">
          <a:extLst>
            <a:ext uri="{FF2B5EF4-FFF2-40B4-BE49-F238E27FC236}">
              <a16:creationId xmlns:a16="http://schemas.microsoft.com/office/drawing/2014/main" id="{97D6EEF1-AE6E-4363-9223-42CF59A1E30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94" name="Text Box 1">
          <a:extLst>
            <a:ext uri="{FF2B5EF4-FFF2-40B4-BE49-F238E27FC236}">
              <a16:creationId xmlns:a16="http://schemas.microsoft.com/office/drawing/2014/main" id="{49D53B70-7311-4B3C-B267-5EC568594F8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95" name="Text Box 2">
          <a:extLst>
            <a:ext uri="{FF2B5EF4-FFF2-40B4-BE49-F238E27FC236}">
              <a16:creationId xmlns:a16="http://schemas.microsoft.com/office/drawing/2014/main" id="{9DC3D3BC-20E9-4498-BD5B-4B7A0148B6E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96" name="Text Box 1">
          <a:extLst>
            <a:ext uri="{FF2B5EF4-FFF2-40B4-BE49-F238E27FC236}">
              <a16:creationId xmlns:a16="http://schemas.microsoft.com/office/drawing/2014/main" id="{ACAB7451-C4C1-4AC6-82A1-D70158EE408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97" name="Text Box 2">
          <a:extLst>
            <a:ext uri="{FF2B5EF4-FFF2-40B4-BE49-F238E27FC236}">
              <a16:creationId xmlns:a16="http://schemas.microsoft.com/office/drawing/2014/main" id="{FADD2348-9E56-4E98-9CE2-FCB68DBA472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98" name="Text Box 1">
          <a:extLst>
            <a:ext uri="{FF2B5EF4-FFF2-40B4-BE49-F238E27FC236}">
              <a16:creationId xmlns:a16="http://schemas.microsoft.com/office/drawing/2014/main" id="{427B4FE3-4F13-4BC8-9FD9-BC4B8A5C179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99" name="Text Box 2">
          <a:extLst>
            <a:ext uri="{FF2B5EF4-FFF2-40B4-BE49-F238E27FC236}">
              <a16:creationId xmlns:a16="http://schemas.microsoft.com/office/drawing/2014/main" id="{4C10FF8F-A412-4F72-934F-25B603BD3A2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00" name="Text Box 1">
          <a:extLst>
            <a:ext uri="{FF2B5EF4-FFF2-40B4-BE49-F238E27FC236}">
              <a16:creationId xmlns:a16="http://schemas.microsoft.com/office/drawing/2014/main" id="{F67CD30A-9C03-480E-85D6-68D8C9881C8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01" name="Text Box 2">
          <a:extLst>
            <a:ext uri="{FF2B5EF4-FFF2-40B4-BE49-F238E27FC236}">
              <a16:creationId xmlns:a16="http://schemas.microsoft.com/office/drawing/2014/main" id="{3C6EB35C-AF7D-49B3-A35B-DFEE8CA6874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02" name="Text Box 1">
          <a:extLst>
            <a:ext uri="{FF2B5EF4-FFF2-40B4-BE49-F238E27FC236}">
              <a16:creationId xmlns:a16="http://schemas.microsoft.com/office/drawing/2014/main" id="{A7E3DE40-CFCA-4D6A-982F-3D828AD1C21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03" name="Text Box 2">
          <a:extLst>
            <a:ext uri="{FF2B5EF4-FFF2-40B4-BE49-F238E27FC236}">
              <a16:creationId xmlns:a16="http://schemas.microsoft.com/office/drawing/2014/main" id="{E2DE4A0B-C591-47D9-9CCF-B3D415E8288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04" name="Text Box 1">
          <a:extLst>
            <a:ext uri="{FF2B5EF4-FFF2-40B4-BE49-F238E27FC236}">
              <a16:creationId xmlns:a16="http://schemas.microsoft.com/office/drawing/2014/main" id="{8694990F-7440-4983-B9E7-16B080B00EE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05" name="Text Box 2">
          <a:extLst>
            <a:ext uri="{FF2B5EF4-FFF2-40B4-BE49-F238E27FC236}">
              <a16:creationId xmlns:a16="http://schemas.microsoft.com/office/drawing/2014/main" id="{E91C72BC-41C2-4945-9AB0-02C0AE3C85E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06" name="Text Box 1">
          <a:extLst>
            <a:ext uri="{FF2B5EF4-FFF2-40B4-BE49-F238E27FC236}">
              <a16:creationId xmlns:a16="http://schemas.microsoft.com/office/drawing/2014/main" id="{C913CED5-47CD-4DED-9B34-3FAB4826729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07" name="Text Box 2">
          <a:extLst>
            <a:ext uri="{FF2B5EF4-FFF2-40B4-BE49-F238E27FC236}">
              <a16:creationId xmlns:a16="http://schemas.microsoft.com/office/drawing/2014/main" id="{3F67971B-2FA7-4A1E-86D0-5E0823B1CCE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08" name="Text Box 1">
          <a:extLst>
            <a:ext uri="{FF2B5EF4-FFF2-40B4-BE49-F238E27FC236}">
              <a16:creationId xmlns:a16="http://schemas.microsoft.com/office/drawing/2014/main" id="{237991E3-6F37-4AAA-8E5A-80FDE068E36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09" name="Text Box 2">
          <a:extLst>
            <a:ext uri="{FF2B5EF4-FFF2-40B4-BE49-F238E27FC236}">
              <a16:creationId xmlns:a16="http://schemas.microsoft.com/office/drawing/2014/main" id="{64D525FE-D9F5-4156-8028-A8D07E6B63F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10" name="Text Box 1">
          <a:extLst>
            <a:ext uri="{FF2B5EF4-FFF2-40B4-BE49-F238E27FC236}">
              <a16:creationId xmlns:a16="http://schemas.microsoft.com/office/drawing/2014/main" id="{0DC07821-DEBC-48EC-AF5F-DD3D5B7748D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11" name="Text Box 2">
          <a:extLst>
            <a:ext uri="{FF2B5EF4-FFF2-40B4-BE49-F238E27FC236}">
              <a16:creationId xmlns:a16="http://schemas.microsoft.com/office/drawing/2014/main" id="{4504CE93-7940-4C58-8931-9CF5200A201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12" name="Text Box 1">
          <a:extLst>
            <a:ext uri="{FF2B5EF4-FFF2-40B4-BE49-F238E27FC236}">
              <a16:creationId xmlns:a16="http://schemas.microsoft.com/office/drawing/2014/main" id="{085DBF18-CDBF-4372-9FE3-F46BEAC2AE0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13" name="Text Box 2">
          <a:extLst>
            <a:ext uri="{FF2B5EF4-FFF2-40B4-BE49-F238E27FC236}">
              <a16:creationId xmlns:a16="http://schemas.microsoft.com/office/drawing/2014/main" id="{6AAE63FF-0CBF-4EC8-9DD1-60ED22D7AD1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314" name="Text Box 1">
          <a:extLst>
            <a:ext uri="{FF2B5EF4-FFF2-40B4-BE49-F238E27FC236}">
              <a16:creationId xmlns:a16="http://schemas.microsoft.com/office/drawing/2014/main" id="{92DD00C2-871A-4BAE-BA74-2C369E1F05F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315" name="Text Box 2">
          <a:extLst>
            <a:ext uri="{FF2B5EF4-FFF2-40B4-BE49-F238E27FC236}">
              <a16:creationId xmlns:a16="http://schemas.microsoft.com/office/drawing/2014/main" id="{C1936DD0-F44F-4812-A86B-962B16E6464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16" name="Text Box 1">
          <a:extLst>
            <a:ext uri="{FF2B5EF4-FFF2-40B4-BE49-F238E27FC236}">
              <a16:creationId xmlns:a16="http://schemas.microsoft.com/office/drawing/2014/main" id="{35F8BEBE-CF3B-410F-BA86-E93732987B4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17" name="Text Box 2">
          <a:extLst>
            <a:ext uri="{FF2B5EF4-FFF2-40B4-BE49-F238E27FC236}">
              <a16:creationId xmlns:a16="http://schemas.microsoft.com/office/drawing/2014/main" id="{8EAA34CC-5A8D-4418-9F99-380E4507091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318" name="Text Box 1">
          <a:extLst>
            <a:ext uri="{FF2B5EF4-FFF2-40B4-BE49-F238E27FC236}">
              <a16:creationId xmlns:a16="http://schemas.microsoft.com/office/drawing/2014/main" id="{9E4FDBB0-899F-41B8-BAD1-246F43CB551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319" name="Text Box 2">
          <a:extLst>
            <a:ext uri="{FF2B5EF4-FFF2-40B4-BE49-F238E27FC236}">
              <a16:creationId xmlns:a16="http://schemas.microsoft.com/office/drawing/2014/main" id="{69A0314B-6355-42C1-B914-D21BF6569A2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20" name="Text Box 1">
          <a:extLst>
            <a:ext uri="{FF2B5EF4-FFF2-40B4-BE49-F238E27FC236}">
              <a16:creationId xmlns:a16="http://schemas.microsoft.com/office/drawing/2014/main" id="{321D964E-CF0A-48C1-A8B0-AC040EE592F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21" name="Text Box 2">
          <a:extLst>
            <a:ext uri="{FF2B5EF4-FFF2-40B4-BE49-F238E27FC236}">
              <a16:creationId xmlns:a16="http://schemas.microsoft.com/office/drawing/2014/main" id="{7B6061F5-CC25-4BC7-9609-73E741A56E1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22" name="Text Box 1">
          <a:extLst>
            <a:ext uri="{FF2B5EF4-FFF2-40B4-BE49-F238E27FC236}">
              <a16:creationId xmlns:a16="http://schemas.microsoft.com/office/drawing/2014/main" id="{7C65149A-BE98-43E1-B537-3B1FBA89CB6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23" name="Text Box 2">
          <a:extLst>
            <a:ext uri="{FF2B5EF4-FFF2-40B4-BE49-F238E27FC236}">
              <a16:creationId xmlns:a16="http://schemas.microsoft.com/office/drawing/2014/main" id="{6D145EB6-1DAC-4B47-8AC9-CAC8BEB7A18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24" name="Text Box 1">
          <a:extLst>
            <a:ext uri="{FF2B5EF4-FFF2-40B4-BE49-F238E27FC236}">
              <a16:creationId xmlns:a16="http://schemas.microsoft.com/office/drawing/2014/main" id="{D34313D9-A9EA-4F52-A5DB-1421DBD0F7B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25" name="Text Box 2">
          <a:extLst>
            <a:ext uri="{FF2B5EF4-FFF2-40B4-BE49-F238E27FC236}">
              <a16:creationId xmlns:a16="http://schemas.microsoft.com/office/drawing/2014/main" id="{BEE061D7-1FCB-4A2D-BB5C-FBAFB406568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26" name="Text Box 1">
          <a:extLst>
            <a:ext uri="{FF2B5EF4-FFF2-40B4-BE49-F238E27FC236}">
              <a16:creationId xmlns:a16="http://schemas.microsoft.com/office/drawing/2014/main" id="{6124FE23-8CFA-4196-B3A0-EEB1715525E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27" name="Text Box 2">
          <a:extLst>
            <a:ext uri="{FF2B5EF4-FFF2-40B4-BE49-F238E27FC236}">
              <a16:creationId xmlns:a16="http://schemas.microsoft.com/office/drawing/2014/main" id="{802C52B8-C5E6-4574-94B5-A422FB5DA60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28" name="Text Box 1">
          <a:extLst>
            <a:ext uri="{FF2B5EF4-FFF2-40B4-BE49-F238E27FC236}">
              <a16:creationId xmlns:a16="http://schemas.microsoft.com/office/drawing/2014/main" id="{D7EB11AB-A4FC-4F8B-826F-C864136A23E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29" name="Text Box 2">
          <a:extLst>
            <a:ext uri="{FF2B5EF4-FFF2-40B4-BE49-F238E27FC236}">
              <a16:creationId xmlns:a16="http://schemas.microsoft.com/office/drawing/2014/main" id="{5A6D25C8-1912-4D9F-82CF-D90F6B69DA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30" name="Text Box 1">
          <a:extLst>
            <a:ext uri="{FF2B5EF4-FFF2-40B4-BE49-F238E27FC236}">
              <a16:creationId xmlns:a16="http://schemas.microsoft.com/office/drawing/2014/main" id="{7E6AE8CE-069C-4541-8804-023DDCC987A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31" name="Text Box 2">
          <a:extLst>
            <a:ext uri="{FF2B5EF4-FFF2-40B4-BE49-F238E27FC236}">
              <a16:creationId xmlns:a16="http://schemas.microsoft.com/office/drawing/2014/main" id="{E0B59B25-D9EC-4E68-AC0E-164BB606F43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32" name="Text Box 1">
          <a:extLst>
            <a:ext uri="{FF2B5EF4-FFF2-40B4-BE49-F238E27FC236}">
              <a16:creationId xmlns:a16="http://schemas.microsoft.com/office/drawing/2014/main" id="{66E7C1E0-04B1-4164-B528-B4C196F9E0D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33" name="Text Box 2">
          <a:extLst>
            <a:ext uri="{FF2B5EF4-FFF2-40B4-BE49-F238E27FC236}">
              <a16:creationId xmlns:a16="http://schemas.microsoft.com/office/drawing/2014/main" id="{A57F88F7-F877-4FF0-9C18-81E42971DF0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34" name="Text Box 1">
          <a:extLst>
            <a:ext uri="{FF2B5EF4-FFF2-40B4-BE49-F238E27FC236}">
              <a16:creationId xmlns:a16="http://schemas.microsoft.com/office/drawing/2014/main" id="{9A49B372-43DB-4BD3-B876-E1394612F5D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35" name="Text Box 2">
          <a:extLst>
            <a:ext uri="{FF2B5EF4-FFF2-40B4-BE49-F238E27FC236}">
              <a16:creationId xmlns:a16="http://schemas.microsoft.com/office/drawing/2014/main" id="{1D81690E-26F0-4852-BE28-1B0F0FECA7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36" name="Text Box 1">
          <a:extLst>
            <a:ext uri="{FF2B5EF4-FFF2-40B4-BE49-F238E27FC236}">
              <a16:creationId xmlns:a16="http://schemas.microsoft.com/office/drawing/2014/main" id="{E99017CA-E053-4C40-B2B0-366C9783EFA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37" name="Text Box 2">
          <a:extLst>
            <a:ext uri="{FF2B5EF4-FFF2-40B4-BE49-F238E27FC236}">
              <a16:creationId xmlns:a16="http://schemas.microsoft.com/office/drawing/2014/main" id="{99F1BC90-E90C-442F-8274-39E0AF4274D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38" name="Text Box 1">
          <a:extLst>
            <a:ext uri="{FF2B5EF4-FFF2-40B4-BE49-F238E27FC236}">
              <a16:creationId xmlns:a16="http://schemas.microsoft.com/office/drawing/2014/main" id="{5FE87301-74E9-44F0-888C-DD46AA6B4E3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39" name="Text Box 2">
          <a:extLst>
            <a:ext uri="{FF2B5EF4-FFF2-40B4-BE49-F238E27FC236}">
              <a16:creationId xmlns:a16="http://schemas.microsoft.com/office/drawing/2014/main" id="{B931A424-AE2B-42E1-A549-E2B9C09AEBF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40" name="Text Box 1">
          <a:extLst>
            <a:ext uri="{FF2B5EF4-FFF2-40B4-BE49-F238E27FC236}">
              <a16:creationId xmlns:a16="http://schemas.microsoft.com/office/drawing/2014/main" id="{329887F3-ACDF-478A-B05E-1FFE3948B93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41" name="Text Box 2">
          <a:extLst>
            <a:ext uri="{FF2B5EF4-FFF2-40B4-BE49-F238E27FC236}">
              <a16:creationId xmlns:a16="http://schemas.microsoft.com/office/drawing/2014/main" id="{D51E5BE2-4E1F-457A-AE85-94F4A07E4B9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342" name="Text Box 1">
          <a:extLst>
            <a:ext uri="{FF2B5EF4-FFF2-40B4-BE49-F238E27FC236}">
              <a16:creationId xmlns:a16="http://schemas.microsoft.com/office/drawing/2014/main" id="{E1008F05-82C5-49FD-9450-C5E9E79BDB9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343" name="Text Box 2">
          <a:extLst>
            <a:ext uri="{FF2B5EF4-FFF2-40B4-BE49-F238E27FC236}">
              <a16:creationId xmlns:a16="http://schemas.microsoft.com/office/drawing/2014/main" id="{57A3AFA8-53F7-4A63-8F7D-D0AEBAA9FECB}"/>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344" name="Text Box 1">
          <a:extLst>
            <a:ext uri="{FF2B5EF4-FFF2-40B4-BE49-F238E27FC236}">
              <a16:creationId xmlns:a16="http://schemas.microsoft.com/office/drawing/2014/main" id="{0E919F27-C8E7-470F-8EFF-DCFF4BA886B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345" name="Text Box 2">
          <a:extLst>
            <a:ext uri="{FF2B5EF4-FFF2-40B4-BE49-F238E27FC236}">
              <a16:creationId xmlns:a16="http://schemas.microsoft.com/office/drawing/2014/main" id="{3E9A9044-BC37-41DC-9749-C5ECFA6C41D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46" name="Text Box 1">
          <a:extLst>
            <a:ext uri="{FF2B5EF4-FFF2-40B4-BE49-F238E27FC236}">
              <a16:creationId xmlns:a16="http://schemas.microsoft.com/office/drawing/2014/main" id="{EA03F795-C6D2-4DB9-8544-E4A2C916255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47" name="Text Box 2">
          <a:extLst>
            <a:ext uri="{FF2B5EF4-FFF2-40B4-BE49-F238E27FC236}">
              <a16:creationId xmlns:a16="http://schemas.microsoft.com/office/drawing/2014/main" id="{66C40F3E-61D2-4C34-A3AD-CA29821EBE5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48" name="Text Box 1">
          <a:extLst>
            <a:ext uri="{FF2B5EF4-FFF2-40B4-BE49-F238E27FC236}">
              <a16:creationId xmlns:a16="http://schemas.microsoft.com/office/drawing/2014/main" id="{DA27ACA5-6D32-41D1-8FC5-EBD998B245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49" name="Text Box 2">
          <a:extLst>
            <a:ext uri="{FF2B5EF4-FFF2-40B4-BE49-F238E27FC236}">
              <a16:creationId xmlns:a16="http://schemas.microsoft.com/office/drawing/2014/main" id="{955AA512-1399-4860-9409-57AF08F45A8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50" name="Text Box 1">
          <a:extLst>
            <a:ext uri="{FF2B5EF4-FFF2-40B4-BE49-F238E27FC236}">
              <a16:creationId xmlns:a16="http://schemas.microsoft.com/office/drawing/2014/main" id="{D7CEE611-31EB-4B44-A864-26BDA4C07DE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51" name="Text Box 2">
          <a:extLst>
            <a:ext uri="{FF2B5EF4-FFF2-40B4-BE49-F238E27FC236}">
              <a16:creationId xmlns:a16="http://schemas.microsoft.com/office/drawing/2014/main" id="{F1E24790-D77D-4D4C-BCD5-3F62A05838C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52" name="Text Box 1">
          <a:extLst>
            <a:ext uri="{FF2B5EF4-FFF2-40B4-BE49-F238E27FC236}">
              <a16:creationId xmlns:a16="http://schemas.microsoft.com/office/drawing/2014/main" id="{DED93934-2F22-46EA-80CA-F83BBB89F18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53" name="Text Box 2">
          <a:extLst>
            <a:ext uri="{FF2B5EF4-FFF2-40B4-BE49-F238E27FC236}">
              <a16:creationId xmlns:a16="http://schemas.microsoft.com/office/drawing/2014/main" id="{7C583A08-D76E-48A3-A8A1-EAF285007C7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354" name="Text Box 1">
          <a:extLst>
            <a:ext uri="{FF2B5EF4-FFF2-40B4-BE49-F238E27FC236}">
              <a16:creationId xmlns:a16="http://schemas.microsoft.com/office/drawing/2014/main" id="{DACA6A90-EB66-4839-A9E1-1B300653F6B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355" name="Text Box 2">
          <a:extLst>
            <a:ext uri="{FF2B5EF4-FFF2-40B4-BE49-F238E27FC236}">
              <a16:creationId xmlns:a16="http://schemas.microsoft.com/office/drawing/2014/main" id="{D6ED8F7D-B438-4073-98C3-3654DB9E1BFD}"/>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356" name="Text Box 1">
          <a:extLst>
            <a:ext uri="{FF2B5EF4-FFF2-40B4-BE49-F238E27FC236}">
              <a16:creationId xmlns:a16="http://schemas.microsoft.com/office/drawing/2014/main" id="{24E5B160-2488-4067-957E-CEAB09589FD8}"/>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357" name="Text Box 2">
          <a:extLst>
            <a:ext uri="{FF2B5EF4-FFF2-40B4-BE49-F238E27FC236}">
              <a16:creationId xmlns:a16="http://schemas.microsoft.com/office/drawing/2014/main" id="{45EFBAB7-D4F5-4117-B08C-D4C6BAEF5E9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58" name="Text Box 1">
          <a:extLst>
            <a:ext uri="{FF2B5EF4-FFF2-40B4-BE49-F238E27FC236}">
              <a16:creationId xmlns:a16="http://schemas.microsoft.com/office/drawing/2014/main" id="{600BBFC3-1F85-4298-8A22-20DCD1225DC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59" name="Text Box 2">
          <a:extLst>
            <a:ext uri="{FF2B5EF4-FFF2-40B4-BE49-F238E27FC236}">
              <a16:creationId xmlns:a16="http://schemas.microsoft.com/office/drawing/2014/main" id="{54CB3D83-7BB9-4605-A71A-E9BADB5322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60" name="Text Box 1">
          <a:extLst>
            <a:ext uri="{FF2B5EF4-FFF2-40B4-BE49-F238E27FC236}">
              <a16:creationId xmlns:a16="http://schemas.microsoft.com/office/drawing/2014/main" id="{FBDBA920-7ECF-46E6-BB26-4F8A23D8B10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61" name="Text Box 2">
          <a:extLst>
            <a:ext uri="{FF2B5EF4-FFF2-40B4-BE49-F238E27FC236}">
              <a16:creationId xmlns:a16="http://schemas.microsoft.com/office/drawing/2014/main" id="{BABBA4FE-5E09-45EE-ABF1-7D1E104481B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362" name="Text Box 1">
          <a:extLst>
            <a:ext uri="{FF2B5EF4-FFF2-40B4-BE49-F238E27FC236}">
              <a16:creationId xmlns:a16="http://schemas.microsoft.com/office/drawing/2014/main" id="{F881B489-DF9B-46FE-92CB-19C4B34C31C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363" name="Text Box 2">
          <a:extLst>
            <a:ext uri="{FF2B5EF4-FFF2-40B4-BE49-F238E27FC236}">
              <a16:creationId xmlns:a16="http://schemas.microsoft.com/office/drawing/2014/main" id="{689FDDEC-C206-48B8-9A03-3534500083B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364" name="Text Box 1">
          <a:extLst>
            <a:ext uri="{FF2B5EF4-FFF2-40B4-BE49-F238E27FC236}">
              <a16:creationId xmlns:a16="http://schemas.microsoft.com/office/drawing/2014/main" id="{1ECBBD8B-657E-4CD1-A346-05570AAE3BD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365" name="Text Box 2">
          <a:extLst>
            <a:ext uri="{FF2B5EF4-FFF2-40B4-BE49-F238E27FC236}">
              <a16:creationId xmlns:a16="http://schemas.microsoft.com/office/drawing/2014/main" id="{F704AFB0-9742-483F-B0BB-D693315CA5ED}"/>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66" name="Text Box 1">
          <a:extLst>
            <a:ext uri="{FF2B5EF4-FFF2-40B4-BE49-F238E27FC236}">
              <a16:creationId xmlns:a16="http://schemas.microsoft.com/office/drawing/2014/main" id="{1485FC7C-957F-45AE-B9C3-04BD7FBC2DB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67" name="Text Box 2">
          <a:extLst>
            <a:ext uri="{FF2B5EF4-FFF2-40B4-BE49-F238E27FC236}">
              <a16:creationId xmlns:a16="http://schemas.microsoft.com/office/drawing/2014/main" id="{DEEDCF20-0B3D-414E-823A-70AA93EECD0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68" name="Text Box 1">
          <a:extLst>
            <a:ext uri="{FF2B5EF4-FFF2-40B4-BE49-F238E27FC236}">
              <a16:creationId xmlns:a16="http://schemas.microsoft.com/office/drawing/2014/main" id="{2BE47408-3811-4094-845F-0F57B6CE9E7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69" name="Text Box 2">
          <a:extLst>
            <a:ext uri="{FF2B5EF4-FFF2-40B4-BE49-F238E27FC236}">
              <a16:creationId xmlns:a16="http://schemas.microsoft.com/office/drawing/2014/main" id="{8FA7F8F4-8CFC-4932-8F74-34A376FC24F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370" name="Text Box 1">
          <a:extLst>
            <a:ext uri="{FF2B5EF4-FFF2-40B4-BE49-F238E27FC236}">
              <a16:creationId xmlns:a16="http://schemas.microsoft.com/office/drawing/2014/main" id="{548CEF3E-6977-4D32-B42D-0444C20C0D7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371" name="Text Box 2">
          <a:extLst>
            <a:ext uri="{FF2B5EF4-FFF2-40B4-BE49-F238E27FC236}">
              <a16:creationId xmlns:a16="http://schemas.microsoft.com/office/drawing/2014/main" id="{9AD4E976-99AF-45F8-A9B1-3F3BB16D7A9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72" name="Text Box 1">
          <a:extLst>
            <a:ext uri="{FF2B5EF4-FFF2-40B4-BE49-F238E27FC236}">
              <a16:creationId xmlns:a16="http://schemas.microsoft.com/office/drawing/2014/main" id="{8D4E7E05-FB81-44B1-8BBB-4AA39DD05EB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73" name="Text Box 2">
          <a:extLst>
            <a:ext uri="{FF2B5EF4-FFF2-40B4-BE49-F238E27FC236}">
              <a16:creationId xmlns:a16="http://schemas.microsoft.com/office/drawing/2014/main" id="{BD60A596-F32D-40C3-8FBB-A749EC1F9B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374" name="Text Box 1">
          <a:extLst>
            <a:ext uri="{FF2B5EF4-FFF2-40B4-BE49-F238E27FC236}">
              <a16:creationId xmlns:a16="http://schemas.microsoft.com/office/drawing/2014/main" id="{0F41A6DB-8BA0-417B-82E7-01EFC9FB007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375" name="Text Box 2">
          <a:extLst>
            <a:ext uri="{FF2B5EF4-FFF2-40B4-BE49-F238E27FC236}">
              <a16:creationId xmlns:a16="http://schemas.microsoft.com/office/drawing/2014/main" id="{386F7BEE-AEF6-43D1-B23B-91E071611E5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376" name="Text Box 1">
          <a:extLst>
            <a:ext uri="{FF2B5EF4-FFF2-40B4-BE49-F238E27FC236}">
              <a16:creationId xmlns:a16="http://schemas.microsoft.com/office/drawing/2014/main" id="{DEF36F97-BBBA-4FF7-8137-3E9971FD528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377" name="Text Box 2">
          <a:extLst>
            <a:ext uri="{FF2B5EF4-FFF2-40B4-BE49-F238E27FC236}">
              <a16:creationId xmlns:a16="http://schemas.microsoft.com/office/drawing/2014/main" id="{DECC0A0B-C221-4840-AFB8-5208F537D0E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78" name="Text Box 1">
          <a:extLst>
            <a:ext uri="{FF2B5EF4-FFF2-40B4-BE49-F238E27FC236}">
              <a16:creationId xmlns:a16="http://schemas.microsoft.com/office/drawing/2014/main" id="{DD44D6B2-686A-4D8A-986C-39C7D8C6413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79" name="Text Box 2">
          <a:extLst>
            <a:ext uri="{FF2B5EF4-FFF2-40B4-BE49-F238E27FC236}">
              <a16:creationId xmlns:a16="http://schemas.microsoft.com/office/drawing/2014/main" id="{F8FE77B0-12C7-4FEC-84C4-202059F79DB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80" name="Text Box 1">
          <a:extLst>
            <a:ext uri="{FF2B5EF4-FFF2-40B4-BE49-F238E27FC236}">
              <a16:creationId xmlns:a16="http://schemas.microsoft.com/office/drawing/2014/main" id="{8A7257BA-15AA-4B92-8B9D-28FE5619E2A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81" name="Text Box 2">
          <a:extLst>
            <a:ext uri="{FF2B5EF4-FFF2-40B4-BE49-F238E27FC236}">
              <a16:creationId xmlns:a16="http://schemas.microsoft.com/office/drawing/2014/main" id="{828F5DFD-70E6-475F-8D96-86B0529585C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82" name="Text Box 1">
          <a:extLst>
            <a:ext uri="{FF2B5EF4-FFF2-40B4-BE49-F238E27FC236}">
              <a16:creationId xmlns:a16="http://schemas.microsoft.com/office/drawing/2014/main" id="{C937F31A-1698-4D16-BE03-177C13EA5C4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83" name="Text Box 2">
          <a:extLst>
            <a:ext uri="{FF2B5EF4-FFF2-40B4-BE49-F238E27FC236}">
              <a16:creationId xmlns:a16="http://schemas.microsoft.com/office/drawing/2014/main" id="{16587B07-FD1E-4A41-8F05-511AAF1AE32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384" name="Text Box 1">
          <a:extLst>
            <a:ext uri="{FF2B5EF4-FFF2-40B4-BE49-F238E27FC236}">
              <a16:creationId xmlns:a16="http://schemas.microsoft.com/office/drawing/2014/main" id="{172BB254-CC44-4F72-8D8D-075A498439B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385" name="Text Box 2">
          <a:extLst>
            <a:ext uri="{FF2B5EF4-FFF2-40B4-BE49-F238E27FC236}">
              <a16:creationId xmlns:a16="http://schemas.microsoft.com/office/drawing/2014/main" id="{259CC68A-9A17-4D4D-9890-FE420C89B56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86" name="Text Box 1">
          <a:extLst>
            <a:ext uri="{FF2B5EF4-FFF2-40B4-BE49-F238E27FC236}">
              <a16:creationId xmlns:a16="http://schemas.microsoft.com/office/drawing/2014/main" id="{E1DD5399-F863-47BF-A946-8F05C2104E7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87" name="Text Box 2">
          <a:extLst>
            <a:ext uri="{FF2B5EF4-FFF2-40B4-BE49-F238E27FC236}">
              <a16:creationId xmlns:a16="http://schemas.microsoft.com/office/drawing/2014/main" id="{8592E04B-B2D6-40EF-8A9F-2C5D8F20DD8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388" name="Text Box 1">
          <a:extLst>
            <a:ext uri="{FF2B5EF4-FFF2-40B4-BE49-F238E27FC236}">
              <a16:creationId xmlns:a16="http://schemas.microsoft.com/office/drawing/2014/main" id="{3C7B7930-4F32-4E1D-A4F7-423DFFE4A5A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389" name="Text Box 2">
          <a:extLst>
            <a:ext uri="{FF2B5EF4-FFF2-40B4-BE49-F238E27FC236}">
              <a16:creationId xmlns:a16="http://schemas.microsoft.com/office/drawing/2014/main" id="{F27505DC-AD84-4F51-8075-C6D1A709DCF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90" name="Text Box 1">
          <a:extLst>
            <a:ext uri="{FF2B5EF4-FFF2-40B4-BE49-F238E27FC236}">
              <a16:creationId xmlns:a16="http://schemas.microsoft.com/office/drawing/2014/main" id="{5A349563-2DDD-4F32-B761-A4377438065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91" name="Text Box 2">
          <a:extLst>
            <a:ext uri="{FF2B5EF4-FFF2-40B4-BE49-F238E27FC236}">
              <a16:creationId xmlns:a16="http://schemas.microsoft.com/office/drawing/2014/main" id="{E1468CEE-7439-419F-BEB3-1BED9A9DB9D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92" name="Text Box 1">
          <a:extLst>
            <a:ext uri="{FF2B5EF4-FFF2-40B4-BE49-F238E27FC236}">
              <a16:creationId xmlns:a16="http://schemas.microsoft.com/office/drawing/2014/main" id="{96F04D8E-6A33-4F2F-872A-CE3F40ED50D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93" name="Text Box 2">
          <a:extLst>
            <a:ext uri="{FF2B5EF4-FFF2-40B4-BE49-F238E27FC236}">
              <a16:creationId xmlns:a16="http://schemas.microsoft.com/office/drawing/2014/main" id="{7004E728-F52E-459F-8461-F42D5A9889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94" name="Text Box 1">
          <a:extLst>
            <a:ext uri="{FF2B5EF4-FFF2-40B4-BE49-F238E27FC236}">
              <a16:creationId xmlns:a16="http://schemas.microsoft.com/office/drawing/2014/main" id="{B41C9465-72CD-40A7-9125-62428DD6930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95" name="Text Box 2">
          <a:extLst>
            <a:ext uri="{FF2B5EF4-FFF2-40B4-BE49-F238E27FC236}">
              <a16:creationId xmlns:a16="http://schemas.microsoft.com/office/drawing/2014/main" id="{ADF466D8-B9C4-4E50-90DA-A66910F96A0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96" name="Text Box 1">
          <a:extLst>
            <a:ext uri="{FF2B5EF4-FFF2-40B4-BE49-F238E27FC236}">
              <a16:creationId xmlns:a16="http://schemas.microsoft.com/office/drawing/2014/main" id="{B3019264-7DED-4577-B042-C596E415418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97" name="Text Box 2">
          <a:extLst>
            <a:ext uri="{FF2B5EF4-FFF2-40B4-BE49-F238E27FC236}">
              <a16:creationId xmlns:a16="http://schemas.microsoft.com/office/drawing/2014/main" id="{CA9C4389-E552-4D86-A248-C0DF75A09B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98" name="Text Box 1">
          <a:extLst>
            <a:ext uri="{FF2B5EF4-FFF2-40B4-BE49-F238E27FC236}">
              <a16:creationId xmlns:a16="http://schemas.microsoft.com/office/drawing/2014/main" id="{93C8A0AE-F11D-461F-AA81-79D2803EAAA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99" name="Text Box 2">
          <a:extLst>
            <a:ext uri="{FF2B5EF4-FFF2-40B4-BE49-F238E27FC236}">
              <a16:creationId xmlns:a16="http://schemas.microsoft.com/office/drawing/2014/main" id="{85ED0BC8-8810-4483-8288-579CF35DA57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00" name="Text Box 1">
          <a:extLst>
            <a:ext uri="{FF2B5EF4-FFF2-40B4-BE49-F238E27FC236}">
              <a16:creationId xmlns:a16="http://schemas.microsoft.com/office/drawing/2014/main" id="{E1567994-9367-4480-AEAD-BE4CD754A2F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01" name="Text Box 2">
          <a:extLst>
            <a:ext uri="{FF2B5EF4-FFF2-40B4-BE49-F238E27FC236}">
              <a16:creationId xmlns:a16="http://schemas.microsoft.com/office/drawing/2014/main" id="{89056023-D821-4A92-8999-B74E9314961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02" name="Text Box 1">
          <a:extLst>
            <a:ext uri="{FF2B5EF4-FFF2-40B4-BE49-F238E27FC236}">
              <a16:creationId xmlns:a16="http://schemas.microsoft.com/office/drawing/2014/main" id="{A349A1EA-1566-426B-82B2-97CCC706E35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03" name="Text Box 2">
          <a:extLst>
            <a:ext uri="{FF2B5EF4-FFF2-40B4-BE49-F238E27FC236}">
              <a16:creationId xmlns:a16="http://schemas.microsoft.com/office/drawing/2014/main" id="{EBFEB131-2F6D-4EAB-B376-FDF26103097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04" name="Text Box 1">
          <a:extLst>
            <a:ext uri="{FF2B5EF4-FFF2-40B4-BE49-F238E27FC236}">
              <a16:creationId xmlns:a16="http://schemas.microsoft.com/office/drawing/2014/main" id="{60DF6ADD-F4A8-4B25-9CD8-0FC25EAD8FF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05" name="Text Box 2">
          <a:extLst>
            <a:ext uri="{FF2B5EF4-FFF2-40B4-BE49-F238E27FC236}">
              <a16:creationId xmlns:a16="http://schemas.microsoft.com/office/drawing/2014/main" id="{614F2DDB-9EFF-490F-9B4A-F01571CFF53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06" name="Text Box 2">
          <a:extLst>
            <a:ext uri="{FF2B5EF4-FFF2-40B4-BE49-F238E27FC236}">
              <a16:creationId xmlns:a16="http://schemas.microsoft.com/office/drawing/2014/main" id="{8F80F095-913D-4FB8-B917-D4177D7CE48F}"/>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07" name="Text Box 1">
          <a:extLst>
            <a:ext uri="{FF2B5EF4-FFF2-40B4-BE49-F238E27FC236}">
              <a16:creationId xmlns:a16="http://schemas.microsoft.com/office/drawing/2014/main" id="{5F182380-1953-4996-95E0-574E2E92319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08" name="Text Box 2">
          <a:extLst>
            <a:ext uri="{FF2B5EF4-FFF2-40B4-BE49-F238E27FC236}">
              <a16:creationId xmlns:a16="http://schemas.microsoft.com/office/drawing/2014/main" id="{D9B92036-7DB2-4E9C-9BB6-D6CF7F3ACAB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09" name="Text Box 1">
          <a:extLst>
            <a:ext uri="{FF2B5EF4-FFF2-40B4-BE49-F238E27FC236}">
              <a16:creationId xmlns:a16="http://schemas.microsoft.com/office/drawing/2014/main" id="{1B7E1533-69A6-41CC-BE34-FCBC12B504F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10" name="Text Box 2">
          <a:extLst>
            <a:ext uri="{FF2B5EF4-FFF2-40B4-BE49-F238E27FC236}">
              <a16:creationId xmlns:a16="http://schemas.microsoft.com/office/drawing/2014/main" id="{911C2496-C86D-4AB3-A221-0E31DC2C0EB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411" name="Text Box 1">
          <a:extLst>
            <a:ext uri="{FF2B5EF4-FFF2-40B4-BE49-F238E27FC236}">
              <a16:creationId xmlns:a16="http://schemas.microsoft.com/office/drawing/2014/main" id="{7CC0FA99-74BE-4515-A1A4-EB387FAD1A6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412" name="Text Box 2">
          <a:extLst>
            <a:ext uri="{FF2B5EF4-FFF2-40B4-BE49-F238E27FC236}">
              <a16:creationId xmlns:a16="http://schemas.microsoft.com/office/drawing/2014/main" id="{6677CB54-2EF4-4E61-B641-4F91A795825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13" name="Text Box 1">
          <a:extLst>
            <a:ext uri="{FF2B5EF4-FFF2-40B4-BE49-F238E27FC236}">
              <a16:creationId xmlns:a16="http://schemas.microsoft.com/office/drawing/2014/main" id="{610C214B-5966-4F4E-B590-BE09A6F19FE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14" name="Text Box 2">
          <a:extLst>
            <a:ext uri="{FF2B5EF4-FFF2-40B4-BE49-F238E27FC236}">
              <a16:creationId xmlns:a16="http://schemas.microsoft.com/office/drawing/2014/main" id="{28904BCE-486D-4FA1-9F96-BFD207CB977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15" name="Text Box 2">
          <a:extLst>
            <a:ext uri="{FF2B5EF4-FFF2-40B4-BE49-F238E27FC236}">
              <a16:creationId xmlns:a16="http://schemas.microsoft.com/office/drawing/2014/main" id="{43A532A0-FA3D-4A67-81A0-52601723A46C}"/>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16" name="Text Box 1">
          <a:extLst>
            <a:ext uri="{FF2B5EF4-FFF2-40B4-BE49-F238E27FC236}">
              <a16:creationId xmlns:a16="http://schemas.microsoft.com/office/drawing/2014/main" id="{752F4C3D-2B14-458B-AB64-3DE57315F3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17" name="Text Box 2">
          <a:extLst>
            <a:ext uri="{FF2B5EF4-FFF2-40B4-BE49-F238E27FC236}">
              <a16:creationId xmlns:a16="http://schemas.microsoft.com/office/drawing/2014/main" id="{5BE76ECB-9D7F-4C6E-A67B-464472173A4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18" name="Text Box 2">
          <a:extLst>
            <a:ext uri="{FF2B5EF4-FFF2-40B4-BE49-F238E27FC236}">
              <a16:creationId xmlns:a16="http://schemas.microsoft.com/office/drawing/2014/main" id="{7A3CA28D-CD00-4829-9C72-B003CE32C57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19" name="Text Box 1">
          <a:extLst>
            <a:ext uri="{FF2B5EF4-FFF2-40B4-BE49-F238E27FC236}">
              <a16:creationId xmlns:a16="http://schemas.microsoft.com/office/drawing/2014/main" id="{36AEDAD1-5452-453C-B245-AB2F24C0BE4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20" name="Text Box 2">
          <a:extLst>
            <a:ext uri="{FF2B5EF4-FFF2-40B4-BE49-F238E27FC236}">
              <a16:creationId xmlns:a16="http://schemas.microsoft.com/office/drawing/2014/main" id="{C238FEED-CA22-4EEB-AD3E-93E482CCC76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21" name="Text Box 2">
          <a:extLst>
            <a:ext uri="{FF2B5EF4-FFF2-40B4-BE49-F238E27FC236}">
              <a16:creationId xmlns:a16="http://schemas.microsoft.com/office/drawing/2014/main" id="{D630E87D-1DA8-4706-9F9E-7AE0702A77AE}"/>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22" name="Text Box 1">
          <a:extLst>
            <a:ext uri="{FF2B5EF4-FFF2-40B4-BE49-F238E27FC236}">
              <a16:creationId xmlns:a16="http://schemas.microsoft.com/office/drawing/2014/main" id="{61CFD806-EA10-43ED-AB9F-FBCDE522608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23" name="Text Box 2">
          <a:extLst>
            <a:ext uri="{FF2B5EF4-FFF2-40B4-BE49-F238E27FC236}">
              <a16:creationId xmlns:a16="http://schemas.microsoft.com/office/drawing/2014/main" id="{24CC2665-0ADC-4B8F-829E-B0D0887BA62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24" name="Text Box 2">
          <a:extLst>
            <a:ext uri="{FF2B5EF4-FFF2-40B4-BE49-F238E27FC236}">
              <a16:creationId xmlns:a16="http://schemas.microsoft.com/office/drawing/2014/main" id="{5C505D7B-CBAB-4AB2-9981-D64D465236F1}"/>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25" name="Text Box 1">
          <a:extLst>
            <a:ext uri="{FF2B5EF4-FFF2-40B4-BE49-F238E27FC236}">
              <a16:creationId xmlns:a16="http://schemas.microsoft.com/office/drawing/2014/main" id="{841D4E7C-7ED4-495F-A234-B3E025EA489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26" name="Text Box 2">
          <a:extLst>
            <a:ext uri="{FF2B5EF4-FFF2-40B4-BE49-F238E27FC236}">
              <a16:creationId xmlns:a16="http://schemas.microsoft.com/office/drawing/2014/main" id="{6DFE3976-2AA6-48E8-9D17-CBE59AB511D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27" name="Text Box 2">
          <a:extLst>
            <a:ext uri="{FF2B5EF4-FFF2-40B4-BE49-F238E27FC236}">
              <a16:creationId xmlns:a16="http://schemas.microsoft.com/office/drawing/2014/main" id="{10E68FC9-77A5-4007-9BEB-15668B949F27}"/>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28" name="Text Box 1">
          <a:extLst>
            <a:ext uri="{FF2B5EF4-FFF2-40B4-BE49-F238E27FC236}">
              <a16:creationId xmlns:a16="http://schemas.microsoft.com/office/drawing/2014/main" id="{73D920C1-E7CD-477F-AD7B-04A1952588A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29" name="Text Box 2">
          <a:extLst>
            <a:ext uri="{FF2B5EF4-FFF2-40B4-BE49-F238E27FC236}">
              <a16:creationId xmlns:a16="http://schemas.microsoft.com/office/drawing/2014/main" id="{CAEB6573-F9B7-488A-BC37-CD5BAD59079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30" name="Text Box 2">
          <a:extLst>
            <a:ext uri="{FF2B5EF4-FFF2-40B4-BE49-F238E27FC236}">
              <a16:creationId xmlns:a16="http://schemas.microsoft.com/office/drawing/2014/main" id="{72E00355-9F2D-49C1-9346-6E5DB8F6E05D}"/>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31" name="Text Box 1">
          <a:extLst>
            <a:ext uri="{FF2B5EF4-FFF2-40B4-BE49-F238E27FC236}">
              <a16:creationId xmlns:a16="http://schemas.microsoft.com/office/drawing/2014/main" id="{C062A05B-98C0-4F2C-BA96-B0977BDC2D4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32" name="Text Box 2">
          <a:extLst>
            <a:ext uri="{FF2B5EF4-FFF2-40B4-BE49-F238E27FC236}">
              <a16:creationId xmlns:a16="http://schemas.microsoft.com/office/drawing/2014/main" id="{C2E735CC-7B77-4E95-AF6E-C76F341DED3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33" name="Text Box 1">
          <a:extLst>
            <a:ext uri="{FF2B5EF4-FFF2-40B4-BE49-F238E27FC236}">
              <a16:creationId xmlns:a16="http://schemas.microsoft.com/office/drawing/2014/main" id="{CA8EF5AA-57B7-4F23-A0A1-56F34B792F2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34" name="Text Box 2">
          <a:extLst>
            <a:ext uri="{FF2B5EF4-FFF2-40B4-BE49-F238E27FC236}">
              <a16:creationId xmlns:a16="http://schemas.microsoft.com/office/drawing/2014/main" id="{85B0FAE8-9E62-4132-A646-9CC3C37579B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35" name="Text Box 1">
          <a:extLst>
            <a:ext uri="{FF2B5EF4-FFF2-40B4-BE49-F238E27FC236}">
              <a16:creationId xmlns:a16="http://schemas.microsoft.com/office/drawing/2014/main" id="{71C7E09C-D6CA-489F-BC45-B1C0D49A889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36" name="Text Box 2">
          <a:extLst>
            <a:ext uri="{FF2B5EF4-FFF2-40B4-BE49-F238E27FC236}">
              <a16:creationId xmlns:a16="http://schemas.microsoft.com/office/drawing/2014/main" id="{84AF4EAE-33A1-4244-874A-10DE89B1051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437" name="Text Box 1">
          <a:extLst>
            <a:ext uri="{FF2B5EF4-FFF2-40B4-BE49-F238E27FC236}">
              <a16:creationId xmlns:a16="http://schemas.microsoft.com/office/drawing/2014/main" id="{C470BDA3-8C44-4925-91BA-157691462C5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438" name="Text Box 2">
          <a:extLst>
            <a:ext uri="{FF2B5EF4-FFF2-40B4-BE49-F238E27FC236}">
              <a16:creationId xmlns:a16="http://schemas.microsoft.com/office/drawing/2014/main" id="{A88F1E6F-7413-4DA7-B944-34F7F1966CBD}"/>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39" name="Text Box 1">
          <a:extLst>
            <a:ext uri="{FF2B5EF4-FFF2-40B4-BE49-F238E27FC236}">
              <a16:creationId xmlns:a16="http://schemas.microsoft.com/office/drawing/2014/main" id="{7295F66A-9D65-4372-A5A0-996D5857EA6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40" name="Text Box 2">
          <a:extLst>
            <a:ext uri="{FF2B5EF4-FFF2-40B4-BE49-F238E27FC236}">
              <a16:creationId xmlns:a16="http://schemas.microsoft.com/office/drawing/2014/main" id="{CC9F8466-47FA-4D69-8E11-50225DED525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441" name="Text Box 1">
          <a:extLst>
            <a:ext uri="{FF2B5EF4-FFF2-40B4-BE49-F238E27FC236}">
              <a16:creationId xmlns:a16="http://schemas.microsoft.com/office/drawing/2014/main" id="{08566BFB-65FF-4227-9ECE-B6B39A8A7C0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442" name="Text Box 2">
          <a:extLst>
            <a:ext uri="{FF2B5EF4-FFF2-40B4-BE49-F238E27FC236}">
              <a16:creationId xmlns:a16="http://schemas.microsoft.com/office/drawing/2014/main" id="{88AF5AD1-1341-413F-B470-383C35CFD19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43" name="Text Box 1">
          <a:extLst>
            <a:ext uri="{FF2B5EF4-FFF2-40B4-BE49-F238E27FC236}">
              <a16:creationId xmlns:a16="http://schemas.microsoft.com/office/drawing/2014/main" id="{92E6C077-43A9-4DD9-B0FF-96D99D9F72E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44" name="Text Box 2">
          <a:extLst>
            <a:ext uri="{FF2B5EF4-FFF2-40B4-BE49-F238E27FC236}">
              <a16:creationId xmlns:a16="http://schemas.microsoft.com/office/drawing/2014/main" id="{CDA12BA7-32E7-4C92-BB7B-3B0CDC8227A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45" name="Text Box 1">
          <a:extLst>
            <a:ext uri="{FF2B5EF4-FFF2-40B4-BE49-F238E27FC236}">
              <a16:creationId xmlns:a16="http://schemas.microsoft.com/office/drawing/2014/main" id="{360B5574-AFFD-45F3-A41C-C280ECF5992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46" name="Text Box 2">
          <a:extLst>
            <a:ext uri="{FF2B5EF4-FFF2-40B4-BE49-F238E27FC236}">
              <a16:creationId xmlns:a16="http://schemas.microsoft.com/office/drawing/2014/main" id="{7B733ED9-D222-49BD-AE17-6B6BE2D54D2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447" name="Text Box 1">
          <a:extLst>
            <a:ext uri="{FF2B5EF4-FFF2-40B4-BE49-F238E27FC236}">
              <a16:creationId xmlns:a16="http://schemas.microsoft.com/office/drawing/2014/main" id="{5088E85B-0D94-45B5-ABA2-66939BBE9A2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448" name="Text Box 2">
          <a:extLst>
            <a:ext uri="{FF2B5EF4-FFF2-40B4-BE49-F238E27FC236}">
              <a16:creationId xmlns:a16="http://schemas.microsoft.com/office/drawing/2014/main" id="{16959170-AE54-41AE-B5F0-61C60C8D5A5C}"/>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49" name="Text Box 2">
          <a:extLst>
            <a:ext uri="{FF2B5EF4-FFF2-40B4-BE49-F238E27FC236}">
              <a16:creationId xmlns:a16="http://schemas.microsoft.com/office/drawing/2014/main" id="{C9600D56-2ADF-4F2C-B2BF-F0153276AFE0}"/>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50" name="Text Box 1">
          <a:extLst>
            <a:ext uri="{FF2B5EF4-FFF2-40B4-BE49-F238E27FC236}">
              <a16:creationId xmlns:a16="http://schemas.microsoft.com/office/drawing/2014/main" id="{B62FC558-0E4E-47C8-9253-149D4451F7C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51" name="Text Box 2">
          <a:extLst>
            <a:ext uri="{FF2B5EF4-FFF2-40B4-BE49-F238E27FC236}">
              <a16:creationId xmlns:a16="http://schemas.microsoft.com/office/drawing/2014/main" id="{CFE9C897-FBBC-464C-8A73-739273B8B95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52" name="Text Box 1">
          <a:extLst>
            <a:ext uri="{FF2B5EF4-FFF2-40B4-BE49-F238E27FC236}">
              <a16:creationId xmlns:a16="http://schemas.microsoft.com/office/drawing/2014/main" id="{8D84793A-2AC8-4D94-AAC4-A7A7E67F6DE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53" name="Text Box 2">
          <a:extLst>
            <a:ext uri="{FF2B5EF4-FFF2-40B4-BE49-F238E27FC236}">
              <a16:creationId xmlns:a16="http://schemas.microsoft.com/office/drawing/2014/main" id="{ECF3CE64-677A-4F71-A289-693B6EDC0CB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454" name="Text Box 1">
          <a:extLst>
            <a:ext uri="{FF2B5EF4-FFF2-40B4-BE49-F238E27FC236}">
              <a16:creationId xmlns:a16="http://schemas.microsoft.com/office/drawing/2014/main" id="{24FCF9BE-88B9-415E-B3DC-4F09646B235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455" name="Text Box 2">
          <a:extLst>
            <a:ext uri="{FF2B5EF4-FFF2-40B4-BE49-F238E27FC236}">
              <a16:creationId xmlns:a16="http://schemas.microsoft.com/office/drawing/2014/main" id="{1A939098-1480-4F68-90AF-CCE09192CACD}"/>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56" name="Text Box 1">
          <a:extLst>
            <a:ext uri="{FF2B5EF4-FFF2-40B4-BE49-F238E27FC236}">
              <a16:creationId xmlns:a16="http://schemas.microsoft.com/office/drawing/2014/main" id="{609E7406-0B4B-483C-A900-F1278A14118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57" name="Text Box 2">
          <a:extLst>
            <a:ext uri="{FF2B5EF4-FFF2-40B4-BE49-F238E27FC236}">
              <a16:creationId xmlns:a16="http://schemas.microsoft.com/office/drawing/2014/main" id="{3121D6F6-3582-48EA-A925-80B44B7C857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58" name="Text Box 2">
          <a:extLst>
            <a:ext uri="{FF2B5EF4-FFF2-40B4-BE49-F238E27FC236}">
              <a16:creationId xmlns:a16="http://schemas.microsoft.com/office/drawing/2014/main" id="{DEB9B215-DA5C-4BA8-8D5F-3D624CF423F6}"/>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59" name="Text Box 1">
          <a:extLst>
            <a:ext uri="{FF2B5EF4-FFF2-40B4-BE49-F238E27FC236}">
              <a16:creationId xmlns:a16="http://schemas.microsoft.com/office/drawing/2014/main" id="{72F75C64-2812-4D4D-8BBB-518631EA338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60" name="Text Box 2">
          <a:extLst>
            <a:ext uri="{FF2B5EF4-FFF2-40B4-BE49-F238E27FC236}">
              <a16:creationId xmlns:a16="http://schemas.microsoft.com/office/drawing/2014/main" id="{30746344-DC8E-40C7-8EE3-3F768414257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61" name="Text Box 2">
          <a:extLst>
            <a:ext uri="{FF2B5EF4-FFF2-40B4-BE49-F238E27FC236}">
              <a16:creationId xmlns:a16="http://schemas.microsoft.com/office/drawing/2014/main" id="{A83F8B15-6520-4921-82C1-2F0614C0C024}"/>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62" name="Text Box 1">
          <a:extLst>
            <a:ext uri="{FF2B5EF4-FFF2-40B4-BE49-F238E27FC236}">
              <a16:creationId xmlns:a16="http://schemas.microsoft.com/office/drawing/2014/main" id="{B5F227D8-D288-47A9-B578-BA5279AB243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63" name="Text Box 2">
          <a:extLst>
            <a:ext uri="{FF2B5EF4-FFF2-40B4-BE49-F238E27FC236}">
              <a16:creationId xmlns:a16="http://schemas.microsoft.com/office/drawing/2014/main" id="{76DDC1CB-BF6A-4309-AD4C-688882D8DB4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64" name="Text Box 2">
          <a:extLst>
            <a:ext uri="{FF2B5EF4-FFF2-40B4-BE49-F238E27FC236}">
              <a16:creationId xmlns:a16="http://schemas.microsoft.com/office/drawing/2014/main" id="{85545B80-867D-40BA-BD38-CC4542DF0745}"/>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65" name="Text Box 1">
          <a:extLst>
            <a:ext uri="{FF2B5EF4-FFF2-40B4-BE49-F238E27FC236}">
              <a16:creationId xmlns:a16="http://schemas.microsoft.com/office/drawing/2014/main" id="{352DAAC6-3378-4E85-90F9-BF64E496BBC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66" name="Text Box 2">
          <a:extLst>
            <a:ext uri="{FF2B5EF4-FFF2-40B4-BE49-F238E27FC236}">
              <a16:creationId xmlns:a16="http://schemas.microsoft.com/office/drawing/2014/main" id="{12EED6FC-E5C3-406F-B93E-8C36DAA512C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67" name="Text Box 2">
          <a:extLst>
            <a:ext uri="{FF2B5EF4-FFF2-40B4-BE49-F238E27FC236}">
              <a16:creationId xmlns:a16="http://schemas.microsoft.com/office/drawing/2014/main" id="{CB919CC0-45B4-4656-8D25-0C1510A7539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68" name="Text Box 1">
          <a:extLst>
            <a:ext uri="{FF2B5EF4-FFF2-40B4-BE49-F238E27FC236}">
              <a16:creationId xmlns:a16="http://schemas.microsoft.com/office/drawing/2014/main" id="{2037300C-5C29-47EC-A323-4FE15BB0A84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69" name="Text Box 2">
          <a:extLst>
            <a:ext uri="{FF2B5EF4-FFF2-40B4-BE49-F238E27FC236}">
              <a16:creationId xmlns:a16="http://schemas.microsoft.com/office/drawing/2014/main" id="{677838DF-F92C-4AD8-827B-88FAB865476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70" name="Text Box 2">
          <a:extLst>
            <a:ext uri="{FF2B5EF4-FFF2-40B4-BE49-F238E27FC236}">
              <a16:creationId xmlns:a16="http://schemas.microsoft.com/office/drawing/2014/main" id="{2E381BDA-00A2-4226-AF34-02A4B0C1FEE3}"/>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71" name="Text Box 1">
          <a:extLst>
            <a:ext uri="{FF2B5EF4-FFF2-40B4-BE49-F238E27FC236}">
              <a16:creationId xmlns:a16="http://schemas.microsoft.com/office/drawing/2014/main" id="{9E161C39-DAE1-4BA7-ADC2-F9CA68A2E21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72" name="Text Box 2">
          <a:extLst>
            <a:ext uri="{FF2B5EF4-FFF2-40B4-BE49-F238E27FC236}">
              <a16:creationId xmlns:a16="http://schemas.microsoft.com/office/drawing/2014/main" id="{4DB515B6-0D1F-4E79-ABC2-C3CCB89AD7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73" name="Text Box 2">
          <a:extLst>
            <a:ext uri="{FF2B5EF4-FFF2-40B4-BE49-F238E27FC236}">
              <a16:creationId xmlns:a16="http://schemas.microsoft.com/office/drawing/2014/main" id="{570493C0-B16F-43CD-A996-5C012D2AEE17}"/>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74" name="Text Box 1">
          <a:extLst>
            <a:ext uri="{FF2B5EF4-FFF2-40B4-BE49-F238E27FC236}">
              <a16:creationId xmlns:a16="http://schemas.microsoft.com/office/drawing/2014/main" id="{A586F6FD-3564-4381-A6B2-F6881858959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75" name="Text Box 2">
          <a:extLst>
            <a:ext uri="{FF2B5EF4-FFF2-40B4-BE49-F238E27FC236}">
              <a16:creationId xmlns:a16="http://schemas.microsoft.com/office/drawing/2014/main" id="{95D8F7DA-45E2-416B-84A4-A6C4196674C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76" name="Text Box 1">
          <a:extLst>
            <a:ext uri="{FF2B5EF4-FFF2-40B4-BE49-F238E27FC236}">
              <a16:creationId xmlns:a16="http://schemas.microsoft.com/office/drawing/2014/main" id="{B50D5BC7-D409-48C1-BC94-8EB0A774670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77" name="Text Box 2">
          <a:extLst>
            <a:ext uri="{FF2B5EF4-FFF2-40B4-BE49-F238E27FC236}">
              <a16:creationId xmlns:a16="http://schemas.microsoft.com/office/drawing/2014/main" id="{DC579EC5-1C5A-4866-91B1-48C2D428876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78" name="Text Box 1">
          <a:extLst>
            <a:ext uri="{FF2B5EF4-FFF2-40B4-BE49-F238E27FC236}">
              <a16:creationId xmlns:a16="http://schemas.microsoft.com/office/drawing/2014/main" id="{BAF6B6B8-D145-4E3D-8888-F1E90CF6C6D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79" name="Text Box 2">
          <a:extLst>
            <a:ext uri="{FF2B5EF4-FFF2-40B4-BE49-F238E27FC236}">
              <a16:creationId xmlns:a16="http://schemas.microsoft.com/office/drawing/2014/main" id="{AE01CEFA-696D-478E-A7FF-8F9829D0229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480" name="Text Box 1">
          <a:extLst>
            <a:ext uri="{FF2B5EF4-FFF2-40B4-BE49-F238E27FC236}">
              <a16:creationId xmlns:a16="http://schemas.microsoft.com/office/drawing/2014/main" id="{84104179-96DA-4A5D-A7B5-2A46440F092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481" name="Text Box 2">
          <a:extLst>
            <a:ext uri="{FF2B5EF4-FFF2-40B4-BE49-F238E27FC236}">
              <a16:creationId xmlns:a16="http://schemas.microsoft.com/office/drawing/2014/main" id="{4E40139F-3298-4C53-B5D9-4031B3E92C4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82" name="Text Box 1">
          <a:extLst>
            <a:ext uri="{FF2B5EF4-FFF2-40B4-BE49-F238E27FC236}">
              <a16:creationId xmlns:a16="http://schemas.microsoft.com/office/drawing/2014/main" id="{D16CAF8C-3346-47ED-AB3D-2584B3C0728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83" name="Text Box 2">
          <a:extLst>
            <a:ext uri="{FF2B5EF4-FFF2-40B4-BE49-F238E27FC236}">
              <a16:creationId xmlns:a16="http://schemas.microsoft.com/office/drawing/2014/main" id="{9DE2B47D-B81E-45C5-9BA0-D6C364C1F47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484" name="Text Box 1">
          <a:extLst>
            <a:ext uri="{FF2B5EF4-FFF2-40B4-BE49-F238E27FC236}">
              <a16:creationId xmlns:a16="http://schemas.microsoft.com/office/drawing/2014/main" id="{D0C82003-52B1-4C0A-ACF9-1957D76AE9A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485" name="Text Box 2">
          <a:extLst>
            <a:ext uri="{FF2B5EF4-FFF2-40B4-BE49-F238E27FC236}">
              <a16:creationId xmlns:a16="http://schemas.microsoft.com/office/drawing/2014/main" id="{217604E5-516A-470A-94A4-CE1A1DEF8F21}"/>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86" name="Text Box 1">
          <a:extLst>
            <a:ext uri="{FF2B5EF4-FFF2-40B4-BE49-F238E27FC236}">
              <a16:creationId xmlns:a16="http://schemas.microsoft.com/office/drawing/2014/main" id="{6C18137C-C362-4566-8FC0-60E9384A05B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87" name="Text Box 2">
          <a:extLst>
            <a:ext uri="{FF2B5EF4-FFF2-40B4-BE49-F238E27FC236}">
              <a16:creationId xmlns:a16="http://schemas.microsoft.com/office/drawing/2014/main" id="{448A3B36-3887-43D0-ACE4-708911B4221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88" name="Text Box 1">
          <a:extLst>
            <a:ext uri="{FF2B5EF4-FFF2-40B4-BE49-F238E27FC236}">
              <a16:creationId xmlns:a16="http://schemas.microsoft.com/office/drawing/2014/main" id="{5F2E5DC8-7D45-4C21-968F-9FF8D1CE1BF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89" name="Text Box 2">
          <a:extLst>
            <a:ext uri="{FF2B5EF4-FFF2-40B4-BE49-F238E27FC236}">
              <a16:creationId xmlns:a16="http://schemas.microsoft.com/office/drawing/2014/main" id="{2A2154A2-8731-4F97-ABD0-5D3D966C66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490" name="Text Box 1">
          <a:extLst>
            <a:ext uri="{FF2B5EF4-FFF2-40B4-BE49-F238E27FC236}">
              <a16:creationId xmlns:a16="http://schemas.microsoft.com/office/drawing/2014/main" id="{BE84A7AF-732B-442C-80B1-5F75F4952A4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491" name="Text Box 2">
          <a:extLst>
            <a:ext uri="{FF2B5EF4-FFF2-40B4-BE49-F238E27FC236}">
              <a16:creationId xmlns:a16="http://schemas.microsoft.com/office/drawing/2014/main" id="{67D2D35E-F751-40AB-809A-FCE1206BD77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92" name="Text Box 1">
          <a:extLst>
            <a:ext uri="{FF2B5EF4-FFF2-40B4-BE49-F238E27FC236}">
              <a16:creationId xmlns:a16="http://schemas.microsoft.com/office/drawing/2014/main" id="{94BA7EDB-798A-4C25-9B07-53311A9074B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93" name="Text Box 2">
          <a:extLst>
            <a:ext uri="{FF2B5EF4-FFF2-40B4-BE49-F238E27FC236}">
              <a16:creationId xmlns:a16="http://schemas.microsoft.com/office/drawing/2014/main" id="{47B49E05-682A-4B22-A619-26963510B1D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94" name="Text Box 2">
          <a:extLst>
            <a:ext uri="{FF2B5EF4-FFF2-40B4-BE49-F238E27FC236}">
              <a16:creationId xmlns:a16="http://schemas.microsoft.com/office/drawing/2014/main" id="{4D17A59E-FF3C-4896-9F25-A9B72C0F174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495" name="Text Box 1">
          <a:extLst>
            <a:ext uri="{FF2B5EF4-FFF2-40B4-BE49-F238E27FC236}">
              <a16:creationId xmlns:a16="http://schemas.microsoft.com/office/drawing/2014/main" id="{B58B235B-0F19-4624-9AEA-20E5A976D79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496" name="Text Box 2">
          <a:extLst>
            <a:ext uri="{FF2B5EF4-FFF2-40B4-BE49-F238E27FC236}">
              <a16:creationId xmlns:a16="http://schemas.microsoft.com/office/drawing/2014/main" id="{A5AA472F-B69B-40C3-88F3-7928153C0F3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97" name="Text Box 1">
          <a:extLst>
            <a:ext uri="{FF2B5EF4-FFF2-40B4-BE49-F238E27FC236}">
              <a16:creationId xmlns:a16="http://schemas.microsoft.com/office/drawing/2014/main" id="{275C1990-1AAC-4994-91F6-B98907ABA09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98" name="Text Box 2">
          <a:extLst>
            <a:ext uri="{FF2B5EF4-FFF2-40B4-BE49-F238E27FC236}">
              <a16:creationId xmlns:a16="http://schemas.microsoft.com/office/drawing/2014/main" id="{9D53375C-5494-4E11-9709-EB0936D4364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499" name="Text Box 1">
          <a:extLst>
            <a:ext uri="{FF2B5EF4-FFF2-40B4-BE49-F238E27FC236}">
              <a16:creationId xmlns:a16="http://schemas.microsoft.com/office/drawing/2014/main" id="{7B901A81-D0D0-4B6D-9466-5A373D5DCA0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00" name="Text Box 2">
          <a:extLst>
            <a:ext uri="{FF2B5EF4-FFF2-40B4-BE49-F238E27FC236}">
              <a16:creationId xmlns:a16="http://schemas.microsoft.com/office/drawing/2014/main" id="{45112EB6-60D1-4EFB-849E-F6304E4BF8CC}"/>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01" name="Text Box 1">
          <a:extLst>
            <a:ext uri="{FF2B5EF4-FFF2-40B4-BE49-F238E27FC236}">
              <a16:creationId xmlns:a16="http://schemas.microsoft.com/office/drawing/2014/main" id="{6B3E3FF1-996D-4806-8975-820490723A8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02" name="Text Box 2">
          <a:extLst>
            <a:ext uri="{FF2B5EF4-FFF2-40B4-BE49-F238E27FC236}">
              <a16:creationId xmlns:a16="http://schemas.microsoft.com/office/drawing/2014/main" id="{7B48EAFA-DCEB-420D-9F6E-63319912D84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03" name="Text Box 1">
          <a:extLst>
            <a:ext uri="{FF2B5EF4-FFF2-40B4-BE49-F238E27FC236}">
              <a16:creationId xmlns:a16="http://schemas.microsoft.com/office/drawing/2014/main" id="{850ECC73-2EFC-4342-9F82-7874698E857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04" name="Text Box 2">
          <a:extLst>
            <a:ext uri="{FF2B5EF4-FFF2-40B4-BE49-F238E27FC236}">
              <a16:creationId xmlns:a16="http://schemas.microsoft.com/office/drawing/2014/main" id="{9CC2C24F-E2D9-4BB2-A5A2-887E1AEADB8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05" name="Text Box 1">
          <a:extLst>
            <a:ext uri="{FF2B5EF4-FFF2-40B4-BE49-F238E27FC236}">
              <a16:creationId xmlns:a16="http://schemas.microsoft.com/office/drawing/2014/main" id="{1583F545-B200-427C-BFEB-8AE138F5CBB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06" name="Text Box 2">
          <a:extLst>
            <a:ext uri="{FF2B5EF4-FFF2-40B4-BE49-F238E27FC236}">
              <a16:creationId xmlns:a16="http://schemas.microsoft.com/office/drawing/2014/main" id="{B2A0993E-F8A2-409C-BE8C-1F6F13504A4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07" name="Text Box 1">
          <a:extLst>
            <a:ext uri="{FF2B5EF4-FFF2-40B4-BE49-F238E27FC236}">
              <a16:creationId xmlns:a16="http://schemas.microsoft.com/office/drawing/2014/main" id="{292BA659-69F9-4FE0-8BD0-C46098667FB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08" name="Text Box 2">
          <a:extLst>
            <a:ext uri="{FF2B5EF4-FFF2-40B4-BE49-F238E27FC236}">
              <a16:creationId xmlns:a16="http://schemas.microsoft.com/office/drawing/2014/main" id="{9336B626-9FF9-4EB6-99DF-F942459D787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09" name="Text Box 1">
          <a:extLst>
            <a:ext uri="{FF2B5EF4-FFF2-40B4-BE49-F238E27FC236}">
              <a16:creationId xmlns:a16="http://schemas.microsoft.com/office/drawing/2014/main" id="{C5F5E5C3-81A4-451C-9C23-8489B7531A3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10" name="Text Box 2">
          <a:extLst>
            <a:ext uri="{FF2B5EF4-FFF2-40B4-BE49-F238E27FC236}">
              <a16:creationId xmlns:a16="http://schemas.microsoft.com/office/drawing/2014/main" id="{4BE8D330-640A-4BCB-9275-018011A4480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11" name="Text Box 1">
          <a:extLst>
            <a:ext uri="{FF2B5EF4-FFF2-40B4-BE49-F238E27FC236}">
              <a16:creationId xmlns:a16="http://schemas.microsoft.com/office/drawing/2014/main" id="{20D53153-97D0-42D2-8212-2656DC55F9D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12" name="Text Box 2">
          <a:extLst>
            <a:ext uri="{FF2B5EF4-FFF2-40B4-BE49-F238E27FC236}">
              <a16:creationId xmlns:a16="http://schemas.microsoft.com/office/drawing/2014/main" id="{2BCDAF0A-CF14-4764-9A07-098865DE4A9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13" name="Text Box 1">
          <a:extLst>
            <a:ext uri="{FF2B5EF4-FFF2-40B4-BE49-F238E27FC236}">
              <a16:creationId xmlns:a16="http://schemas.microsoft.com/office/drawing/2014/main" id="{6014B32A-A065-46EC-B410-2B1EEE8995A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14" name="Text Box 2">
          <a:extLst>
            <a:ext uri="{FF2B5EF4-FFF2-40B4-BE49-F238E27FC236}">
              <a16:creationId xmlns:a16="http://schemas.microsoft.com/office/drawing/2014/main" id="{3C19CA8A-C19C-4E14-9040-A6341C7CBAF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15" name="Text Box 1">
          <a:extLst>
            <a:ext uri="{FF2B5EF4-FFF2-40B4-BE49-F238E27FC236}">
              <a16:creationId xmlns:a16="http://schemas.microsoft.com/office/drawing/2014/main" id="{6AE10383-088C-4F1A-8278-F2C1776C4D7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16" name="Text Box 2">
          <a:extLst>
            <a:ext uri="{FF2B5EF4-FFF2-40B4-BE49-F238E27FC236}">
              <a16:creationId xmlns:a16="http://schemas.microsoft.com/office/drawing/2014/main" id="{7678E42A-62F5-461B-B2A5-9F0FE83F76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517" name="Text Box 2">
          <a:extLst>
            <a:ext uri="{FF2B5EF4-FFF2-40B4-BE49-F238E27FC236}">
              <a16:creationId xmlns:a16="http://schemas.microsoft.com/office/drawing/2014/main" id="{A200B42D-5087-441E-99F1-E1D102B5386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18" name="Text Box 1">
          <a:extLst>
            <a:ext uri="{FF2B5EF4-FFF2-40B4-BE49-F238E27FC236}">
              <a16:creationId xmlns:a16="http://schemas.microsoft.com/office/drawing/2014/main" id="{2B43EE4B-74EE-460F-9E3F-3E05E075194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19" name="Text Box 2">
          <a:extLst>
            <a:ext uri="{FF2B5EF4-FFF2-40B4-BE49-F238E27FC236}">
              <a16:creationId xmlns:a16="http://schemas.microsoft.com/office/drawing/2014/main" id="{73B4CE8D-3AE5-4FDB-A2F7-AD206617BD6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20" name="Text Box 1">
          <a:extLst>
            <a:ext uri="{FF2B5EF4-FFF2-40B4-BE49-F238E27FC236}">
              <a16:creationId xmlns:a16="http://schemas.microsoft.com/office/drawing/2014/main" id="{EFC9D54F-E51A-4B6F-A14F-0436723B566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21" name="Text Box 2">
          <a:extLst>
            <a:ext uri="{FF2B5EF4-FFF2-40B4-BE49-F238E27FC236}">
              <a16:creationId xmlns:a16="http://schemas.microsoft.com/office/drawing/2014/main" id="{5EB559C3-57B2-4403-8940-BFE2256D2F5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22" name="Text Box 1">
          <a:extLst>
            <a:ext uri="{FF2B5EF4-FFF2-40B4-BE49-F238E27FC236}">
              <a16:creationId xmlns:a16="http://schemas.microsoft.com/office/drawing/2014/main" id="{79C22A02-3518-4BF5-B47C-1AFE48EB7B3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23" name="Text Box 2">
          <a:extLst>
            <a:ext uri="{FF2B5EF4-FFF2-40B4-BE49-F238E27FC236}">
              <a16:creationId xmlns:a16="http://schemas.microsoft.com/office/drawing/2014/main" id="{207CB473-9311-4854-B4E3-E6CEEF3ECA9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24" name="Text Box 1">
          <a:extLst>
            <a:ext uri="{FF2B5EF4-FFF2-40B4-BE49-F238E27FC236}">
              <a16:creationId xmlns:a16="http://schemas.microsoft.com/office/drawing/2014/main" id="{563C4786-1262-415B-8D56-126F7470F92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25" name="Text Box 2">
          <a:extLst>
            <a:ext uri="{FF2B5EF4-FFF2-40B4-BE49-F238E27FC236}">
              <a16:creationId xmlns:a16="http://schemas.microsoft.com/office/drawing/2014/main" id="{D48CCE9A-0913-459C-A1D6-027C6D85908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526" name="Text Box 2">
          <a:extLst>
            <a:ext uri="{FF2B5EF4-FFF2-40B4-BE49-F238E27FC236}">
              <a16:creationId xmlns:a16="http://schemas.microsoft.com/office/drawing/2014/main" id="{5C5C9351-8143-4940-BD44-C54495418410}"/>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27" name="Text Box 1">
          <a:extLst>
            <a:ext uri="{FF2B5EF4-FFF2-40B4-BE49-F238E27FC236}">
              <a16:creationId xmlns:a16="http://schemas.microsoft.com/office/drawing/2014/main" id="{71C5A77A-94FF-454E-8537-C337DE3CABA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28" name="Text Box 2">
          <a:extLst>
            <a:ext uri="{FF2B5EF4-FFF2-40B4-BE49-F238E27FC236}">
              <a16:creationId xmlns:a16="http://schemas.microsoft.com/office/drawing/2014/main" id="{2FD8E890-1F92-4BC4-9FBC-874BD2A1145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529" name="Text Box 2">
          <a:extLst>
            <a:ext uri="{FF2B5EF4-FFF2-40B4-BE49-F238E27FC236}">
              <a16:creationId xmlns:a16="http://schemas.microsoft.com/office/drawing/2014/main" id="{F10F7F64-AA70-4F52-B4A5-5CA99B29D1AC}"/>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30" name="Text Box 1">
          <a:extLst>
            <a:ext uri="{FF2B5EF4-FFF2-40B4-BE49-F238E27FC236}">
              <a16:creationId xmlns:a16="http://schemas.microsoft.com/office/drawing/2014/main" id="{48181D41-5A50-48B5-9B00-195F98CC074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31" name="Text Box 2">
          <a:extLst>
            <a:ext uri="{FF2B5EF4-FFF2-40B4-BE49-F238E27FC236}">
              <a16:creationId xmlns:a16="http://schemas.microsoft.com/office/drawing/2014/main" id="{01741DAB-7DA6-4F23-8EBF-8E8C96ADFA3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532" name="Text Box 2">
          <a:extLst>
            <a:ext uri="{FF2B5EF4-FFF2-40B4-BE49-F238E27FC236}">
              <a16:creationId xmlns:a16="http://schemas.microsoft.com/office/drawing/2014/main" id="{AE01938B-A5EE-49C1-AAEE-76D6FDA80B2E}"/>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33" name="Text Box 1">
          <a:extLst>
            <a:ext uri="{FF2B5EF4-FFF2-40B4-BE49-F238E27FC236}">
              <a16:creationId xmlns:a16="http://schemas.microsoft.com/office/drawing/2014/main" id="{493E1F1E-554E-4857-B0ED-89218983AB4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34" name="Text Box 2">
          <a:extLst>
            <a:ext uri="{FF2B5EF4-FFF2-40B4-BE49-F238E27FC236}">
              <a16:creationId xmlns:a16="http://schemas.microsoft.com/office/drawing/2014/main" id="{A5DC4657-7AA2-4074-B83A-600FB3FBBE6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535" name="Text Box 2">
          <a:extLst>
            <a:ext uri="{FF2B5EF4-FFF2-40B4-BE49-F238E27FC236}">
              <a16:creationId xmlns:a16="http://schemas.microsoft.com/office/drawing/2014/main" id="{E9361D92-D475-4FFB-AA5C-BAB9C1A020D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36" name="Text Box 1">
          <a:extLst>
            <a:ext uri="{FF2B5EF4-FFF2-40B4-BE49-F238E27FC236}">
              <a16:creationId xmlns:a16="http://schemas.microsoft.com/office/drawing/2014/main" id="{7B591D63-0607-4C2B-BADA-E22638875CF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37" name="Text Box 2">
          <a:extLst>
            <a:ext uri="{FF2B5EF4-FFF2-40B4-BE49-F238E27FC236}">
              <a16:creationId xmlns:a16="http://schemas.microsoft.com/office/drawing/2014/main" id="{5F173E39-BDE3-425C-B5E8-EC236F985BB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538" name="Text Box 2">
          <a:extLst>
            <a:ext uri="{FF2B5EF4-FFF2-40B4-BE49-F238E27FC236}">
              <a16:creationId xmlns:a16="http://schemas.microsoft.com/office/drawing/2014/main" id="{DEEEEE4E-59DB-4A6A-833F-DB3FDBF99616}"/>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39" name="Text Box 1">
          <a:extLst>
            <a:ext uri="{FF2B5EF4-FFF2-40B4-BE49-F238E27FC236}">
              <a16:creationId xmlns:a16="http://schemas.microsoft.com/office/drawing/2014/main" id="{271CFE82-6E1D-4D47-827E-9711E07E4AC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40" name="Text Box 2">
          <a:extLst>
            <a:ext uri="{FF2B5EF4-FFF2-40B4-BE49-F238E27FC236}">
              <a16:creationId xmlns:a16="http://schemas.microsoft.com/office/drawing/2014/main" id="{CE30B7DC-1FD5-4ACA-A30B-D7B2A83445C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541" name="Text Box 2">
          <a:extLst>
            <a:ext uri="{FF2B5EF4-FFF2-40B4-BE49-F238E27FC236}">
              <a16:creationId xmlns:a16="http://schemas.microsoft.com/office/drawing/2014/main" id="{B4B9C957-3574-4155-8F35-F7D37C9009BE}"/>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42" name="Text Box 1">
          <a:extLst>
            <a:ext uri="{FF2B5EF4-FFF2-40B4-BE49-F238E27FC236}">
              <a16:creationId xmlns:a16="http://schemas.microsoft.com/office/drawing/2014/main" id="{AA0389A4-6CC7-4B85-956F-1B7EB4C3EF1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43" name="Text Box 2">
          <a:extLst>
            <a:ext uri="{FF2B5EF4-FFF2-40B4-BE49-F238E27FC236}">
              <a16:creationId xmlns:a16="http://schemas.microsoft.com/office/drawing/2014/main" id="{F3FB3124-DE8D-4F23-9A00-00CAE93287A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44" name="Text Box 1">
          <a:extLst>
            <a:ext uri="{FF2B5EF4-FFF2-40B4-BE49-F238E27FC236}">
              <a16:creationId xmlns:a16="http://schemas.microsoft.com/office/drawing/2014/main" id="{66CDF78E-C2F9-4A5D-A752-64F5CEF7CE1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45" name="Text Box 2">
          <a:extLst>
            <a:ext uri="{FF2B5EF4-FFF2-40B4-BE49-F238E27FC236}">
              <a16:creationId xmlns:a16="http://schemas.microsoft.com/office/drawing/2014/main" id="{2F571834-FB12-464D-A000-4C98F2162D7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46" name="Text Box 1">
          <a:extLst>
            <a:ext uri="{FF2B5EF4-FFF2-40B4-BE49-F238E27FC236}">
              <a16:creationId xmlns:a16="http://schemas.microsoft.com/office/drawing/2014/main" id="{9666C154-267F-4D9F-953F-12538103DEA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47" name="Text Box 2">
          <a:extLst>
            <a:ext uri="{FF2B5EF4-FFF2-40B4-BE49-F238E27FC236}">
              <a16:creationId xmlns:a16="http://schemas.microsoft.com/office/drawing/2014/main" id="{C73686FA-7CCC-48A9-946A-63E942F987C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48" name="Text Box 1">
          <a:extLst>
            <a:ext uri="{FF2B5EF4-FFF2-40B4-BE49-F238E27FC236}">
              <a16:creationId xmlns:a16="http://schemas.microsoft.com/office/drawing/2014/main" id="{0E9CC5AD-D5EE-47AF-9BA3-5E0D3F16D74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49" name="Text Box 2">
          <a:extLst>
            <a:ext uri="{FF2B5EF4-FFF2-40B4-BE49-F238E27FC236}">
              <a16:creationId xmlns:a16="http://schemas.microsoft.com/office/drawing/2014/main" id="{D2698905-A9D7-4B3D-9DA7-EBDBACABFC0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50" name="Text Box 1">
          <a:extLst>
            <a:ext uri="{FF2B5EF4-FFF2-40B4-BE49-F238E27FC236}">
              <a16:creationId xmlns:a16="http://schemas.microsoft.com/office/drawing/2014/main" id="{553A4157-C960-4322-B257-D6F9FC33AC1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51" name="Text Box 2">
          <a:extLst>
            <a:ext uri="{FF2B5EF4-FFF2-40B4-BE49-F238E27FC236}">
              <a16:creationId xmlns:a16="http://schemas.microsoft.com/office/drawing/2014/main" id="{0AD92746-DC5B-4E7C-B077-76E0E716971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52" name="Text Box 1">
          <a:extLst>
            <a:ext uri="{FF2B5EF4-FFF2-40B4-BE49-F238E27FC236}">
              <a16:creationId xmlns:a16="http://schemas.microsoft.com/office/drawing/2014/main" id="{CB92DDD4-671B-4C3E-87FD-23AF93B12AB8}"/>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53" name="Text Box 2">
          <a:extLst>
            <a:ext uri="{FF2B5EF4-FFF2-40B4-BE49-F238E27FC236}">
              <a16:creationId xmlns:a16="http://schemas.microsoft.com/office/drawing/2014/main" id="{48D0A7BC-669E-4847-B7C9-CD3BBC190BC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54" name="Text Box 2">
          <a:extLst>
            <a:ext uri="{FF2B5EF4-FFF2-40B4-BE49-F238E27FC236}">
              <a16:creationId xmlns:a16="http://schemas.microsoft.com/office/drawing/2014/main" id="{AFB2D1CD-06BC-40B3-B39E-FAE2F12A205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55" name="Text Box 1">
          <a:extLst>
            <a:ext uri="{FF2B5EF4-FFF2-40B4-BE49-F238E27FC236}">
              <a16:creationId xmlns:a16="http://schemas.microsoft.com/office/drawing/2014/main" id="{516EE405-2254-4EA8-860A-B0411DEF196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56" name="Text Box 2">
          <a:extLst>
            <a:ext uri="{FF2B5EF4-FFF2-40B4-BE49-F238E27FC236}">
              <a16:creationId xmlns:a16="http://schemas.microsoft.com/office/drawing/2014/main" id="{000FD558-983E-4583-AB57-7B6B568A659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57" name="Text Box 1">
          <a:extLst>
            <a:ext uri="{FF2B5EF4-FFF2-40B4-BE49-F238E27FC236}">
              <a16:creationId xmlns:a16="http://schemas.microsoft.com/office/drawing/2014/main" id="{1CF589B5-592D-4AFE-9390-633BDCCA2CC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58" name="Text Box 2">
          <a:extLst>
            <a:ext uri="{FF2B5EF4-FFF2-40B4-BE49-F238E27FC236}">
              <a16:creationId xmlns:a16="http://schemas.microsoft.com/office/drawing/2014/main" id="{7F6C0097-51E7-46D1-AE0A-AF24DC0571E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59" name="Text Box 1">
          <a:extLst>
            <a:ext uri="{FF2B5EF4-FFF2-40B4-BE49-F238E27FC236}">
              <a16:creationId xmlns:a16="http://schemas.microsoft.com/office/drawing/2014/main" id="{A76C241B-3DD0-4087-8C7B-B334C43B6C3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60" name="Text Box 2">
          <a:extLst>
            <a:ext uri="{FF2B5EF4-FFF2-40B4-BE49-F238E27FC236}">
              <a16:creationId xmlns:a16="http://schemas.microsoft.com/office/drawing/2014/main" id="{F127D1DB-469F-4EB1-90D4-AEC14E347C1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61" name="Text Box 2">
          <a:extLst>
            <a:ext uri="{FF2B5EF4-FFF2-40B4-BE49-F238E27FC236}">
              <a16:creationId xmlns:a16="http://schemas.microsoft.com/office/drawing/2014/main" id="{5368C561-45BF-4592-B864-2D8E16360C6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62" name="Text Box 1">
          <a:extLst>
            <a:ext uri="{FF2B5EF4-FFF2-40B4-BE49-F238E27FC236}">
              <a16:creationId xmlns:a16="http://schemas.microsoft.com/office/drawing/2014/main" id="{47F1D02D-E50A-4B8B-B9EE-6826A55E5F6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63" name="Text Box 2">
          <a:extLst>
            <a:ext uri="{FF2B5EF4-FFF2-40B4-BE49-F238E27FC236}">
              <a16:creationId xmlns:a16="http://schemas.microsoft.com/office/drawing/2014/main" id="{E6135503-E642-4094-8F04-9E40369EA51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64" name="Text Box 1">
          <a:extLst>
            <a:ext uri="{FF2B5EF4-FFF2-40B4-BE49-F238E27FC236}">
              <a16:creationId xmlns:a16="http://schemas.microsoft.com/office/drawing/2014/main" id="{D7BCFECC-0C0C-4D43-9873-AED6F34060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65" name="Text Box 2">
          <a:extLst>
            <a:ext uri="{FF2B5EF4-FFF2-40B4-BE49-F238E27FC236}">
              <a16:creationId xmlns:a16="http://schemas.microsoft.com/office/drawing/2014/main" id="{76D21C24-B85D-41EC-ACF2-1C709181E1B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66" name="Text Box 1">
          <a:extLst>
            <a:ext uri="{FF2B5EF4-FFF2-40B4-BE49-F238E27FC236}">
              <a16:creationId xmlns:a16="http://schemas.microsoft.com/office/drawing/2014/main" id="{1C33829A-9A46-45F7-87C5-73D0606558F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67" name="Text Box 2">
          <a:extLst>
            <a:ext uri="{FF2B5EF4-FFF2-40B4-BE49-F238E27FC236}">
              <a16:creationId xmlns:a16="http://schemas.microsoft.com/office/drawing/2014/main" id="{6725D14A-B011-480E-994F-FCD69BBE7E9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68" name="Text Box 1">
          <a:extLst>
            <a:ext uri="{FF2B5EF4-FFF2-40B4-BE49-F238E27FC236}">
              <a16:creationId xmlns:a16="http://schemas.microsoft.com/office/drawing/2014/main" id="{93F29510-B259-488C-AF99-30828EAF05F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69" name="Text Box 2">
          <a:extLst>
            <a:ext uri="{FF2B5EF4-FFF2-40B4-BE49-F238E27FC236}">
              <a16:creationId xmlns:a16="http://schemas.microsoft.com/office/drawing/2014/main" id="{07C67A6F-BB78-46D7-BD0B-06F0279716CB}"/>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70" name="Text Box 1">
          <a:extLst>
            <a:ext uri="{FF2B5EF4-FFF2-40B4-BE49-F238E27FC236}">
              <a16:creationId xmlns:a16="http://schemas.microsoft.com/office/drawing/2014/main" id="{B29D4830-849D-44AD-A2A0-75BD4FA5B9F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71" name="Text Box 2">
          <a:extLst>
            <a:ext uri="{FF2B5EF4-FFF2-40B4-BE49-F238E27FC236}">
              <a16:creationId xmlns:a16="http://schemas.microsoft.com/office/drawing/2014/main" id="{4F5945A7-3405-47FA-AD3F-5409A5A59D5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72" name="Text Box 1">
          <a:extLst>
            <a:ext uri="{FF2B5EF4-FFF2-40B4-BE49-F238E27FC236}">
              <a16:creationId xmlns:a16="http://schemas.microsoft.com/office/drawing/2014/main" id="{17FA7A16-E768-4A18-B056-7DB553DDCF1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73" name="Text Box 2">
          <a:extLst>
            <a:ext uri="{FF2B5EF4-FFF2-40B4-BE49-F238E27FC236}">
              <a16:creationId xmlns:a16="http://schemas.microsoft.com/office/drawing/2014/main" id="{D2EC36D0-65FF-44F3-A22D-F6429E2F4E8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74" name="Text Box 1">
          <a:extLst>
            <a:ext uri="{FF2B5EF4-FFF2-40B4-BE49-F238E27FC236}">
              <a16:creationId xmlns:a16="http://schemas.microsoft.com/office/drawing/2014/main" id="{4F8814B4-1DC0-4E92-85F6-249683AC1C02}"/>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75" name="Text Box 2">
          <a:extLst>
            <a:ext uri="{FF2B5EF4-FFF2-40B4-BE49-F238E27FC236}">
              <a16:creationId xmlns:a16="http://schemas.microsoft.com/office/drawing/2014/main" id="{BA405127-9AFD-4E39-9B49-2EE9FA78A4E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76" name="Text Box 1">
          <a:extLst>
            <a:ext uri="{FF2B5EF4-FFF2-40B4-BE49-F238E27FC236}">
              <a16:creationId xmlns:a16="http://schemas.microsoft.com/office/drawing/2014/main" id="{23D729CF-B67A-46DB-8870-21434E5BA43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77" name="Text Box 2">
          <a:extLst>
            <a:ext uri="{FF2B5EF4-FFF2-40B4-BE49-F238E27FC236}">
              <a16:creationId xmlns:a16="http://schemas.microsoft.com/office/drawing/2014/main" id="{21CC6027-1E9E-4F05-AA0B-860977225F5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78" name="Text Box 1">
          <a:extLst>
            <a:ext uri="{FF2B5EF4-FFF2-40B4-BE49-F238E27FC236}">
              <a16:creationId xmlns:a16="http://schemas.microsoft.com/office/drawing/2014/main" id="{1DD6E873-D044-43A0-BF35-9C618E86E22C}"/>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79" name="Text Box 2">
          <a:extLst>
            <a:ext uri="{FF2B5EF4-FFF2-40B4-BE49-F238E27FC236}">
              <a16:creationId xmlns:a16="http://schemas.microsoft.com/office/drawing/2014/main" id="{64C1B641-3589-4A02-B4E5-10939771BAD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80" name="Text Box 1">
          <a:extLst>
            <a:ext uri="{FF2B5EF4-FFF2-40B4-BE49-F238E27FC236}">
              <a16:creationId xmlns:a16="http://schemas.microsoft.com/office/drawing/2014/main" id="{5B9E866A-D91B-426D-8557-FF62CDFB77E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81" name="Text Box 2">
          <a:extLst>
            <a:ext uri="{FF2B5EF4-FFF2-40B4-BE49-F238E27FC236}">
              <a16:creationId xmlns:a16="http://schemas.microsoft.com/office/drawing/2014/main" id="{394189DE-24A2-4466-9BCE-3ACDDEC407C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82" name="Text Box 1">
          <a:extLst>
            <a:ext uri="{FF2B5EF4-FFF2-40B4-BE49-F238E27FC236}">
              <a16:creationId xmlns:a16="http://schemas.microsoft.com/office/drawing/2014/main" id="{92186601-2DEE-4D50-ACDB-418B5E72A1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83" name="Text Box 2">
          <a:extLst>
            <a:ext uri="{FF2B5EF4-FFF2-40B4-BE49-F238E27FC236}">
              <a16:creationId xmlns:a16="http://schemas.microsoft.com/office/drawing/2014/main" id="{D5FD5391-54BD-4B85-B602-C3075FDF6B8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84" name="Text Box 1">
          <a:extLst>
            <a:ext uri="{FF2B5EF4-FFF2-40B4-BE49-F238E27FC236}">
              <a16:creationId xmlns:a16="http://schemas.microsoft.com/office/drawing/2014/main" id="{C7344503-D367-4FF8-8851-7F112DA2D23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85" name="Text Box 2">
          <a:extLst>
            <a:ext uri="{FF2B5EF4-FFF2-40B4-BE49-F238E27FC236}">
              <a16:creationId xmlns:a16="http://schemas.microsoft.com/office/drawing/2014/main" id="{40C16154-80C0-4FC4-8F57-6F094DB41AE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86" name="Text Box 1">
          <a:extLst>
            <a:ext uri="{FF2B5EF4-FFF2-40B4-BE49-F238E27FC236}">
              <a16:creationId xmlns:a16="http://schemas.microsoft.com/office/drawing/2014/main" id="{71D31239-F780-4B18-9BCA-A7654C00ED4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87" name="Text Box 2">
          <a:extLst>
            <a:ext uri="{FF2B5EF4-FFF2-40B4-BE49-F238E27FC236}">
              <a16:creationId xmlns:a16="http://schemas.microsoft.com/office/drawing/2014/main" id="{13829330-6195-43A1-8922-184DC72A6E4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88" name="Text Box 1">
          <a:extLst>
            <a:ext uri="{FF2B5EF4-FFF2-40B4-BE49-F238E27FC236}">
              <a16:creationId xmlns:a16="http://schemas.microsoft.com/office/drawing/2014/main" id="{BB3664A5-9948-4F89-A631-7B1D0F520F3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89" name="Text Box 2">
          <a:extLst>
            <a:ext uri="{FF2B5EF4-FFF2-40B4-BE49-F238E27FC236}">
              <a16:creationId xmlns:a16="http://schemas.microsoft.com/office/drawing/2014/main" id="{16FC7408-3DE3-4DEF-B0B8-591810FC295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90" name="Text Box 1">
          <a:extLst>
            <a:ext uri="{FF2B5EF4-FFF2-40B4-BE49-F238E27FC236}">
              <a16:creationId xmlns:a16="http://schemas.microsoft.com/office/drawing/2014/main" id="{24F1E8AB-5259-4BFC-8F77-F5667F2A7F0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91" name="Text Box 2">
          <a:extLst>
            <a:ext uri="{FF2B5EF4-FFF2-40B4-BE49-F238E27FC236}">
              <a16:creationId xmlns:a16="http://schemas.microsoft.com/office/drawing/2014/main" id="{E612EB16-E547-4F25-953E-30140E336CC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92" name="Text Box 1">
          <a:extLst>
            <a:ext uri="{FF2B5EF4-FFF2-40B4-BE49-F238E27FC236}">
              <a16:creationId xmlns:a16="http://schemas.microsoft.com/office/drawing/2014/main" id="{11C5D84F-1535-45E0-95D9-61C4139FE14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93" name="Text Box 2">
          <a:extLst>
            <a:ext uri="{FF2B5EF4-FFF2-40B4-BE49-F238E27FC236}">
              <a16:creationId xmlns:a16="http://schemas.microsoft.com/office/drawing/2014/main" id="{CE79212B-062E-4E82-BFE9-AF0D8713905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94" name="Text Box 1">
          <a:extLst>
            <a:ext uri="{FF2B5EF4-FFF2-40B4-BE49-F238E27FC236}">
              <a16:creationId xmlns:a16="http://schemas.microsoft.com/office/drawing/2014/main" id="{BCFFAA9B-29E6-462F-94C8-BC7B6B54AC0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95" name="Text Box 2">
          <a:extLst>
            <a:ext uri="{FF2B5EF4-FFF2-40B4-BE49-F238E27FC236}">
              <a16:creationId xmlns:a16="http://schemas.microsoft.com/office/drawing/2014/main" id="{0C05F8DC-777C-47B1-9B02-09D28794C9A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96" name="Text Box 1">
          <a:extLst>
            <a:ext uri="{FF2B5EF4-FFF2-40B4-BE49-F238E27FC236}">
              <a16:creationId xmlns:a16="http://schemas.microsoft.com/office/drawing/2014/main" id="{F31F6992-374B-47EE-AEE2-25FA2DB0478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97" name="Text Box 2">
          <a:extLst>
            <a:ext uri="{FF2B5EF4-FFF2-40B4-BE49-F238E27FC236}">
              <a16:creationId xmlns:a16="http://schemas.microsoft.com/office/drawing/2014/main" id="{24974E57-0E17-4914-B981-E24B07CF9FC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98" name="Text Box 1">
          <a:extLst>
            <a:ext uri="{FF2B5EF4-FFF2-40B4-BE49-F238E27FC236}">
              <a16:creationId xmlns:a16="http://schemas.microsoft.com/office/drawing/2014/main" id="{10771F1A-31BB-46F2-82F9-FDB0F414F43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99" name="Text Box 2">
          <a:extLst>
            <a:ext uri="{FF2B5EF4-FFF2-40B4-BE49-F238E27FC236}">
              <a16:creationId xmlns:a16="http://schemas.microsoft.com/office/drawing/2014/main" id="{0A0D27C5-87A2-42E5-A836-5A2DBDD8A5C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00" name="Text Box 1">
          <a:extLst>
            <a:ext uri="{FF2B5EF4-FFF2-40B4-BE49-F238E27FC236}">
              <a16:creationId xmlns:a16="http://schemas.microsoft.com/office/drawing/2014/main" id="{E33E54DB-5D8A-4E73-8CF1-E23772CE333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01" name="Text Box 2">
          <a:extLst>
            <a:ext uri="{FF2B5EF4-FFF2-40B4-BE49-F238E27FC236}">
              <a16:creationId xmlns:a16="http://schemas.microsoft.com/office/drawing/2014/main" id="{BB239BE2-8A9C-47A9-8D7B-34D46A37421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02" name="Text Box 1">
          <a:extLst>
            <a:ext uri="{FF2B5EF4-FFF2-40B4-BE49-F238E27FC236}">
              <a16:creationId xmlns:a16="http://schemas.microsoft.com/office/drawing/2014/main" id="{C5C121C0-A00B-4994-AE51-B31D0487667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03" name="Text Box 2">
          <a:extLst>
            <a:ext uri="{FF2B5EF4-FFF2-40B4-BE49-F238E27FC236}">
              <a16:creationId xmlns:a16="http://schemas.microsoft.com/office/drawing/2014/main" id="{11D19C68-DE4A-4BE6-8EE2-5EBBFEB7BB5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04" name="Text Box 1">
          <a:extLst>
            <a:ext uri="{FF2B5EF4-FFF2-40B4-BE49-F238E27FC236}">
              <a16:creationId xmlns:a16="http://schemas.microsoft.com/office/drawing/2014/main" id="{DF61E4B1-36A3-4314-9621-C7E513845A6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05" name="Text Box 2">
          <a:extLst>
            <a:ext uri="{FF2B5EF4-FFF2-40B4-BE49-F238E27FC236}">
              <a16:creationId xmlns:a16="http://schemas.microsoft.com/office/drawing/2014/main" id="{9B7B0C6A-683E-449D-9080-6609CB271EC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06" name="Text Box 1">
          <a:extLst>
            <a:ext uri="{FF2B5EF4-FFF2-40B4-BE49-F238E27FC236}">
              <a16:creationId xmlns:a16="http://schemas.microsoft.com/office/drawing/2014/main" id="{33948AE3-CCA0-4FF2-AFE1-42A4A51496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07" name="Text Box 2">
          <a:extLst>
            <a:ext uri="{FF2B5EF4-FFF2-40B4-BE49-F238E27FC236}">
              <a16:creationId xmlns:a16="http://schemas.microsoft.com/office/drawing/2014/main" id="{717AD225-BFD8-4AB6-B421-0BAAE406F28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08" name="Text Box 1">
          <a:extLst>
            <a:ext uri="{FF2B5EF4-FFF2-40B4-BE49-F238E27FC236}">
              <a16:creationId xmlns:a16="http://schemas.microsoft.com/office/drawing/2014/main" id="{34159C63-445E-48E9-8CFC-6BBDDA82324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09" name="Text Box 2">
          <a:extLst>
            <a:ext uri="{FF2B5EF4-FFF2-40B4-BE49-F238E27FC236}">
              <a16:creationId xmlns:a16="http://schemas.microsoft.com/office/drawing/2014/main" id="{C8171E30-AF05-47FB-8A90-FAB819A1F11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10" name="Text Box 1">
          <a:extLst>
            <a:ext uri="{FF2B5EF4-FFF2-40B4-BE49-F238E27FC236}">
              <a16:creationId xmlns:a16="http://schemas.microsoft.com/office/drawing/2014/main" id="{7E6D4320-02C0-4FC1-9438-DF52CD6E77E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11" name="Text Box 2">
          <a:extLst>
            <a:ext uri="{FF2B5EF4-FFF2-40B4-BE49-F238E27FC236}">
              <a16:creationId xmlns:a16="http://schemas.microsoft.com/office/drawing/2014/main" id="{ED8A9231-B7D5-4DF7-9A6B-B03FE157BE6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612" name="Text Box 1">
          <a:extLst>
            <a:ext uri="{FF2B5EF4-FFF2-40B4-BE49-F238E27FC236}">
              <a16:creationId xmlns:a16="http://schemas.microsoft.com/office/drawing/2014/main" id="{86F4C398-7787-482F-9D1A-8F2641BF148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613" name="Text Box 2">
          <a:extLst>
            <a:ext uri="{FF2B5EF4-FFF2-40B4-BE49-F238E27FC236}">
              <a16:creationId xmlns:a16="http://schemas.microsoft.com/office/drawing/2014/main" id="{D584A503-05F6-492C-9C9C-9A7CBC5D3CD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14" name="Text Box 1">
          <a:extLst>
            <a:ext uri="{FF2B5EF4-FFF2-40B4-BE49-F238E27FC236}">
              <a16:creationId xmlns:a16="http://schemas.microsoft.com/office/drawing/2014/main" id="{41A7AD21-2FDC-44F2-86B1-CD4FC83114A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15" name="Text Box 2">
          <a:extLst>
            <a:ext uri="{FF2B5EF4-FFF2-40B4-BE49-F238E27FC236}">
              <a16:creationId xmlns:a16="http://schemas.microsoft.com/office/drawing/2014/main" id="{3F2CE670-9A99-4095-AD73-0234B0F4E1A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616" name="Text Box 1">
          <a:extLst>
            <a:ext uri="{FF2B5EF4-FFF2-40B4-BE49-F238E27FC236}">
              <a16:creationId xmlns:a16="http://schemas.microsoft.com/office/drawing/2014/main" id="{563330C0-B4D4-4B72-BA32-A14AB743E4FC}"/>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617" name="Text Box 2">
          <a:extLst>
            <a:ext uri="{FF2B5EF4-FFF2-40B4-BE49-F238E27FC236}">
              <a16:creationId xmlns:a16="http://schemas.microsoft.com/office/drawing/2014/main" id="{7F265819-580E-425F-98C2-7B29A068735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18" name="Text Box 1">
          <a:extLst>
            <a:ext uri="{FF2B5EF4-FFF2-40B4-BE49-F238E27FC236}">
              <a16:creationId xmlns:a16="http://schemas.microsoft.com/office/drawing/2014/main" id="{D3322860-FF95-419C-969A-55D5321884B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19" name="Text Box 2">
          <a:extLst>
            <a:ext uri="{FF2B5EF4-FFF2-40B4-BE49-F238E27FC236}">
              <a16:creationId xmlns:a16="http://schemas.microsoft.com/office/drawing/2014/main" id="{84290126-0024-497C-92BA-89297E9CCDF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20" name="Text Box 1">
          <a:extLst>
            <a:ext uri="{FF2B5EF4-FFF2-40B4-BE49-F238E27FC236}">
              <a16:creationId xmlns:a16="http://schemas.microsoft.com/office/drawing/2014/main" id="{1B0109D8-AD7F-4EA8-BDD3-9CABA8E7216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21" name="Text Box 2">
          <a:extLst>
            <a:ext uri="{FF2B5EF4-FFF2-40B4-BE49-F238E27FC236}">
              <a16:creationId xmlns:a16="http://schemas.microsoft.com/office/drawing/2014/main" id="{A78A8FD2-7417-4AD6-883C-CF7E4083CB5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22" name="Text Box 1">
          <a:extLst>
            <a:ext uri="{FF2B5EF4-FFF2-40B4-BE49-F238E27FC236}">
              <a16:creationId xmlns:a16="http://schemas.microsoft.com/office/drawing/2014/main" id="{6D52AB53-AD1B-4E16-B6D6-4B71AF71989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23" name="Text Box 2">
          <a:extLst>
            <a:ext uri="{FF2B5EF4-FFF2-40B4-BE49-F238E27FC236}">
              <a16:creationId xmlns:a16="http://schemas.microsoft.com/office/drawing/2014/main" id="{70558FF2-DBF8-4EE2-8BFA-A7A5AF89DF0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24" name="Text Box 1">
          <a:extLst>
            <a:ext uri="{FF2B5EF4-FFF2-40B4-BE49-F238E27FC236}">
              <a16:creationId xmlns:a16="http://schemas.microsoft.com/office/drawing/2014/main" id="{8FB1DAC1-DD37-4156-BE29-9078EE74023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25" name="Text Box 2">
          <a:extLst>
            <a:ext uri="{FF2B5EF4-FFF2-40B4-BE49-F238E27FC236}">
              <a16:creationId xmlns:a16="http://schemas.microsoft.com/office/drawing/2014/main" id="{CD272D68-337D-4F8F-A86D-0984E369C3C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26" name="Text Box 1">
          <a:extLst>
            <a:ext uri="{FF2B5EF4-FFF2-40B4-BE49-F238E27FC236}">
              <a16:creationId xmlns:a16="http://schemas.microsoft.com/office/drawing/2014/main" id="{D30D710C-D3FF-4DB6-AC47-7E23533DD97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27" name="Text Box 2">
          <a:extLst>
            <a:ext uri="{FF2B5EF4-FFF2-40B4-BE49-F238E27FC236}">
              <a16:creationId xmlns:a16="http://schemas.microsoft.com/office/drawing/2014/main" id="{F378AC0D-FBDA-429F-A55E-7CDB3BFF79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28" name="Text Box 1">
          <a:extLst>
            <a:ext uri="{FF2B5EF4-FFF2-40B4-BE49-F238E27FC236}">
              <a16:creationId xmlns:a16="http://schemas.microsoft.com/office/drawing/2014/main" id="{C7EFD8AB-32D0-422D-BDF5-B3F5F03EF0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29" name="Text Box 2">
          <a:extLst>
            <a:ext uri="{FF2B5EF4-FFF2-40B4-BE49-F238E27FC236}">
              <a16:creationId xmlns:a16="http://schemas.microsoft.com/office/drawing/2014/main" id="{64ADD0AC-8605-4D43-BC64-A8908FC49EE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30" name="Text Box 1">
          <a:extLst>
            <a:ext uri="{FF2B5EF4-FFF2-40B4-BE49-F238E27FC236}">
              <a16:creationId xmlns:a16="http://schemas.microsoft.com/office/drawing/2014/main" id="{3EE9758B-2D62-4C24-BF58-03CE3697318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31" name="Text Box 2">
          <a:extLst>
            <a:ext uri="{FF2B5EF4-FFF2-40B4-BE49-F238E27FC236}">
              <a16:creationId xmlns:a16="http://schemas.microsoft.com/office/drawing/2014/main" id="{54D71CC6-16FE-40F5-A2EC-B8476FB5C61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32" name="Text Box 1">
          <a:extLst>
            <a:ext uri="{FF2B5EF4-FFF2-40B4-BE49-F238E27FC236}">
              <a16:creationId xmlns:a16="http://schemas.microsoft.com/office/drawing/2014/main" id="{EEFDC168-DE8A-4E55-B13A-783356437CA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33" name="Text Box 2">
          <a:extLst>
            <a:ext uri="{FF2B5EF4-FFF2-40B4-BE49-F238E27FC236}">
              <a16:creationId xmlns:a16="http://schemas.microsoft.com/office/drawing/2014/main" id="{FAD27B40-BA04-4264-9B2A-17C643EF2D2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34" name="Text Box 1">
          <a:extLst>
            <a:ext uri="{FF2B5EF4-FFF2-40B4-BE49-F238E27FC236}">
              <a16:creationId xmlns:a16="http://schemas.microsoft.com/office/drawing/2014/main" id="{AD35FA0E-D106-4690-8FA2-AD5053C1EDD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35" name="Text Box 2">
          <a:extLst>
            <a:ext uri="{FF2B5EF4-FFF2-40B4-BE49-F238E27FC236}">
              <a16:creationId xmlns:a16="http://schemas.microsoft.com/office/drawing/2014/main" id="{A7266FCB-148E-4FFA-9F8A-288F120DB9E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36" name="Text Box 1">
          <a:extLst>
            <a:ext uri="{FF2B5EF4-FFF2-40B4-BE49-F238E27FC236}">
              <a16:creationId xmlns:a16="http://schemas.microsoft.com/office/drawing/2014/main" id="{0062180C-19F5-445B-B2FA-3998D810965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37" name="Text Box 2">
          <a:extLst>
            <a:ext uri="{FF2B5EF4-FFF2-40B4-BE49-F238E27FC236}">
              <a16:creationId xmlns:a16="http://schemas.microsoft.com/office/drawing/2014/main" id="{92CF2A0A-DD4C-4EC7-8FB1-76C253EF9AC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38" name="Text Box 1">
          <a:extLst>
            <a:ext uri="{FF2B5EF4-FFF2-40B4-BE49-F238E27FC236}">
              <a16:creationId xmlns:a16="http://schemas.microsoft.com/office/drawing/2014/main" id="{26098B5C-3A98-4163-97C3-E7631787742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39" name="Text Box 2">
          <a:extLst>
            <a:ext uri="{FF2B5EF4-FFF2-40B4-BE49-F238E27FC236}">
              <a16:creationId xmlns:a16="http://schemas.microsoft.com/office/drawing/2014/main" id="{69186424-A864-43B2-A592-3A87B427116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40" name="Text Box 1">
          <a:extLst>
            <a:ext uri="{FF2B5EF4-FFF2-40B4-BE49-F238E27FC236}">
              <a16:creationId xmlns:a16="http://schemas.microsoft.com/office/drawing/2014/main" id="{D62B30F4-38CF-4C58-A112-179990614B3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41" name="Text Box 2">
          <a:extLst>
            <a:ext uri="{FF2B5EF4-FFF2-40B4-BE49-F238E27FC236}">
              <a16:creationId xmlns:a16="http://schemas.microsoft.com/office/drawing/2014/main" id="{86635A8B-98B6-4383-AB7D-A96E8254541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42" name="Text Box 1">
          <a:extLst>
            <a:ext uri="{FF2B5EF4-FFF2-40B4-BE49-F238E27FC236}">
              <a16:creationId xmlns:a16="http://schemas.microsoft.com/office/drawing/2014/main" id="{D06C328A-CA7B-4D92-8F70-C546FCD8B1F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43" name="Text Box 2">
          <a:extLst>
            <a:ext uri="{FF2B5EF4-FFF2-40B4-BE49-F238E27FC236}">
              <a16:creationId xmlns:a16="http://schemas.microsoft.com/office/drawing/2014/main" id="{CF38BC34-7D95-46D6-A7B7-948E9CEE848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44" name="Text Box 1">
          <a:extLst>
            <a:ext uri="{FF2B5EF4-FFF2-40B4-BE49-F238E27FC236}">
              <a16:creationId xmlns:a16="http://schemas.microsoft.com/office/drawing/2014/main" id="{32D4C6E8-0015-45CF-AE3F-1B839584C2A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45" name="Text Box 2">
          <a:extLst>
            <a:ext uri="{FF2B5EF4-FFF2-40B4-BE49-F238E27FC236}">
              <a16:creationId xmlns:a16="http://schemas.microsoft.com/office/drawing/2014/main" id="{BA1B426E-49E5-48A5-A28F-1192049ACDD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46" name="Text Box 1">
          <a:extLst>
            <a:ext uri="{FF2B5EF4-FFF2-40B4-BE49-F238E27FC236}">
              <a16:creationId xmlns:a16="http://schemas.microsoft.com/office/drawing/2014/main" id="{9D7A3826-60FD-45F9-AC91-D612955D7FE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47" name="Text Box 2">
          <a:extLst>
            <a:ext uri="{FF2B5EF4-FFF2-40B4-BE49-F238E27FC236}">
              <a16:creationId xmlns:a16="http://schemas.microsoft.com/office/drawing/2014/main" id="{4723A831-071F-4AC3-A9DD-D4D2FA6C39F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48" name="Text Box 1">
          <a:extLst>
            <a:ext uri="{FF2B5EF4-FFF2-40B4-BE49-F238E27FC236}">
              <a16:creationId xmlns:a16="http://schemas.microsoft.com/office/drawing/2014/main" id="{FC0EEC13-47B6-4423-AD0C-4ABCF235B97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49" name="Text Box 2">
          <a:extLst>
            <a:ext uri="{FF2B5EF4-FFF2-40B4-BE49-F238E27FC236}">
              <a16:creationId xmlns:a16="http://schemas.microsoft.com/office/drawing/2014/main" id="{679C39CC-9C74-4B66-8C13-F9045B30A6F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650" name="Text Box 1">
          <a:extLst>
            <a:ext uri="{FF2B5EF4-FFF2-40B4-BE49-F238E27FC236}">
              <a16:creationId xmlns:a16="http://schemas.microsoft.com/office/drawing/2014/main" id="{0643108A-078F-4F22-9D1A-75142D58D5C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651" name="Text Box 2">
          <a:extLst>
            <a:ext uri="{FF2B5EF4-FFF2-40B4-BE49-F238E27FC236}">
              <a16:creationId xmlns:a16="http://schemas.microsoft.com/office/drawing/2014/main" id="{DD7B26AF-F65A-48C4-9348-94397CE96B7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52" name="Text Box 1">
          <a:extLst>
            <a:ext uri="{FF2B5EF4-FFF2-40B4-BE49-F238E27FC236}">
              <a16:creationId xmlns:a16="http://schemas.microsoft.com/office/drawing/2014/main" id="{3C017839-A0AE-4905-9BC6-40AEED53E8E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53" name="Text Box 2">
          <a:extLst>
            <a:ext uri="{FF2B5EF4-FFF2-40B4-BE49-F238E27FC236}">
              <a16:creationId xmlns:a16="http://schemas.microsoft.com/office/drawing/2014/main" id="{C93B8167-F13B-495A-91F2-A8DD7E885E5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654" name="Text Box 1">
          <a:extLst>
            <a:ext uri="{FF2B5EF4-FFF2-40B4-BE49-F238E27FC236}">
              <a16:creationId xmlns:a16="http://schemas.microsoft.com/office/drawing/2014/main" id="{9BC56426-7FB1-4E0B-A249-99A5AC7A197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655" name="Text Box 2">
          <a:extLst>
            <a:ext uri="{FF2B5EF4-FFF2-40B4-BE49-F238E27FC236}">
              <a16:creationId xmlns:a16="http://schemas.microsoft.com/office/drawing/2014/main" id="{B41A713C-BA03-48A5-816E-661DA27F559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56" name="Text Box 1">
          <a:extLst>
            <a:ext uri="{FF2B5EF4-FFF2-40B4-BE49-F238E27FC236}">
              <a16:creationId xmlns:a16="http://schemas.microsoft.com/office/drawing/2014/main" id="{643CA376-4750-49C2-BFDA-020C50CB1A8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57" name="Text Box 2">
          <a:extLst>
            <a:ext uri="{FF2B5EF4-FFF2-40B4-BE49-F238E27FC236}">
              <a16:creationId xmlns:a16="http://schemas.microsoft.com/office/drawing/2014/main" id="{453EA223-0103-439D-A058-A3BC832AC62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58" name="Text Box 1">
          <a:extLst>
            <a:ext uri="{FF2B5EF4-FFF2-40B4-BE49-F238E27FC236}">
              <a16:creationId xmlns:a16="http://schemas.microsoft.com/office/drawing/2014/main" id="{828919B1-3747-4D90-A9ED-B88F8BBF90D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59" name="Text Box 2">
          <a:extLst>
            <a:ext uri="{FF2B5EF4-FFF2-40B4-BE49-F238E27FC236}">
              <a16:creationId xmlns:a16="http://schemas.microsoft.com/office/drawing/2014/main" id="{E72221AA-A491-49C8-B08F-699E57F61BC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60" name="Text Box 1">
          <a:extLst>
            <a:ext uri="{FF2B5EF4-FFF2-40B4-BE49-F238E27FC236}">
              <a16:creationId xmlns:a16="http://schemas.microsoft.com/office/drawing/2014/main" id="{86C4F1D2-A44D-45CA-9940-DE4DFDEA309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61" name="Text Box 2">
          <a:extLst>
            <a:ext uri="{FF2B5EF4-FFF2-40B4-BE49-F238E27FC236}">
              <a16:creationId xmlns:a16="http://schemas.microsoft.com/office/drawing/2014/main" id="{7BBF0BE7-512D-4B8D-9096-F1DD695C16F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62" name="Text Box 1">
          <a:extLst>
            <a:ext uri="{FF2B5EF4-FFF2-40B4-BE49-F238E27FC236}">
              <a16:creationId xmlns:a16="http://schemas.microsoft.com/office/drawing/2014/main" id="{113E608B-E45E-48B9-B240-0804450FF9E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63" name="Text Box 2">
          <a:extLst>
            <a:ext uri="{FF2B5EF4-FFF2-40B4-BE49-F238E27FC236}">
              <a16:creationId xmlns:a16="http://schemas.microsoft.com/office/drawing/2014/main" id="{04215CC2-E742-4D9E-BB90-5B95FA66CB8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64" name="Text Box 1">
          <a:extLst>
            <a:ext uri="{FF2B5EF4-FFF2-40B4-BE49-F238E27FC236}">
              <a16:creationId xmlns:a16="http://schemas.microsoft.com/office/drawing/2014/main" id="{49A5B9CA-AB8B-4D76-9EBC-20F2E3792FA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65" name="Text Box 2">
          <a:extLst>
            <a:ext uri="{FF2B5EF4-FFF2-40B4-BE49-F238E27FC236}">
              <a16:creationId xmlns:a16="http://schemas.microsoft.com/office/drawing/2014/main" id="{31D45554-B657-4ABA-A6CE-16F978322FF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66" name="Text Box 1">
          <a:extLst>
            <a:ext uri="{FF2B5EF4-FFF2-40B4-BE49-F238E27FC236}">
              <a16:creationId xmlns:a16="http://schemas.microsoft.com/office/drawing/2014/main" id="{C8511752-F50F-4229-BD31-C4A24586811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67" name="Text Box 2">
          <a:extLst>
            <a:ext uri="{FF2B5EF4-FFF2-40B4-BE49-F238E27FC236}">
              <a16:creationId xmlns:a16="http://schemas.microsoft.com/office/drawing/2014/main" id="{0E156C93-ED0E-4FE2-AF46-F44A170386F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68" name="Text Box 1">
          <a:extLst>
            <a:ext uri="{FF2B5EF4-FFF2-40B4-BE49-F238E27FC236}">
              <a16:creationId xmlns:a16="http://schemas.microsoft.com/office/drawing/2014/main" id="{5F39F8BE-896F-4609-A026-68A2EFFF7C4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69" name="Text Box 2">
          <a:extLst>
            <a:ext uri="{FF2B5EF4-FFF2-40B4-BE49-F238E27FC236}">
              <a16:creationId xmlns:a16="http://schemas.microsoft.com/office/drawing/2014/main" id="{5365630B-18BE-46A0-B604-A7DE172F556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70" name="Text Box 1">
          <a:extLst>
            <a:ext uri="{FF2B5EF4-FFF2-40B4-BE49-F238E27FC236}">
              <a16:creationId xmlns:a16="http://schemas.microsoft.com/office/drawing/2014/main" id="{1CDAB297-E53D-4AD9-A957-0127416B752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71" name="Text Box 2">
          <a:extLst>
            <a:ext uri="{FF2B5EF4-FFF2-40B4-BE49-F238E27FC236}">
              <a16:creationId xmlns:a16="http://schemas.microsoft.com/office/drawing/2014/main" id="{CD170ED4-3D4B-46E2-AE05-C69416CB4B4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72" name="Text Box 1">
          <a:extLst>
            <a:ext uri="{FF2B5EF4-FFF2-40B4-BE49-F238E27FC236}">
              <a16:creationId xmlns:a16="http://schemas.microsoft.com/office/drawing/2014/main" id="{3132B40A-F28A-4B3D-A51B-90124F841C3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73" name="Text Box 2">
          <a:extLst>
            <a:ext uri="{FF2B5EF4-FFF2-40B4-BE49-F238E27FC236}">
              <a16:creationId xmlns:a16="http://schemas.microsoft.com/office/drawing/2014/main" id="{3640EFE9-0C9A-4608-8E3E-26E06646C13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74" name="Text Box 1">
          <a:extLst>
            <a:ext uri="{FF2B5EF4-FFF2-40B4-BE49-F238E27FC236}">
              <a16:creationId xmlns:a16="http://schemas.microsoft.com/office/drawing/2014/main" id="{4799A367-735B-44BC-8289-CF7F4EFD4A1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75" name="Text Box 2">
          <a:extLst>
            <a:ext uri="{FF2B5EF4-FFF2-40B4-BE49-F238E27FC236}">
              <a16:creationId xmlns:a16="http://schemas.microsoft.com/office/drawing/2014/main" id="{057C6525-2DDB-400C-9571-C0B1BE69000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76" name="Text Box 1">
          <a:extLst>
            <a:ext uri="{FF2B5EF4-FFF2-40B4-BE49-F238E27FC236}">
              <a16:creationId xmlns:a16="http://schemas.microsoft.com/office/drawing/2014/main" id="{60015C66-CA48-4FCB-AC7F-D7CC65A03E9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77" name="Text Box 2">
          <a:extLst>
            <a:ext uri="{FF2B5EF4-FFF2-40B4-BE49-F238E27FC236}">
              <a16:creationId xmlns:a16="http://schemas.microsoft.com/office/drawing/2014/main" id="{2A0E3A04-01B4-4C82-BB25-A1C8E1B263D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679" name="Text Box 2">
          <a:extLst>
            <a:ext uri="{FF2B5EF4-FFF2-40B4-BE49-F238E27FC236}">
              <a16:creationId xmlns:a16="http://schemas.microsoft.com/office/drawing/2014/main" id="{2D4287DF-D59E-4ECD-A6A5-AEB86713667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681" name="Text Box 2">
          <a:extLst>
            <a:ext uri="{FF2B5EF4-FFF2-40B4-BE49-F238E27FC236}">
              <a16:creationId xmlns:a16="http://schemas.microsoft.com/office/drawing/2014/main" id="{21008F83-BAEF-46BD-B686-412C2E68320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82" name="Text Box 1">
          <a:extLst>
            <a:ext uri="{FF2B5EF4-FFF2-40B4-BE49-F238E27FC236}">
              <a16:creationId xmlns:a16="http://schemas.microsoft.com/office/drawing/2014/main" id="{6B9202B4-B2AC-48CE-A3D5-0602DD1A502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83" name="Text Box 2">
          <a:extLst>
            <a:ext uri="{FF2B5EF4-FFF2-40B4-BE49-F238E27FC236}">
              <a16:creationId xmlns:a16="http://schemas.microsoft.com/office/drawing/2014/main" id="{F8A7045F-8666-485E-B6CA-B12CD16533F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84" name="Text Box 1">
          <a:extLst>
            <a:ext uri="{FF2B5EF4-FFF2-40B4-BE49-F238E27FC236}">
              <a16:creationId xmlns:a16="http://schemas.microsoft.com/office/drawing/2014/main" id="{A998E6CB-530F-4BE5-8A4D-9F1A9E21889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85" name="Text Box 2">
          <a:extLst>
            <a:ext uri="{FF2B5EF4-FFF2-40B4-BE49-F238E27FC236}">
              <a16:creationId xmlns:a16="http://schemas.microsoft.com/office/drawing/2014/main" id="{C30E8711-B5CE-4159-A314-568DEE7DA91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86" name="Text Box 1">
          <a:extLst>
            <a:ext uri="{FF2B5EF4-FFF2-40B4-BE49-F238E27FC236}">
              <a16:creationId xmlns:a16="http://schemas.microsoft.com/office/drawing/2014/main" id="{61E0EC05-06FC-4554-BA81-A9190B6F691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87" name="Text Box 2">
          <a:extLst>
            <a:ext uri="{FF2B5EF4-FFF2-40B4-BE49-F238E27FC236}">
              <a16:creationId xmlns:a16="http://schemas.microsoft.com/office/drawing/2014/main" id="{131E5FF3-FFDA-42D2-820E-4A03EC8832D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88" name="Text Box 1">
          <a:extLst>
            <a:ext uri="{FF2B5EF4-FFF2-40B4-BE49-F238E27FC236}">
              <a16:creationId xmlns:a16="http://schemas.microsoft.com/office/drawing/2014/main" id="{6FB29B4A-B25E-497F-AFA5-7BAFC5270F8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89" name="Text Box 2">
          <a:extLst>
            <a:ext uri="{FF2B5EF4-FFF2-40B4-BE49-F238E27FC236}">
              <a16:creationId xmlns:a16="http://schemas.microsoft.com/office/drawing/2014/main" id="{0AAA8A72-0CF8-43C9-9323-8D282896DE8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691" name="Text Box 2">
          <a:extLst>
            <a:ext uri="{FF2B5EF4-FFF2-40B4-BE49-F238E27FC236}">
              <a16:creationId xmlns:a16="http://schemas.microsoft.com/office/drawing/2014/main" id="{C3307C20-C68C-4AF2-8FA6-E5B6C166531D}"/>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693" name="Text Box 2">
          <a:extLst>
            <a:ext uri="{FF2B5EF4-FFF2-40B4-BE49-F238E27FC236}">
              <a16:creationId xmlns:a16="http://schemas.microsoft.com/office/drawing/2014/main" id="{F8BA8C93-B2F8-4C83-AF6F-5E4FFE94EA9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94" name="Text Box 1">
          <a:extLst>
            <a:ext uri="{FF2B5EF4-FFF2-40B4-BE49-F238E27FC236}">
              <a16:creationId xmlns:a16="http://schemas.microsoft.com/office/drawing/2014/main" id="{DF419586-3006-459D-BBA5-7B65C6A8C92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95" name="Text Box 2">
          <a:extLst>
            <a:ext uri="{FF2B5EF4-FFF2-40B4-BE49-F238E27FC236}">
              <a16:creationId xmlns:a16="http://schemas.microsoft.com/office/drawing/2014/main" id="{91266F9C-F743-46C7-A608-2BF8C5D3EF0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96" name="Text Box 1">
          <a:extLst>
            <a:ext uri="{FF2B5EF4-FFF2-40B4-BE49-F238E27FC236}">
              <a16:creationId xmlns:a16="http://schemas.microsoft.com/office/drawing/2014/main" id="{7C6FE7AA-3CCB-4EBF-A16E-CF201A791B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97" name="Text Box 2">
          <a:extLst>
            <a:ext uri="{FF2B5EF4-FFF2-40B4-BE49-F238E27FC236}">
              <a16:creationId xmlns:a16="http://schemas.microsoft.com/office/drawing/2014/main" id="{4687924C-F8B2-4A31-9CCE-37C01EBB710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699" name="Text Box 2">
          <a:extLst>
            <a:ext uri="{FF2B5EF4-FFF2-40B4-BE49-F238E27FC236}">
              <a16:creationId xmlns:a16="http://schemas.microsoft.com/office/drawing/2014/main" id="{D515A550-7B0B-4AC3-AD15-B3B8682FBC8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701" name="Text Box 2">
          <a:extLst>
            <a:ext uri="{FF2B5EF4-FFF2-40B4-BE49-F238E27FC236}">
              <a16:creationId xmlns:a16="http://schemas.microsoft.com/office/drawing/2014/main" id="{835FFDDA-8475-4D0A-8451-67F072AD6B0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02" name="Text Box 1">
          <a:extLst>
            <a:ext uri="{FF2B5EF4-FFF2-40B4-BE49-F238E27FC236}">
              <a16:creationId xmlns:a16="http://schemas.microsoft.com/office/drawing/2014/main" id="{325185EB-5588-476F-ADD8-ECE30B9EE62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03" name="Text Box 2">
          <a:extLst>
            <a:ext uri="{FF2B5EF4-FFF2-40B4-BE49-F238E27FC236}">
              <a16:creationId xmlns:a16="http://schemas.microsoft.com/office/drawing/2014/main" id="{332C0F6A-735A-4AE8-895C-B33BE0C6AD2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04" name="Text Box 1">
          <a:extLst>
            <a:ext uri="{FF2B5EF4-FFF2-40B4-BE49-F238E27FC236}">
              <a16:creationId xmlns:a16="http://schemas.microsoft.com/office/drawing/2014/main" id="{0AA7BDF7-891D-4C72-A1B4-56998B67AD4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05" name="Text Box 2">
          <a:extLst>
            <a:ext uri="{FF2B5EF4-FFF2-40B4-BE49-F238E27FC236}">
              <a16:creationId xmlns:a16="http://schemas.microsoft.com/office/drawing/2014/main" id="{CB4CC6C8-B449-45FF-B965-3C418F38436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08" name="Text Box 1">
          <a:extLst>
            <a:ext uri="{FF2B5EF4-FFF2-40B4-BE49-F238E27FC236}">
              <a16:creationId xmlns:a16="http://schemas.microsoft.com/office/drawing/2014/main" id="{3030256A-0C49-46DD-98B0-41626192338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09" name="Text Box 2">
          <a:extLst>
            <a:ext uri="{FF2B5EF4-FFF2-40B4-BE49-F238E27FC236}">
              <a16:creationId xmlns:a16="http://schemas.microsoft.com/office/drawing/2014/main" id="{81986F24-8CE9-473A-910B-7A5145C73F2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14" name="Text Box 1">
          <a:extLst>
            <a:ext uri="{FF2B5EF4-FFF2-40B4-BE49-F238E27FC236}">
              <a16:creationId xmlns:a16="http://schemas.microsoft.com/office/drawing/2014/main" id="{9E62CCA4-55DE-439D-B884-D94F93ED1D1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15" name="Text Box 2">
          <a:extLst>
            <a:ext uri="{FF2B5EF4-FFF2-40B4-BE49-F238E27FC236}">
              <a16:creationId xmlns:a16="http://schemas.microsoft.com/office/drawing/2014/main" id="{65C0E851-456D-4397-915A-04C7505FD86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16" name="Text Box 1">
          <a:extLst>
            <a:ext uri="{FF2B5EF4-FFF2-40B4-BE49-F238E27FC236}">
              <a16:creationId xmlns:a16="http://schemas.microsoft.com/office/drawing/2014/main" id="{D84394C0-CA2A-4246-8C43-A0223748DAA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17" name="Text Box 2">
          <a:extLst>
            <a:ext uri="{FF2B5EF4-FFF2-40B4-BE49-F238E27FC236}">
              <a16:creationId xmlns:a16="http://schemas.microsoft.com/office/drawing/2014/main" id="{8A7CAD61-2E7D-44C1-B5A6-64CDD5D19DF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18" name="Text Box 1">
          <a:extLst>
            <a:ext uri="{FF2B5EF4-FFF2-40B4-BE49-F238E27FC236}">
              <a16:creationId xmlns:a16="http://schemas.microsoft.com/office/drawing/2014/main" id="{5A76A888-0C27-49DC-A419-F11B0030A65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19" name="Text Box 2">
          <a:extLst>
            <a:ext uri="{FF2B5EF4-FFF2-40B4-BE49-F238E27FC236}">
              <a16:creationId xmlns:a16="http://schemas.microsoft.com/office/drawing/2014/main" id="{0B870F66-87B7-4703-9596-9036C117CA2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22" name="Text Box 1">
          <a:extLst>
            <a:ext uri="{FF2B5EF4-FFF2-40B4-BE49-F238E27FC236}">
              <a16:creationId xmlns:a16="http://schemas.microsoft.com/office/drawing/2014/main" id="{793ECA14-E1DC-410F-9627-710BF27B59C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23" name="Text Box 2">
          <a:extLst>
            <a:ext uri="{FF2B5EF4-FFF2-40B4-BE49-F238E27FC236}">
              <a16:creationId xmlns:a16="http://schemas.microsoft.com/office/drawing/2014/main" id="{D1616C46-F600-45BA-98A1-C6A4CFC9165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26" name="Text Box 1">
          <a:extLst>
            <a:ext uri="{FF2B5EF4-FFF2-40B4-BE49-F238E27FC236}">
              <a16:creationId xmlns:a16="http://schemas.microsoft.com/office/drawing/2014/main" id="{10E8BEA4-F431-480C-8870-7CEB948B457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27" name="Text Box 2">
          <a:extLst>
            <a:ext uri="{FF2B5EF4-FFF2-40B4-BE49-F238E27FC236}">
              <a16:creationId xmlns:a16="http://schemas.microsoft.com/office/drawing/2014/main" id="{ABF1D5E2-6547-4878-8703-580DBF295C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28" name="Text Box 1">
          <a:extLst>
            <a:ext uri="{FF2B5EF4-FFF2-40B4-BE49-F238E27FC236}">
              <a16:creationId xmlns:a16="http://schemas.microsoft.com/office/drawing/2014/main" id="{D24FAD2B-DDFF-4F81-ADCE-6412CCC5F34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29" name="Text Box 2">
          <a:extLst>
            <a:ext uri="{FF2B5EF4-FFF2-40B4-BE49-F238E27FC236}">
              <a16:creationId xmlns:a16="http://schemas.microsoft.com/office/drawing/2014/main" id="{5297E784-FCCA-4649-B31E-8B86973354F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30" name="Text Box 1">
          <a:extLst>
            <a:ext uri="{FF2B5EF4-FFF2-40B4-BE49-F238E27FC236}">
              <a16:creationId xmlns:a16="http://schemas.microsoft.com/office/drawing/2014/main" id="{85224DC9-ECB8-4510-BF8E-63CE83468F5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31" name="Text Box 2">
          <a:extLst>
            <a:ext uri="{FF2B5EF4-FFF2-40B4-BE49-F238E27FC236}">
              <a16:creationId xmlns:a16="http://schemas.microsoft.com/office/drawing/2014/main" id="{6210F46A-3AE2-47A9-975C-8C1502ACEA0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32" name="Text Box 1">
          <a:extLst>
            <a:ext uri="{FF2B5EF4-FFF2-40B4-BE49-F238E27FC236}">
              <a16:creationId xmlns:a16="http://schemas.microsoft.com/office/drawing/2014/main" id="{33647A9D-B466-45F4-BDF0-7D798B0BD0D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33" name="Text Box 2">
          <a:extLst>
            <a:ext uri="{FF2B5EF4-FFF2-40B4-BE49-F238E27FC236}">
              <a16:creationId xmlns:a16="http://schemas.microsoft.com/office/drawing/2014/main" id="{818A3027-B6FC-4E4D-90C3-3F3DB8733F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34" name="Text Box 1">
          <a:extLst>
            <a:ext uri="{FF2B5EF4-FFF2-40B4-BE49-F238E27FC236}">
              <a16:creationId xmlns:a16="http://schemas.microsoft.com/office/drawing/2014/main" id="{E5F90389-4EB8-4D72-BB8C-1F0A4EED4DD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35" name="Text Box 2">
          <a:extLst>
            <a:ext uri="{FF2B5EF4-FFF2-40B4-BE49-F238E27FC236}">
              <a16:creationId xmlns:a16="http://schemas.microsoft.com/office/drawing/2014/main" id="{AE3C35D2-980D-4976-B40F-314FD58EBD9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36" name="Text Box 1">
          <a:extLst>
            <a:ext uri="{FF2B5EF4-FFF2-40B4-BE49-F238E27FC236}">
              <a16:creationId xmlns:a16="http://schemas.microsoft.com/office/drawing/2014/main" id="{D1E76D03-4FD3-41E9-8E91-1C35B3A7762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37" name="Text Box 2">
          <a:extLst>
            <a:ext uri="{FF2B5EF4-FFF2-40B4-BE49-F238E27FC236}">
              <a16:creationId xmlns:a16="http://schemas.microsoft.com/office/drawing/2014/main" id="{A932373D-4534-443F-981C-6D3227174CE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38" name="Text Box 1">
          <a:extLst>
            <a:ext uri="{FF2B5EF4-FFF2-40B4-BE49-F238E27FC236}">
              <a16:creationId xmlns:a16="http://schemas.microsoft.com/office/drawing/2014/main" id="{75CE0F53-2997-407B-AB07-2413E065090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39" name="Text Box 2">
          <a:extLst>
            <a:ext uri="{FF2B5EF4-FFF2-40B4-BE49-F238E27FC236}">
              <a16:creationId xmlns:a16="http://schemas.microsoft.com/office/drawing/2014/main" id="{AB1852F1-0488-456F-9AA5-902370B14D8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40" name="Text Box 1">
          <a:extLst>
            <a:ext uri="{FF2B5EF4-FFF2-40B4-BE49-F238E27FC236}">
              <a16:creationId xmlns:a16="http://schemas.microsoft.com/office/drawing/2014/main" id="{FA65E7C8-53DE-48E6-816C-9E252A73CD3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41" name="Text Box 2">
          <a:extLst>
            <a:ext uri="{FF2B5EF4-FFF2-40B4-BE49-F238E27FC236}">
              <a16:creationId xmlns:a16="http://schemas.microsoft.com/office/drawing/2014/main" id="{96C98D2D-1776-4D8D-BD32-DB1D9022FB4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742" name="Text Box 2">
          <a:extLst>
            <a:ext uri="{FF2B5EF4-FFF2-40B4-BE49-F238E27FC236}">
              <a16:creationId xmlns:a16="http://schemas.microsoft.com/office/drawing/2014/main" id="{A88E5292-BA76-42D4-8D7B-D09734E85CE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43" name="Text Box 1">
          <a:extLst>
            <a:ext uri="{FF2B5EF4-FFF2-40B4-BE49-F238E27FC236}">
              <a16:creationId xmlns:a16="http://schemas.microsoft.com/office/drawing/2014/main" id="{2EF32A81-7017-457C-AD0C-8CC9370CB74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44" name="Text Box 2">
          <a:extLst>
            <a:ext uri="{FF2B5EF4-FFF2-40B4-BE49-F238E27FC236}">
              <a16:creationId xmlns:a16="http://schemas.microsoft.com/office/drawing/2014/main" id="{36E953E0-A321-4D15-8290-0933C1E3F51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45" name="Text Box 1">
          <a:extLst>
            <a:ext uri="{FF2B5EF4-FFF2-40B4-BE49-F238E27FC236}">
              <a16:creationId xmlns:a16="http://schemas.microsoft.com/office/drawing/2014/main" id="{CF53AF66-2778-4A61-AD8C-2C061835797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46" name="Text Box 2">
          <a:extLst>
            <a:ext uri="{FF2B5EF4-FFF2-40B4-BE49-F238E27FC236}">
              <a16:creationId xmlns:a16="http://schemas.microsoft.com/office/drawing/2014/main" id="{B6C9A8C1-F2A8-4CE6-8565-C9BE2F60316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747" name="Text Box 1">
          <a:extLst>
            <a:ext uri="{FF2B5EF4-FFF2-40B4-BE49-F238E27FC236}">
              <a16:creationId xmlns:a16="http://schemas.microsoft.com/office/drawing/2014/main" id="{D74EC12C-1D65-4D5B-95E9-8077297A68A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748" name="Text Box 2">
          <a:extLst>
            <a:ext uri="{FF2B5EF4-FFF2-40B4-BE49-F238E27FC236}">
              <a16:creationId xmlns:a16="http://schemas.microsoft.com/office/drawing/2014/main" id="{84F49537-2A1C-4E7E-90F0-FD9FFE24324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49" name="Text Box 1">
          <a:extLst>
            <a:ext uri="{FF2B5EF4-FFF2-40B4-BE49-F238E27FC236}">
              <a16:creationId xmlns:a16="http://schemas.microsoft.com/office/drawing/2014/main" id="{3BD27556-E40F-4FA0-B531-CD88819FD95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50" name="Text Box 2">
          <a:extLst>
            <a:ext uri="{FF2B5EF4-FFF2-40B4-BE49-F238E27FC236}">
              <a16:creationId xmlns:a16="http://schemas.microsoft.com/office/drawing/2014/main" id="{E844656E-5808-4ACA-8397-4738CC6B3A4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751" name="Text Box 2">
          <a:extLst>
            <a:ext uri="{FF2B5EF4-FFF2-40B4-BE49-F238E27FC236}">
              <a16:creationId xmlns:a16="http://schemas.microsoft.com/office/drawing/2014/main" id="{E73B2360-609A-4991-A11C-D70D1AE66C88}"/>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52" name="Text Box 1">
          <a:extLst>
            <a:ext uri="{FF2B5EF4-FFF2-40B4-BE49-F238E27FC236}">
              <a16:creationId xmlns:a16="http://schemas.microsoft.com/office/drawing/2014/main" id="{4DAAF203-6B8E-41F6-9CE2-C295EF1FAAB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53" name="Text Box 2">
          <a:extLst>
            <a:ext uri="{FF2B5EF4-FFF2-40B4-BE49-F238E27FC236}">
              <a16:creationId xmlns:a16="http://schemas.microsoft.com/office/drawing/2014/main" id="{1DBA69F9-4D33-4E87-A740-430796379A3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754" name="Text Box 2">
          <a:extLst>
            <a:ext uri="{FF2B5EF4-FFF2-40B4-BE49-F238E27FC236}">
              <a16:creationId xmlns:a16="http://schemas.microsoft.com/office/drawing/2014/main" id="{8E07605D-5F46-44BB-8639-3EA309E862D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55" name="Text Box 1">
          <a:extLst>
            <a:ext uri="{FF2B5EF4-FFF2-40B4-BE49-F238E27FC236}">
              <a16:creationId xmlns:a16="http://schemas.microsoft.com/office/drawing/2014/main" id="{5D01408F-E907-4833-9865-7ABB559CB99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56" name="Text Box 2">
          <a:extLst>
            <a:ext uri="{FF2B5EF4-FFF2-40B4-BE49-F238E27FC236}">
              <a16:creationId xmlns:a16="http://schemas.microsoft.com/office/drawing/2014/main" id="{70C2F7D7-0229-4168-88BC-7849AF90A0C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757" name="Text Box 2">
          <a:extLst>
            <a:ext uri="{FF2B5EF4-FFF2-40B4-BE49-F238E27FC236}">
              <a16:creationId xmlns:a16="http://schemas.microsoft.com/office/drawing/2014/main" id="{D51C7424-F6DA-4FFE-9160-722395769028}"/>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58" name="Text Box 1">
          <a:extLst>
            <a:ext uri="{FF2B5EF4-FFF2-40B4-BE49-F238E27FC236}">
              <a16:creationId xmlns:a16="http://schemas.microsoft.com/office/drawing/2014/main" id="{270FAA4D-28CB-4E1B-AD40-9EF7FE9E9F8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59" name="Text Box 2">
          <a:extLst>
            <a:ext uri="{FF2B5EF4-FFF2-40B4-BE49-F238E27FC236}">
              <a16:creationId xmlns:a16="http://schemas.microsoft.com/office/drawing/2014/main" id="{B893ABA1-0254-46B4-9C32-756B3DDEB1D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760" name="Text Box 2">
          <a:extLst>
            <a:ext uri="{FF2B5EF4-FFF2-40B4-BE49-F238E27FC236}">
              <a16:creationId xmlns:a16="http://schemas.microsoft.com/office/drawing/2014/main" id="{F7E90BFF-F606-4F1D-A0C5-8E224584EC44}"/>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61" name="Text Box 1">
          <a:extLst>
            <a:ext uri="{FF2B5EF4-FFF2-40B4-BE49-F238E27FC236}">
              <a16:creationId xmlns:a16="http://schemas.microsoft.com/office/drawing/2014/main" id="{3BDCEFC5-5F00-4BA2-A09C-4D5CB4784E1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62" name="Text Box 2">
          <a:extLst>
            <a:ext uri="{FF2B5EF4-FFF2-40B4-BE49-F238E27FC236}">
              <a16:creationId xmlns:a16="http://schemas.microsoft.com/office/drawing/2014/main" id="{24CB8318-BF0E-482C-8161-6ED2A456D05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763" name="Text Box 2">
          <a:extLst>
            <a:ext uri="{FF2B5EF4-FFF2-40B4-BE49-F238E27FC236}">
              <a16:creationId xmlns:a16="http://schemas.microsoft.com/office/drawing/2014/main" id="{9E57EA08-EC82-4D48-B892-39ED47FE414D}"/>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64" name="Text Box 1">
          <a:extLst>
            <a:ext uri="{FF2B5EF4-FFF2-40B4-BE49-F238E27FC236}">
              <a16:creationId xmlns:a16="http://schemas.microsoft.com/office/drawing/2014/main" id="{7B8778E3-B112-46EB-9B77-593D678E3C7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65" name="Text Box 2">
          <a:extLst>
            <a:ext uri="{FF2B5EF4-FFF2-40B4-BE49-F238E27FC236}">
              <a16:creationId xmlns:a16="http://schemas.microsoft.com/office/drawing/2014/main" id="{D9CC9E5A-8815-4456-897D-234C686DD84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766" name="Text Box 2">
          <a:extLst>
            <a:ext uri="{FF2B5EF4-FFF2-40B4-BE49-F238E27FC236}">
              <a16:creationId xmlns:a16="http://schemas.microsoft.com/office/drawing/2014/main" id="{021FB628-6220-4F37-9379-F21A2B3B67D3}"/>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67" name="Text Box 1">
          <a:extLst>
            <a:ext uri="{FF2B5EF4-FFF2-40B4-BE49-F238E27FC236}">
              <a16:creationId xmlns:a16="http://schemas.microsoft.com/office/drawing/2014/main" id="{6E8405FA-A536-453D-8BC6-124B9BBBE61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68" name="Text Box 2">
          <a:extLst>
            <a:ext uri="{FF2B5EF4-FFF2-40B4-BE49-F238E27FC236}">
              <a16:creationId xmlns:a16="http://schemas.microsoft.com/office/drawing/2014/main" id="{4AEA0373-3A62-4A23-8B9E-956775754E8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69" name="Text Box 1">
          <a:extLst>
            <a:ext uri="{FF2B5EF4-FFF2-40B4-BE49-F238E27FC236}">
              <a16:creationId xmlns:a16="http://schemas.microsoft.com/office/drawing/2014/main" id="{EEE1869B-1C6A-4F7F-92DC-7A1A3C29C7E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70" name="Text Box 2">
          <a:extLst>
            <a:ext uri="{FF2B5EF4-FFF2-40B4-BE49-F238E27FC236}">
              <a16:creationId xmlns:a16="http://schemas.microsoft.com/office/drawing/2014/main" id="{B94BA9B8-88D9-4025-B950-51EB5418482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71" name="Text Box 1">
          <a:extLst>
            <a:ext uri="{FF2B5EF4-FFF2-40B4-BE49-F238E27FC236}">
              <a16:creationId xmlns:a16="http://schemas.microsoft.com/office/drawing/2014/main" id="{D1E74844-A6CF-4FC5-B755-CB4D00856EF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72" name="Text Box 2">
          <a:extLst>
            <a:ext uri="{FF2B5EF4-FFF2-40B4-BE49-F238E27FC236}">
              <a16:creationId xmlns:a16="http://schemas.microsoft.com/office/drawing/2014/main" id="{A4BE0792-B32E-415C-8380-22C9909C31A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773" name="Text Box 1">
          <a:extLst>
            <a:ext uri="{FF2B5EF4-FFF2-40B4-BE49-F238E27FC236}">
              <a16:creationId xmlns:a16="http://schemas.microsoft.com/office/drawing/2014/main" id="{D9DE6BCD-8629-49CC-ACDC-9DACA1D88AD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774" name="Text Box 2">
          <a:extLst>
            <a:ext uri="{FF2B5EF4-FFF2-40B4-BE49-F238E27FC236}">
              <a16:creationId xmlns:a16="http://schemas.microsoft.com/office/drawing/2014/main" id="{16F24157-60E5-478E-AC6B-1360A44CB86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75" name="Text Box 1">
          <a:extLst>
            <a:ext uri="{FF2B5EF4-FFF2-40B4-BE49-F238E27FC236}">
              <a16:creationId xmlns:a16="http://schemas.microsoft.com/office/drawing/2014/main" id="{0D672FA8-E604-46A6-89B6-2D27CD807C1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76" name="Text Box 2">
          <a:extLst>
            <a:ext uri="{FF2B5EF4-FFF2-40B4-BE49-F238E27FC236}">
              <a16:creationId xmlns:a16="http://schemas.microsoft.com/office/drawing/2014/main" id="{33C247B5-EE02-4366-A15D-EA923A3EFB3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777" name="Text Box 1">
          <a:extLst>
            <a:ext uri="{FF2B5EF4-FFF2-40B4-BE49-F238E27FC236}">
              <a16:creationId xmlns:a16="http://schemas.microsoft.com/office/drawing/2014/main" id="{48BB2F46-0AFC-4227-8A7B-56EB00B3C51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778" name="Text Box 2">
          <a:extLst>
            <a:ext uri="{FF2B5EF4-FFF2-40B4-BE49-F238E27FC236}">
              <a16:creationId xmlns:a16="http://schemas.microsoft.com/office/drawing/2014/main" id="{15C1355B-C62E-4B59-B375-277736905A8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79" name="Text Box 1">
          <a:extLst>
            <a:ext uri="{FF2B5EF4-FFF2-40B4-BE49-F238E27FC236}">
              <a16:creationId xmlns:a16="http://schemas.microsoft.com/office/drawing/2014/main" id="{4603BFC2-DDF1-4DD1-9F87-C932BAD206D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80" name="Text Box 2">
          <a:extLst>
            <a:ext uri="{FF2B5EF4-FFF2-40B4-BE49-F238E27FC236}">
              <a16:creationId xmlns:a16="http://schemas.microsoft.com/office/drawing/2014/main" id="{72466726-BE78-4248-B4CC-89754A37F9E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81" name="Text Box 1">
          <a:extLst>
            <a:ext uri="{FF2B5EF4-FFF2-40B4-BE49-F238E27FC236}">
              <a16:creationId xmlns:a16="http://schemas.microsoft.com/office/drawing/2014/main" id="{7A8F44A7-937D-4EB4-B238-5C90FBD3645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82" name="Text Box 2">
          <a:extLst>
            <a:ext uri="{FF2B5EF4-FFF2-40B4-BE49-F238E27FC236}">
              <a16:creationId xmlns:a16="http://schemas.microsoft.com/office/drawing/2014/main" id="{F0D90B58-E2DE-4AE2-B402-66250CE4205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783" name="Text Box 1">
          <a:extLst>
            <a:ext uri="{FF2B5EF4-FFF2-40B4-BE49-F238E27FC236}">
              <a16:creationId xmlns:a16="http://schemas.microsoft.com/office/drawing/2014/main" id="{C50736D4-5CC4-4A84-B49B-8DD1BF8A4DE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784" name="Text Box 2">
          <a:extLst>
            <a:ext uri="{FF2B5EF4-FFF2-40B4-BE49-F238E27FC236}">
              <a16:creationId xmlns:a16="http://schemas.microsoft.com/office/drawing/2014/main" id="{27B7D66D-C907-40DB-AF18-AFCC95178C2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785" name="Text Box 2">
          <a:extLst>
            <a:ext uri="{FF2B5EF4-FFF2-40B4-BE49-F238E27FC236}">
              <a16:creationId xmlns:a16="http://schemas.microsoft.com/office/drawing/2014/main" id="{E769E64B-309A-42B1-9B27-ECE9A450BBF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86" name="Text Box 1">
          <a:extLst>
            <a:ext uri="{FF2B5EF4-FFF2-40B4-BE49-F238E27FC236}">
              <a16:creationId xmlns:a16="http://schemas.microsoft.com/office/drawing/2014/main" id="{FD2892F4-8647-4E02-89C0-2CF09FBF470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87" name="Text Box 2">
          <a:extLst>
            <a:ext uri="{FF2B5EF4-FFF2-40B4-BE49-F238E27FC236}">
              <a16:creationId xmlns:a16="http://schemas.microsoft.com/office/drawing/2014/main" id="{1A9D72C9-0F9D-4152-BDB7-5F50EC29428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88" name="Text Box 1">
          <a:extLst>
            <a:ext uri="{FF2B5EF4-FFF2-40B4-BE49-F238E27FC236}">
              <a16:creationId xmlns:a16="http://schemas.microsoft.com/office/drawing/2014/main" id="{4658A529-7823-45B0-824B-287B7743BB5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89" name="Text Box 2">
          <a:extLst>
            <a:ext uri="{FF2B5EF4-FFF2-40B4-BE49-F238E27FC236}">
              <a16:creationId xmlns:a16="http://schemas.microsoft.com/office/drawing/2014/main" id="{5A3C361D-8BA4-48E9-9130-AF79890B6AD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790" name="Text Box 1">
          <a:extLst>
            <a:ext uri="{FF2B5EF4-FFF2-40B4-BE49-F238E27FC236}">
              <a16:creationId xmlns:a16="http://schemas.microsoft.com/office/drawing/2014/main" id="{62053649-F19C-4CB6-A36D-9F0618A8B24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791" name="Text Box 2">
          <a:extLst>
            <a:ext uri="{FF2B5EF4-FFF2-40B4-BE49-F238E27FC236}">
              <a16:creationId xmlns:a16="http://schemas.microsoft.com/office/drawing/2014/main" id="{4CE12E80-FA73-48B6-A666-92850EC4EF1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92" name="Text Box 1">
          <a:extLst>
            <a:ext uri="{FF2B5EF4-FFF2-40B4-BE49-F238E27FC236}">
              <a16:creationId xmlns:a16="http://schemas.microsoft.com/office/drawing/2014/main" id="{AD4E254F-2014-4E7C-B2C4-496152BBFC7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93" name="Text Box 2">
          <a:extLst>
            <a:ext uri="{FF2B5EF4-FFF2-40B4-BE49-F238E27FC236}">
              <a16:creationId xmlns:a16="http://schemas.microsoft.com/office/drawing/2014/main" id="{55E49D18-8919-450A-892D-370208883C4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794" name="Text Box 2">
          <a:extLst>
            <a:ext uri="{FF2B5EF4-FFF2-40B4-BE49-F238E27FC236}">
              <a16:creationId xmlns:a16="http://schemas.microsoft.com/office/drawing/2014/main" id="{88247EC7-36B9-4DBF-A9CA-FCC3944EF45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95" name="Text Box 1">
          <a:extLst>
            <a:ext uri="{FF2B5EF4-FFF2-40B4-BE49-F238E27FC236}">
              <a16:creationId xmlns:a16="http://schemas.microsoft.com/office/drawing/2014/main" id="{90AAB387-C702-43B1-8D13-C741E506A00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96" name="Text Box 2">
          <a:extLst>
            <a:ext uri="{FF2B5EF4-FFF2-40B4-BE49-F238E27FC236}">
              <a16:creationId xmlns:a16="http://schemas.microsoft.com/office/drawing/2014/main" id="{0EB6B9BB-AA29-45FE-9815-A6A52ACD7D7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797" name="Text Box 2">
          <a:extLst>
            <a:ext uri="{FF2B5EF4-FFF2-40B4-BE49-F238E27FC236}">
              <a16:creationId xmlns:a16="http://schemas.microsoft.com/office/drawing/2014/main" id="{24C7C602-8FAF-4730-BDE0-70A4571251E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98" name="Text Box 1">
          <a:extLst>
            <a:ext uri="{FF2B5EF4-FFF2-40B4-BE49-F238E27FC236}">
              <a16:creationId xmlns:a16="http://schemas.microsoft.com/office/drawing/2014/main" id="{5DE11178-F253-4B35-90AD-E01D10046AA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99" name="Text Box 2">
          <a:extLst>
            <a:ext uri="{FF2B5EF4-FFF2-40B4-BE49-F238E27FC236}">
              <a16:creationId xmlns:a16="http://schemas.microsoft.com/office/drawing/2014/main" id="{B3C3F101-11D0-4424-A795-0EF88667E6D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800" name="Text Box 2">
          <a:extLst>
            <a:ext uri="{FF2B5EF4-FFF2-40B4-BE49-F238E27FC236}">
              <a16:creationId xmlns:a16="http://schemas.microsoft.com/office/drawing/2014/main" id="{3F78FC5C-FCA3-4252-948D-BA63741E7A4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01" name="Text Box 1">
          <a:extLst>
            <a:ext uri="{FF2B5EF4-FFF2-40B4-BE49-F238E27FC236}">
              <a16:creationId xmlns:a16="http://schemas.microsoft.com/office/drawing/2014/main" id="{39BF268E-5A98-45B6-BE00-1C8B3A76748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02" name="Text Box 2">
          <a:extLst>
            <a:ext uri="{FF2B5EF4-FFF2-40B4-BE49-F238E27FC236}">
              <a16:creationId xmlns:a16="http://schemas.microsoft.com/office/drawing/2014/main" id="{241E235A-293B-414A-A099-CE174967B8C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803" name="Text Box 2">
          <a:extLst>
            <a:ext uri="{FF2B5EF4-FFF2-40B4-BE49-F238E27FC236}">
              <a16:creationId xmlns:a16="http://schemas.microsoft.com/office/drawing/2014/main" id="{2470F926-D5F4-488F-8062-3B011F6DD652}"/>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04" name="Text Box 1">
          <a:extLst>
            <a:ext uri="{FF2B5EF4-FFF2-40B4-BE49-F238E27FC236}">
              <a16:creationId xmlns:a16="http://schemas.microsoft.com/office/drawing/2014/main" id="{CBE0D0B6-A0F0-4BDE-AD0E-3FEFFA3152A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05" name="Text Box 2">
          <a:extLst>
            <a:ext uri="{FF2B5EF4-FFF2-40B4-BE49-F238E27FC236}">
              <a16:creationId xmlns:a16="http://schemas.microsoft.com/office/drawing/2014/main" id="{BEF8602B-ECF6-4DF2-832F-A34F22B1210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806" name="Text Box 2">
          <a:extLst>
            <a:ext uri="{FF2B5EF4-FFF2-40B4-BE49-F238E27FC236}">
              <a16:creationId xmlns:a16="http://schemas.microsoft.com/office/drawing/2014/main" id="{E0F75607-B95A-46D5-8023-F1563CF96622}"/>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07" name="Text Box 1">
          <a:extLst>
            <a:ext uri="{FF2B5EF4-FFF2-40B4-BE49-F238E27FC236}">
              <a16:creationId xmlns:a16="http://schemas.microsoft.com/office/drawing/2014/main" id="{ABD7E4E0-10DB-4FFA-BBD1-DFE42316C92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08" name="Text Box 2">
          <a:extLst>
            <a:ext uri="{FF2B5EF4-FFF2-40B4-BE49-F238E27FC236}">
              <a16:creationId xmlns:a16="http://schemas.microsoft.com/office/drawing/2014/main" id="{A769E73B-89E3-4510-BFD3-98FBED2C127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809" name="Text Box 2">
          <a:extLst>
            <a:ext uri="{FF2B5EF4-FFF2-40B4-BE49-F238E27FC236}">
              <a16:creationId xmlns:a16="http://schemas.microsoft.com/office/drawing/2014/main" id="{B789B5E8-0D39-4FFF-B94A-719440C89E31}"/>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10" name="Text Box 1">
          <a:extLst>
            <a:ext uri="{FF2B5EF4-FFF2-40B4-BE49-F238E27FC236}">
              <a16:creationId xmlns:a16="http://schemas.microsoft.com/office/drawing/2014/main" id="{0FC2900B-C430-479A-B906-C9C36DE8EDE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11" name="Text Box 2">
          <a:extLst>
            <a:ext uri="{FF2B5EF4-FFF2-40B4-BE49-F238E27FC236}">
              <a16:creationId xmlns:a16="http://schemas.microsoft.com/office/drawing/2014/main" id="{A7279119-32E4-45B1-9B9C-CB413186810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12" name="Text Box 1">
          <a:extLst>
            <a:ext uri="{FF2B5EF4-FFF2-40B4-BE49-F238E27FC236}">
              <a16:creationId xmlns:a16="http://schemas.microsoft.com/office/drawing/2014/main" id="{39312B70-3B4C-4E65-9DAD-1F2913CF3AA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13" name="Text Box 2">
          <a:extLst>
            <a:ext uri="{FF2B5EF4-FFF2-40B4-BE49-F238E27FC236}">
              <a16:creationId xmlns:a16="http://schemas.microsoft.com/office/drawing/2014/main" id="{1E2AB327-EAB4-42A8-BDF9-28F605177F4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14" name="Text Box 1">
          <a:extLst>
            <a:ext uri="{FF2B5EF4-FFF2-40B4-BE49-F238E27FC236}">
              <a16:creationId xmlns:a16="http://schemas.microsoft.com/office/drawing/2014/main" id="{9514DDAA-5D98-4E14-94B3-1044C18CFF9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15" name="Text Box 2">
          <a:extLst>
            <a:ext uri="{FF2B5EF4-FFF2-40B4-BE49-F238E27FC236}">
              <a16:creationId xmlns:a16="http://schemas.microsoft.com/office/drawing/2014/main" id="{AA90B406-9CB3-49D8-A602-9D9167E3978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16" name="Text Box 1">
          <a:extLst>
            <a:ext uri="{FF2B5EF4-FFF2-40B4-BE49-F238E27FC236}">
              <a16:creationId xmlns:a16="http://schemas.microsoft.com/office/drawing/2014/main" id="{71DB2EEA-1131-46C7-A2A7-C103C6C8A8D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17" name="Text Box 2">
          <a:extLst>
            <a:ext uri="{FF2B5EF4-FFF2-40B4-BE49-F238E27FC236}">
              <a16:creationId xmlns:a16="http://schemas.microsoft.com/office/drawing/2014/main" id="{CA06D0EC-4715-4FB2-AE5D-32A5A61F0F1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18" name="Text Box 1">
          <a:extLst>
            <a:ext uri="{FF2B5EF4-FFF2-40B4-BE49-F238E27FC236}">
              <a16:creationId xmlns:a16="http://schemas.microsoft.com/office/drawing/2014/main" id="{5D0F6F90-E227-4BE4-8452-EFA43DBEEFD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19" name="Text Box 2">
          <a:extLst>
            <a:ext uri="{FF2B5EF4-FFF2-40B4-BE49-F238E27FC236}">
              <a16:creationId xmlns:a16="http://schemas.microsoft.com/office/drawing/2014/main" id="{4CF3DC30-D136-4C42-BA80-1D428BEEC87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20" name="Text Box 1">
          <a:extLst>
            <a:ext uri="{FF2B5EF4-FFF2-40B4-BE49-F238E27FC236}">
              <a16:creationId xmlns:a16="http://schemas.microsoft.com/office/drawing/2014/main" id="{FD1AC47E-D825-4D54-8066-77C914F1E2B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21" name="Text Box 2">
          <a:extLst>
            <a:ext uri="{FF2B5EF4-FFF2-40B4-BE49-F238E27FC236}">
              <a16:creationId xmlns:a16="http://schemas.microsoft.com/office/drawing/2014/main" id="{D373BD5F-0BF4-4B18-8EA5-A70124995AA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22" name="Text Box 1">
          <a:extLst>
            <a:ext uri="{FF2B5EF4-FFF2-40B4-BE49-F238E27FC236}">
              <a16:creationId xmlns:a16="http://schemas.microsoft.com/office/drawing/2014/main" id="{2B2C1F9E-7474-417E-AC04-5871CAB29C5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23" name="Text Box 2">
          <a:extLst>
            <a:ext uri="{FF2B5EF4-FFF2-40B4-BE49-F238E27FC236}">
              <a16:creationId xmlns:a16="http://schemas.microsoft.com/office/drawing/2014/main" id="{3F88E79E-0C80-434D-9212-C1A41103D58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24" name="Text Box 1">
          <a:extLst>
            <a:ext uri="{FF2B5EF4-FFF2-40B4-BE49-F238E27FC236}">
              <a16:creationId xmlns:a16="http://schemas.microsoft.com/office/drawing/2014/main" id="{304CE992-290F-4A6C-BDFC-798F7401D9F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25" name="Text Box 2">
          <a:extLst>
            <a:ext uri="{FF2B5EF4-FFF2-40B4-BE49-F238E27FC236}">
              <a16:creationId xmlns:a16="http://schemas.microsoft.com/office/drawing/2014/main" id="{6718F7AE-1DE9-4E64-96BD-B4EB57C70C4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26" name="Text Box 1">
          <a:extLst>
            <a:ext uri="{FF2B5EF4-FFF2-40B4-BE49-F238E27FC236}">
              <a16:creationId xmlns:a16="http://schemas.microsoft.com/office/drawing/2014/main" id="{232D2834-BFF0-4C92-A8A4-9D8673016A5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27" name="Text Box 2">
          <a:extLst>
            <a:ext uri="{FF2B5EF4-FFF2-40B4-BE49-F238E27FC236}">
              <a16:creationId xmlns:a16="http://schemas.microsoft.com/office/drawing/2014/main" id="{C8829AAD-6906-4DDE-9086-90269D905CE5}"/>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28" name="Text Box 1">
          <a:extLst>
            <a:ext uri="{FF2B5EF4-FFF2-40B4-BE49-F238E27FC236}">
              <a16:creationId xmlns:a16="http://schemas.microsoft.com/office/drawing/2014/main" id="{A1BDB132-D2F6-4982-914A-4BC079455CC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29" name="Text Box 2">
          <a:extLst>
            <a:ext uri="{FF2B5EF4-FFF2-40B4-BE49-F238E27FC236}">
              <a16:creationId xmlns:a16="http://schemas.microsoft.com/office/drawing/2014/main" id="{85315505-ACEB-4954-A28C-A5E1D0D3009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30" name="Text Box 2">
          <a:extLst>
            <a:ext uri="{FF2B5EF4-FFF2-40B4-BE49-F238E27FC236}">
              <a16:creationId xmlns:a16="http://schemas.microsoft.com/office/drawing/2014/main" id="{451C8249-E808-4121-B1AE-E641037743E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31" name="Text Box 1">
          <a:extLst>
            <a:ext uri="{FF2B5EF4-FFF2-40B4-BE49-F238E27FC236}">
              <a16:creationId xmlns:a16="http://schemas.microsoft.com/office/drawing/2014/main" id="{21E87CDA-6735-4E43-8FB4-387AF7F5B51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32" name="Text Box 2">
          <a:extLst>
            <a:ext uri="{FF2B5EF4-FFF2-40B4-BE49-F238E27FC236}">
              <a16:creationId xmlns:a16="http://schemas.microsoft.com/office/drawing/2014/main" id="{B983D481-6708-44E6-9AF5-4B99AC3DF7D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33" name="Text Box 1">
          <a:extLst>
            <a:ext uri="{FF2B5EF4-FFF2-40B4-BE49-F238E27FC236}">
              <a16:creationId xmlns:a16="http://schemas.microsoft.com/office/drawing/2014/main" id="{0795D31B-05AD-4157-AEC5-86DD2A5E114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34" name="Text Box 2">
          <a:extLst>
            <a:ext uri="{FF2B5EF4-FFF2-40B4-BE49-F238E27FC236}">
              <a16:creationId xmlns:a16="http://schemas.microsoft.com/office/drawing/2014/main" id="{A42179EC-ECA9-4AE2-8318-2F0AFA57518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35" name="Text Box 1">
          <a:extLst>
            <a:ext uri="{FF2B5EF4-FFF2-40B4-BE49-F238E27FC236}">
              <a16:creationId xmlns:a16="http://schemas.microsoft.com/office/drawing/2014/main" id="{59D3EF50-44CC-48C7-A721-275D4F0D51C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36" name="Text Box 2">
          <a:extLst>
            <a:ext uri="{FF2B5EF4-FFF2-40B4-BE49-F238E27FC236}">
              <a16:creationId xmlns:a16="http://schemas.microsoft.com/office/drawing/2014/main" id="{30CFE53F-FBFA-4211-88B8-D4FB1399E75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37" name="Text Box 1">
          <a:extLst>
            <a:ext uri="{FF2B5EF4-FFF2-40B4-BE49-F238E27FC236}">
              <a16:creationId xmlns:a16="http://schemas.microsoft.com/office/drawing/2014/main" id="{125510CE-9873-46C4-AF58-F455A2AB477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38" name="Text Box 2">
          <a:extLst>
            <a:ext uri="{FF2B5EF4-FFF2-40B4-BE49-F238E27FC236}">
              <a16:creationId xmlns:a16="http://schemas.microsoft.com/office/drawing/2014/main" id="{CB8BC9B2-FD1F-4D60-A9A7-62251ADF431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39" name="Text Box 1">
          <a:extLst>
            <a:ext uri="{FF2B5EF4-FFF2-40B4-BE49-F238E27FC236}">
              <a16:creationId xmlns:a16="http://schemas.microsoft.com/office/drawing/2014/main" id="{83174DE6-8384-4DFD-BB4C-A5D98647548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40" name="Text Box 2">
          <a:extLst>
            <a:ext uri="{FF2B5EF4-FFF2-40B4-BE49-F238E27FC236}">
              <a16:creationId xmlns:a16="http://schemas.microsoft.com/office/drawing/2014/main" id="{E594E05E-DC46-4B9D-93B2-22A359913A7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41" name="Text Box 1">
          <a:extLst>
            <a:ext uri="{FF2B5EF4-FFF2-40B4-BE49-F238E27FC236}">
              <a16:creationId xmlns:a16="http://schemas.microsoft.com/office/drawing/2014/main" id="{67E00FC9-9390-433E-AEB6-E96C144BF8D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42" name="Text Box 2">
          <a:extLst>
            <a:ext uri="{FF2B5EF4-FFF2-40B4-BE49-F238E27FC236}">
              <a16:creationId xmlns:a16="http://schemas.microsoft.com/office/drawing/2014/main" id="{F440A018-F639-45A9-AB85-8C12655E1EC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43" name="Text Box 1">
          <a:extLst>
            <a:ext uri="{FF2B5EF4-FFF2-40B4-BE49-F238E27FC236}">
              <a16:creationId xmlns:a16="http://schemas.microsoft.com/office/drawing/2014/main" id="{2171D836-DF2F-4F3E-BACC-DD3DC2C2DF8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44" name="Text Box 2">
          <a:extLst>
            <a:ext uri="{FF2B5EF4-FFF2-40B4-BE49-F238E27FC236}">
              <a16:creationId xmlns:a16="http://schemas.microsoft.com/office/drawing/2014/main" id="{2CA7B2B2-0C89-4F11-9FF8-3F9A30752CC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45" name="Text Box 1">
          <a:extLst>
            <a:ext uri="{FF2B5EF4-FFF2-40B4-BE49-F238E27FC236}">
              <a16:creationId xmlns:a16="http://schemas.microsoft.com/office/drawing/2014/main" id="{67436D93-E76A-4C1A-83B8-14A2BF1A210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46" name="Text Box 2">
          <a:extLst>
            <a:ext uri="{FF2B5EF4-FFF2-40B4-BE49-F238E27FC236}">
              <a16:creationId xmlns:a16="http://schemas.microsoft.com/office/drawing/2014/main" id="{6F6E5729-D46A-4A9E-BA5D-C6EF448FCA6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47" name="Text Box 1">
          <a:extLst>
            <a:ext uri="{FF2B5EF4-FFF2-40B4-BE49-F238E27FC236}">
              <a16:creationId xmlns:a16="http://schemas.microsoft.com/office/drawing/2014/main" id="{DEB417C7-45D0-45A5-BB35-AA86BBBE05D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48" name="Text Box 2">
          <a:extLst>
            <a:ext uri="{FF2B5EF4-FFF2-40B4-BE49-F238E27FC236}">
              <a16:creationId xmlns:a16="http://schemas.microsoft.com/office/drawing/2014/main" id="{06100FDB-E3C3-40F6-8EFD-06BB0D27F13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49" name="Text Box 1">
          <a:extLst>
            <a:ext uri="{FF2B5EF4-FFF2-40B4-BE49-F238E27FC236}">
              <a16:creationId xmlns:a16="http://schemas.microsoft.com/office/drawing/2014/main" id="{59C49D8D-FBD0-4BD4-9F5B-E8AF598EC1D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50" name="Text Box 2">
          <a:extLst>
            <a:ext uri="{FF2B5EF4-FFF2-40B4-BE49-F238E27FC236}">
              <a16:creationId xmlns:a16="http://schemas.microsoft.com/office/drawing/2014/main" id="{10A63B84-FF80-4A8C-882A-7D1C2FFB8E4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51" name="Text Box 1">
          <a:extLst>
            <a:ext uri="{FF2B5EF4-FFF2-40B4-BE49-F238E27FC236}">
              <a16:creationId xmlns:a16="http://schemas.microsoft.com/office/drawing/2014/main" id="{77BE4C43-27DB-47B5-9707-E93AEDBEE00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52" name="Text Box 2">
          <a:extLst>
            <a:ext uri="{FF2B5EF4-FFF2-40B4-BE49-F238E27FC236}">
              <a16:creationId xmlns:a16="http://schemas.microsoft.com/office/drawing/2014/main" id="{BDD21926-C541-4723-8AFC-C2D43FD3223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853" name="Text Box 2">
          <a:extLst>
            <a:ext uri="{FF2B5EF4-FFF2-40B4-BE49-F238E27FC236}">
              <a16:creationId xmlns:a16="http://schemas.microsoft.com/office/drawing/2014/main" id="{BFE64AA7-8BA3-4601-A442-E84A388C6A8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54" name="Text Box 1">
          <a:extLst>
            <a:ext uri="{FF2B5EF4-FFF2-40B4-BE49-F238E27FC236}">
              <a16:creationId xmlns:a16="http://schemas.microsoft.com/office/drawing/2014/main" id="{87021F16-3707-4258-8A44-E319E8FBB90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55" name="Text Box 2">
          <a:extLst>
            <a:ext uri="{FF2B5EF4-FFF2-40B4-BE49-F238E27FC236}">
              <a16:creationId xmlns:a16="http://schemas.microsoft.com/office/drawing/2014/main" id="{8F670040-FA08-4E24-9457-0CEFB418B96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56" name="Text Box 1">
          <a:extLst>
            <a:ext uri="{FF2B5EF4-FFF2-40B4-BE49-F238E27FC236}">
              <a16:creationId xmlns:a16="http://schemas.microsoft.com/office/drawing/2014/main" id="{7C6444D1-0BFE-41A1-8838-55251DBC719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57" name="Text Box 2">
          <a:extLst>
            <a:ext uri="{FF2B5EF4-FFF2-40B4-BE49-F238E27FC236}">
              <a16:creationId xmlns:a16="http://schemas.microsoft.com/office/drawing/2014/main" id="{98C7DC32-71F5-4900-836C-DD67EEDBBE4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58" name="Text Box 1">
          <a:extLst>
            <a:ext uri="{FF2B5EF4-FFF2-40B4-BE49-F238E27FC236}">
              <a16:creationId xmlns:a16="http://schemas.microsoft.com/office/drawing/2014/main" id="{39273C67-52B1-412B-9280-E9FA16D6488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59" name="Text Box 2">
          <a:extLst>
            <a:ext uri="{FF2B5EF4-FFF2-40B4-BE49-F238E27FC236}">
              <a16:creationId xmlns:a16="http://schemas.microsoft.com/office/drawing/2014/main" id="{7B9FB601-4505-473D-844B-6669ACAF273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60" name="Text Box 1">
          <a:extLst>
            <a:ext uri="{FF2B5EF4-FFF2-40B4-BE49-F238E27FC236}">
              <a16:creationId xmlns:a16="http://schemas.microsoft.com/office/drawing/2014/main" id="{EC9C869B-97AB-41BD-9C4B-4D1B0456424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61" name="Text Box 2">
          <a:extLst>
            <a:ext uri="{FF2B5EF4-FFF2-40B4-BE49-F238E27FC236}">
              <a16:creationId xmlns:a16="http://schemas.microsoft.com/office/drawing/2014/main" id="{DB30DFEC-7E55-48D4-924E-E1929941F52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862" name="Text Box 2">
          <a:extLst>
            <a:ext uri="{FF2B5EF4-FFF2-40B4-BE49-F238E27FC236}">
              <a16:creationId xmlns:a16="http://schemas.microsoft.com/office/drawing/2014/main" id="{E10E211E-B40F-4DE5-8B23-028DE1855D4A}"/>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63" name="Text Box 1">
          <a:extLst>
            <a:ext uri="{FF2B5EF4-FFF2-40B4-BE49-F238E27FC236}">
              <a16:creationId xmlns:a16="http://schemas.microsoft.com/office/drawing/2014/main" id="{BD54F62D-5E8B-48D9-82EC-0F8E837EFED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64" name="Text Box 2">
          <a:extLst>
            <a:ext uri="{FF2B5EF4-FFF2-40B4-BE49-F238E27FC236}">
              <a16:creationId xmlns:a16="http://schemas.microsoft.com/office/drawing/2014/main" id="{E386E10A-B0CE-4FAC-B72F-E2F244F1C80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865" name="Text Box 2">
          <a:extLst>
            <a:ext uri="{FF2B5EF4-FFF2-40B4-BE49-F238E27FC236}">
              <a16:creationId xmlns:a16="http://schemas.microsoft.com/office/drawing/2014/main" id="{CBCB969B-C5CA-41B1-BD94-6FFDB92B1E3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66" name="Text Box 1">
          <a:extLst>
            <a:ext uri="{FF2B5EF4-FFF2-40B4-BE49-F238E27FC236}">
              <a16:creationId xmlns:a16="http://schemas.microsoft.com/office/drawing/2014/main" id="{DB2E67FA-BEA0-4921-A5C7-199533F057C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67" name="Text Box 2">
          <a:extLst>
            <a:ext uri="{FF2B5EF4-FFF2-40B4-BE49-F238E27FC236}">
              <a16:creationId xmlns:a16="http://schemas.microsoft.com/office/drawing/2014/main" id="{8CDCFB42-6256-427B-BFB7-990293EAA48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868" name="Text Box 2">
          <a:extLst>
            <a:ext uri="{FF2B5EF4-FFF2-40B4-BE49-F238E27FC236}">
              <a16:creationId xmlns:a16="http://schemas.microsoft.com/office/drawing/2014/main" id="{6748005C-566C-42FE-A4B5-DD2A86D8E22A}"/>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69" name="Text Box 1">
          <a:extLst>
            <a:ext uri="{FF2B5EF4-FFF2-40B4-BE49-F238E27FC236}">
              <a16:creationId xmlns:a16="http://schemas.microsoft.com/office/drawing/2014/main" id="{2CCE98FC-0763-48FA-82F6-58F2E313DC9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70" name="Text Box 2">
          <a:extLst>
            <a:ext uri="{FF2B5EF4-FFF2-40B4-BE49-F238E27FC236}">
              <a16:creationId xmlns:a16="http://schemas.microsoft.com/office/drawing/2014/main" id="{D34F9331-A748-4450-A473-761A45A789C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871" name="Text Box 2">
          <a:extLst>
            <a:ext uri="{FF2B5EF4-FFF2-40B4-BE49-F238E27FC236}">
              <a16:creationId xmlns:a16="http://schemas.microsoft.com/office/drawing/2014/main" id="{13478FF9-72FC-43A6-B7F5-D0B3619CC6C4}"/>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72" name="Text Box 1">
          <a:extLst>
            <a:ext uri="{FF2B5EF4-FFF2-40B4-BE49-F238E27FC236}">
              <a16:creationId xmlns:a16="http://schemas.microsoft.com/office/drawing/2014/main" id="{EAFE9650-5B55-426E-84E5-1ECEC2F822C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73" name="Text Box 2">
          <a:extLst>
            <a:ext uri="{FF2B5EF4-FFF2-40B4-BE49-F238E27FC236}">
              <a16:creationId xmlns:a16="http://schemas.microsoft.com/office/drawing/2014/main" id="{2434BDB8-8C35-4B19-9CCC-589E9CD28EC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874" name="Text Box 2">
          <a:extLst>
            <a:ext uri="{FF2B5EF4-FFF2-40B4-BE49-F238E27FC236}">
              <a16:creationId xmlns:a16="http://schemas.microsoft.com/office/drawing/2014/main" id="{70BBB990-5C4A-469F-917F-34E1BDDE5176}"/>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75" name="Text Box 1">
          <a:extLst>
            <a:ext uri="{FF2B5EF4-FFF2-40B4-BE49-F238E27FC236}">
              <a16:creationId xmlns:a16="http://schemas.microsoft.com/office/drawing/2014/main" id="{6EC52C84-A216-4A81-96F8-AD868BE729C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76" name="Text Box 2">
          <a:extLst>
            <a:ext uri="{FF2B5EF4-FFF2-40B4-BE49-F238E27FC236}">
              <a16:creationId xmlns:a16="http://schemas.microsoft.com/office/drawing/2014/main" id="{C171E61C-F654-4C52-B861-4336CEA85AA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877" name="Text Box 2">
          <a:extLst>
            <a:ext uri="{FF2B5EF4-FFF2-40B4-BE49-F238E27FC236}">
              <a16:creationId xmlns:a16="http://schemas.microsoft.com/office/drawing/2014/main" id="{55362878-9512-405B-8CF9-3B08246F2184}"/>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78" name="Text Box 1">
          <a:extLst>
            <a:ext uri="{FF2B5EF4-FFF2-40B4-BE49-F238E27FC236}">
              <a16:creationId xmlns:a16="http://schemas.microsoft.com/office/drawing/2014/main" id="{70283880-DD95-4686-AB3A-498DF079B1E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79" name="Text Box 2">
          <a:extLst>
            <a:ext uri="{FF2B5EF4-FFF2-40B4-BE49-F238E27FC236}">
              <a16:creationId xmlns:a16="http://schemas.microsoft.com/office/drawing/2014/main" id="{29EBA3C9-253D-45A5-B742-CF5A40B8F3B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80" name="Text Box 1">
          <a:extLst>
            <a:ext uri="{FF2B5EF4-FFF2-40B4-BE49-F238E27FC236}">
              <a16:creationId xmlns:a16="http://schemas.microsoft.com/office/drawing/2014/main" id="{4A785FD6-100D-47C6-95E8-6C5DAB1CE66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81" name="Text Box 2">
          <a:extLst>
            <a:ext uri="{FF2B5EF4-FFF2-40B4-BE49-F238E27FC236}">
              <a16:creationId xmlns:a16="http://schemas.microsoft.com/office/drawing/2014/main" id="{93606FD5-BB8B-483E-A6EA-6444B3778C8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82" name="Text Box 1">
          <a:extLst>
            <a:ext uri="{FF2B5EF4-FFF2-40B4-BE49-F238E27FC236}">
              <a16:creationId xmlns:a16="http://schemas.microsoft.com/office/drawing/2014/main" id="{00DF7D20-715E-48F8-A035-17859B5AC7A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83" name="Text Box 2">
          <a:extLst>
            <a:ext uri="{FF2B5EF4-FFF2-40B4-BE49-F238E27FC236}">
              <a16:creationId xmlns:a16="http://schemas.microsoft.com/office/drawing/2014/main" id="{A9E21C79-D791-4912-A076-517A87923B3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84" name="Text Box 1">
          <a:extLst>
            <a:ext uri="{FF2B5EF4-FFF2-40B4-BE49-F238E27FC236}">
              <a16:creationId xmlns:a16="http://schemas.microsoft.com/office/drawing/2014/main" id="{17B3D560-9EB6-4B5F-AC16-B13A01213D7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85" name="Text Box 2">
          <a:extLst>
            <a:ext uri="{FF2B5EF4-FFF2-40B4-BE49-F238E27FC236}">
              <a16:creationId xmlns:a16="http://schemas.microsoft.com/office/drawing/2014/main" id="{36085476-F829-4160-AE57-039BBE6CE5F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86" name="Text Box 1">
          <a:extLst>
            <a:ext uri="{FF2B5EF4-FFF2-40B4-BE49-F238E27FC236}">
              <a16:creationId xmlns:a16="http://schemas.microsoft.com/office/drawing/2014/main" id="{C8D6EC92-5D10-4F1C-8EEE-6FE347F1D60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87" name="Text Box 2">
          <a:extLst>
            <a:ext uri="{FF2B5EF4-FFF2-40B4-BE49-F238E27FC236}">
              <a16:creationId xmlns:a16="http://schemas.microsoft.com/office/drawing/2014/main" id="{C46912FA-8408-4AA6-93ED-774E94503EA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88" name="Text Box 1">
          <a:extLst>
            <a:ext uri="{FF2B5EF4-FFF2-40B4-BE49-F238E27FC236}">
              <a16:creationId xmlns:a16="http://schemas.microsoft.com/office/drawing/2014/main" id="{03E77946-6E14-4B87-9EBA-A060E3C28BB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89" name="Text Box 2">
          <a:extLst>
            <a:ext uri="{FF2B5EF4-FFF2-40B4-BE49-F238E27FC236}">
              <a16:creationId xmlns:a16="http://schemas.microsoft.com/office/drawing/2014/main" id="{901BC26C-35BD-480D-8A6B-6015B49382D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90" name="Text Box 2">
          <a:extLst>
            <a:ext uri="{FF2B5EF4-FFF2-40B4-BE49-F238E27FC236}">
              <a16:creationId xmlns:a16="http://schemas.microsoft.com/office/drawing/2014/main" id="{0E152B0E-887D-484F-AFB3-DA61CC6F321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91" name="Text Box 1">
          <a:extLst>
            <a:ext uri="{FF2B5EF4-FFF2-40B4-BE49-F238E27FC236}">
              <a16:creationId xmlns:a16="http://schemas.microsoft.com/office/drawing/2014/main" id="{7982BCC8-B95D-4D9E-94DE-55DB16BFF6D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92" name="Text Box 2">
          <a:extLst>
            <a:ext uri="{FF2B5EF4-FFF2-40B4-BE49-F238E27FC236}">
              <a16:creationId xmlns:a16="http://schemas.microsoft.com/office/drawing/2014/main" id="{0B80F0A9-6702-4883-96D9-24B6623E537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93" name="Text Box 1">
          <a:extLst>
            <a:ext uri="{FF2B5EF4-FFF2-40B4-BE49-F238E27FC236}">
              <a16:creationId xmlns:a16="http://schemas.microsoft.com/office/drawing/2014/main" id="{EBBCF81B-8E59-4C7D-B5CF-12649431BDF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94" name="Text Box 2">
          <a:extLst>
            <a:ext uri="{FF2B5EF4-FFF2-40B4-BE49-F238E27FC236}">
              <a16:creationId xmlns:a16="http://schemas.microsoft.com/office/drawing/2014/main" id="{1DB22762-C4E2-4524-96BC-B07D8EDE3A2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95" name="Text Box 1">
          <a:extLst>
            <a:ext uri="{FF2B5EF4-FFF2-40B4-BE49-F238E27FC236}">
              <a16:creationId xmlns:a16="http://schemas.microsoft.com/office/drawing/2014/main" id="{65857846-0AD1-4EA2-9CF2-9C9B0D3ECC8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96" name="Text Box 2">
          <a:extLst>
            <a:ext uri="{FF2B5EF4-FFF2-40B4-BE49-F238E27FC236}">
              <a16:creationId xmlns:a16="http://schemas.microsoft.com/office/drawing/2014/main" id="{3DD75768-F39D-4823-BDD4-91D002D08B2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97" name="Text Box 2">
          <a:extLst>
            <a:ext uri="{FF2B5EF4-FFF2-40B4-BE49-F238E27FC236}">
              <a16:creationId xmlns:a16="http://schemas.microsoft.com/office/drawing/2014/main" id="{4F3A9B55-9E05-46B2-9F99-6989BF140C6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98" name="Text Box 1">
          <a:extLst>
            <a:ext uri="{FF2B5EF4-FFF2-40B4-BE49-F238E27FC236}">
              <a16:creationId xmlns:a16="http://schemas.microsoft.com/office/drawing/2014/main" id="{96C6C9B7-2757-41E9-9A20-951F755D517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99" name="Text Box 2">
          <a:extLst>
            <a:ext uri="{FF2B5EF4-FFF2-40B4-BE49-F238E27FC236}">
              <a16:creationId xmlns:a16="http://schemas.microsoft.com/office/drawing/2014/main" id="{BDC65925-A5A2-44D6-9C2D-DDBDA7E3D40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00" name="Text Box 1">
          <a:extLst>
            <a:ext uri="{FF2B5EF4-FFF2-40B4-BE49-F238E27FC236}">
              <a16:creationId xmlns:a16="http://schemas.microsoft.com/office/drawing/2014/main" id="{57FCE13D-45AB-4CB7-AAE0-ED31852E542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01" name="Text Box 2">
          <a:extLst>
            <a:ext uri="{FF2B5EF4-FFF2-40B4-BE49-F238E27FC236}">
              <a16:creationId xmlns:a16="http://schemas.microsoft.com/office/drawing/2014/main" id="{88198B7A-ADE3-449F-BCAA-98CEF134B51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902" name="Text Box 1">
          <a:extLst>
            <a:ext uri="{FF2B5EF4-FFF2-40B4-BE49-F238E27FC236}">
              <a16:creationId xmlns:a16="http://schemas.microsoft.com/office/drawing/2014/main" id="{08633BBA-B23B-4315-BFEE-FD2DC95C59C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903" name="Text Box 2">
          <a:extLst>
            <a:ext uri="{FF2B5EF4-FFF2-40B4-BE49-F238E27FC236}">
              <a16:creationId xmlns:a16="http://schemas.microsoft.com/office/drawing/2014/main" id="{C809D980-966C-4CE9-BF66-5A200FA3DE5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904" name="Text Box 1">
          <a:extLst>
            <a:ext uri="{FF2B5EF4-FFF2-40B4-BE49-F238E27FC236}">
              <a16:creationId xmlns:a16="http://schemas.microsoft.com/office/drawing/2014/main" id="{0D578D47-A773-4D0E-80AD-91A80A926D4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905" name="Text Box 2">
          <a:extLst>
            <a:ext uri="{FF2B5EF4-FFF2-40B4-BE49-F238E27FC236}">
              <a16:creationId xmlns:a16="http://schemas.microsoft.com/office/drawing/2014/main" id="{6B294462-9F78-4E23-81A4-64C3403D3B5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06" name="Text Box 1">
          <a:extLst>
            <a:ext uri="{FF2B5EF4-FFF2-40B4-BE49-F238E27FC236}">
              <a16:creationId xmlns:a16="http://schemas.microsoft.com/office/drawing/2014/main" id="{B8E52DDB-09FA-41E6-9AF4-FE25445AA99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07" name="Text Box 2">
          <a:extLst>
            <a:ext uri="{FF2B5EF4-FFF2-40B4-BE49-F238E27FC236}">
              <a16:creationId xmlns:a16="http://schemas.microsoft.com/office/drawing/2014/main" id="{F61BF8D0-499B-49BE-AF40-380263198B1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908" name="Text Box 1">
          <a:extLst>
            <a:ext uri="{FF2B5EF4-FFF2-40B4-BE49-F238E27FC236}">
              <a16:creationId xmlns:a16="http://schemas.microsoft.com/office/drawing/2014/main" id="{C45C7AD6-C6CC-4BD0-A87C-9B7F9D2D1A3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909" name="Text Box 2">
          <a:extLst>
            <a:ext uri="{FF2B5EF4-FFF2-40B4-BE49-F238E27FC236}">
              <a16:creationId xmlns:a16="http://schemas.microsoft.com/office/drawing/2014/main" id="{BB363BA0-959D-4D6F-9E6F-61F42E5EA845}"/>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910" name="Text Box 1">
          <a:extLst>
            <a:ext uri="{FF2B5EF4-FFF2-40B4-BE49-F238E27FC236}">
              <a16:creationId xmlns:a16="http://schemas.microsoft.com/office/drawing/2014/main" id="{84DADCE2-CD99-4FFC-99B8-C75F2D5D2E5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911" name="Text Box 2">
          <a:extLst>
            <a:ext uri="{FF2B5EF4-FFF2-40B4-BE49-F238E27FC236}">
              <a16:creationId xmlns:a16="http://schemas.microsoft.com/office/drawing/2014/main" id="{6FD0FEF8-8E02-42D8-B931-90D84B93926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12" name="Text Box 1">
          <a:extLst>
            <a:ext uri="{FF2B5EF4-FFF2-40B4-BE49-F238E27FC236}">
              <a16:creationId xmlns:a16="http://schemas.microsoft.com/office/drawing/2014/main" id="{D15AF1D0-8694-4138-A396-FCD5EC64C7F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13" name="Text Box 2">
          <a:extLst>
            <a:ext uri="{FF2B5EF4-FFF2-40B4-BE49-F238E27FC236}">
              <a16:creationId xmlns:a16="http://schemas.microsoft.com/office/drawing/2014/main" id="{868ACABD-3FB2-4D4B-81CC-4F223980459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914" name="Text Box 1">
          <a:extLst>
            <a:ext uri="{FF2B5EF4-FFF2-40B4-BE49-F238E27FC236}">
              <a16:creationId xmlns:a16="http://schemas.microsoft.com/office/drawing/2014/main" id="{18793E37-DF1C-4931-9058-1C7687CF6EB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915" name="Text Box 2">
          <a:extLst>
            <a:ext uri="{FF2B5EF4-FFF2-40B4-BE49-F238E27FC236}">
              <a16:creationId xmlns:a16="http://schemas.microsoft.com/office/drawing/2014/main" id="{3F65943E-BDD6-42AA-BDA3-898EE93AF7B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916" name="Text Box 1">
          <a:extLst>
            <a:ext uri="{FF2B5EF4-FFF2-40B4-BE49-F238E27FC236}">
              <a16:creationId xmlns:a16="http://schemas.microsoft.com/office/drawing/2014/main" id="{AA7AA129-87CB-4974-9C47-8ED3F775C38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917" name="Text Box 2">
          <a:extLst>
            <a:ext uri="{FF2B5EF4-FFF2-40B4-BE49-F238E27FC236}">
              <a16:creationId xmlns:a16="http://schemas.microsoft.com/office/drawing/2014/main" id="{ECF04C26-DE16-40C6-9EEA-9DCB35F6A47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18" name="Text Box 1">
          <a:extLst>
            <a:ext uri="{FF2B5EF4-FFF2-40B4-BE49-F238E27FC236}">
              <a16:creationId xmlns:a16="http://schemas.microsoft.com/office/drawing/2014/main" id="{2AA1CADE-35E8-46FA-AAA1-A336797129D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19" name="Text Box 2">
          <a:extLst>
            <a:ext uri="{FF2B5EF4-FFF2-40B4-BE49-F238E27FC236}">
              <a16:creationId xmlns:a16="http://schemas.microsoft.com/office/drawing/2014/main" id="{65610FBA-DFA2-41F1-9112-80C3B656852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20" name="Text Box 1">
          <a:extLst>
            <a:ext uri="{FF2B5EF4-FFF2-40B4-BE49-F238E27FC236}">
              <a16:creationId xmlns:a16="http://schemas.microsoft.com/office/drawing/2014/main" id="{9CBC9A26-543F-424B-81E9-76A7CE9607D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21" name="Text Box 2">
          <a:extLst>
            <a:ext uri="{FF2B5EF4-FFF2-40B4-BE49-F238E27FC236}">
              <a16:creationId xmlns:a16="http://schemas.microsoft.com/office/drawing/2014/main" id="{AA25CAEC-F853-4812-92D6-FB4E82FBE4F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22" name="Text Box 1">
          <a:extLst>
            <a:ext uri="{FF2B5EF4-FFF2-40B4-BE49-F238E27FC236}">
              <a16:creationId xmlns:a16="http://schemas.microsoft.com/office/drawing/2014/main" id="{58F1F5CE-CC0A-498F-B2B6-44DD59DD38F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23" name="Text Box 2">
          <a:extLst>
            <a:ext uri="{FF2B5EF4-FFF2-40B4-BE49-F238E27FC236}">
              <a16:creationId xmlns:a16="http://schemas.microsoft.com/office/drawing/2014/main" id="{B4013F96-6C0D-488A-A7A5-952B70E8EC0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24" name="Text Box 1">
          <a:extLst>
            <a:ext uri="{FF2B5EF4-FFF2-40B4-BE49-F238E27FC236}">
              <a16:creationId xmlns:a16="http://schemas.microsoft.com/office/drawing/2014/main" id="{BB07D27C-5684-4F0B-8B09-F28DBC72F7B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25" name="Text Box 2">
          <a:extLst>
            <a:ext uri="{FF2B5EF4-FFF2-40B4-BE49-F238E27FC236}">
              <a16:creationId xmlns:a16="http://schemas.microsoft.com/office/drawing/2014/main" id="{6B257C54-282C-4031-83E0-499EF6221DC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26" name="Text Box 1">
          <a:extLst>
            <a:ext uri="{FF2B5EF4-FFF2-40B4-BE49-F238E27FC236}">
              <a16:creationId xmlns:a16="http://schemas.microsoft.com/office/drawing/2014/main" id="{207CF5D8-517B-4188-AFCC-D6CE4302095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27" name="Text Box 2">
          <a:extLst>
            <a:ext uri="{FF2B5EF4-FFF2-40B4-BE49-F238E27FC236}">
              <a16:creationId xmlns:a16="http://schemas.microsoft.com/office/drawing/2014/main" id="{356905CB-C211-400D-9E42-8A40B111F72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28" name="Text Box 1">
          <a:extLst>
            <a:ext uri="{FF2B5EF4-FFF2-40B4-BE49-F238E27FC236}">
              <a16:creationId xmlns:a16="http://schemas.microsoft.com/office/drawing/2014/main" id="{E2EA0852-9889-46D7-A82C-9E0D704191C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29" name="Text Box 2">
          <a:extLst>
            <a:ext uri="{FF2B5EF4-FFF2-40B4-BE49-F238E27FC236}">
              <a16:creationId xmlns:a16="http://schemas.microsoft.com/office/drawing/2014/main" id="{BF6042C0-AAA1-4731-B275-5E3C5748F71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930" name="Text Box 1">
          <a:extLst>
            <a:ext uri="{FF2B5EF4-FFF2-40B4-BE49-F238E27FC236}">
              <a16:creationId xmlns:a16="http://schemas.microsoft.com/office/drawing/2014/main" id="{6AFB026C-6E31-4EEF-A204-C66071EAB55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931" name="Text Box 2">
          <a:extLst>
            <a:ext uri="{FF2B5EF4-FFF2-40B4-BE49-F238E27FC236}">
              <a16:creationId xmlns:a16="http://schemas.microsoft.com/office/drawing/2014/main" id="{DF2DCED6-BEA3-4FC3-AFB5-F938C940FF3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32" name="Text Box 1">
          <a:extLst>
            <a:ext uri="{FF2B5EF4-FFF2-40B4-BE49-F238E27FC236}">
              <a16:creationId xmlns:a16="http://schemas.microsoft.com/office/drawing/2014/main" id="{DF7491DC-CA2B-486E-B1D8-E3A78F9F5A3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33" name="Text Box 2">
          <a:extLst>
            <a:ext uri="{FF2B5EF4-FFF2-40B4-BE49-F238E27FC236}">
              <a16:creationId xmlns:a16="http://schemas.microsoft.com/office/drawing/2014/main" id="{0D2223DE-65EB-45CE-8C6A-49F27D568FD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934" name="Text Box 1">
          <a:extLst>
            <a:ext uri="{FF2B5EF4-FFF2-40B4-BE49-F238E27FC236}">
              <a16:creationId xmlns:a16="http://schemas.microsoft.com/office/drawing/2014/main" id="{76B44983-0103-4778-A885-08665A8A2BE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935" name="Text Box 2">
          <a:extLst>
            <a:ext uri="{FF2B5EF4-FFF2-40B4-BE49-F238E27FC236}">
              <a16:creationId xmlns:a16="http://schemas.microsoft.com/office/drawing/2014/main" id="{20EB8175-52D1-41CC-A513-26924584562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36" name="Text Box 1">
          <a:extLst>
            <a:ext uri="{FF2B5EF4-FFF2-40B4-BE49-F238E27FC236}">
              <a16:creationId xmlns:a16="http://schemas.microsoft.com/office/drawing/2014/main" id="{8D57C35F-50C1-4214-8E6E-FAB675F27FF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37" name="Text Box 2">
          <a:extLst>
            <a:ext uri="{FF2B5EF4-FFF2-40B4-BE49-F238E27FC236}">
              <a16:creationId xmlns:a16="http://schemas.microsoft.com/office/drawing/2014/main" id="{2199541E-51AE-4385-9CB6-D3F705FD58C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38" name="Text Box 1">
          <a:extLst>
            <a:ext uri="{FF2B5EF4-FFF2-40B4-BE49-F238E27FC236}">
              <a16:creationId xmlns:a16="http://schemas.microsoft.com/office/drawing/2014/main" id="{014F57BA-7D44-4431-996D-C6DE2DFDADF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39" name="Text Box 2">
          <a:extLst>
            <a:ext uri="{FF2B5EF4-FFF2-40B4-BE49-F238E27FC236}">
              <a16:creationId xmlns:a16="http://schemas.microsoft.com/office/drawing/2014/main" id="{65002E31-3A42-4B89-A79C-98F17F7C100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40" name="Text Box 1">
          <a:extLst>
            <a:ext uri="{FF2B5EF4-FFF2-40B4-BE49-F238E27FC236}">
              <a16:creationId xmlns:a16="http://schemas.microsoft.com/office/drawing/2014/main" id="{18A8CCDF-28D7-4F03-B513-CCEF1F02D20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41" name="Text Box 2">
          <a:extLst>
            <a:ext uri="{FF2B5EF4-FFF2-40B4-BE49-F238E27FC236}">
              <a16:creationId xmlns:a16="http://schemas.microsoft.com/office/drawing/2014/main" id="{3E3CFA1D-616F-4E4D-A6BF-BE1CEEABC47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42" name="Text Box 1">
          <a:extLst>
            <a:ext uri="{FF2B5EF4-FFF2-40B4-BE49-F238E27FC236}">
              <a16:creationId xmlns:a16="http://schemas.microsoft.com/office/drawing/2014/main" id="{8ED8105E-EAF5-4702-920A-34F42D7D3C8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43" name="Text Box 2">
          <a:extLst>
            <a:ext uri="{FF2B5EF4-FFF2-40B4-BE49-F238E27FC236}">
              <a16:creationId xmlns:a16="http://schemas.microsoft.com/office/drawing/2014/main" id="{9453C29B-9C4F-4685-B9DD-056786227DA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44" name="Text Box 1">
          <a:extLst>
            <a:ext uri="{FF2B5EF4-FFF2-40B4-BE49-F238E27FC236}">
              <a16:creationId xmlns:a16="http://schemas.microsoft.com/office/drawing/2014/main" id="{06813A1A-A1B9-4190-B5CC-6660FDCE8CF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45" name="Text Box 2">
          <a:extLst>
            <a:ext uri="{FF2B5EF4-FFF2-40B4-BE49-F238E27FC236}">
              <a16:creationId xmlns:a16="http://schemas.microsoft.com/office/drawing/2014/main" id="{E0706231-066F-47E5-A43C-1484EE6B579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46" name="Text Box 1">
          <a:extLst>
            <a:ext uri="{FF2B5EF4-FFF2-40B4-BE49-F238E27FC236}">
              <a16:creationId xmlns:a16="http://schemas.microsoft.com/office/drawing/2014/main" id="{A80836E5-8D00-471C-90CB-ACADDDDE647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47" name="Text Box 2">
          <a:extLst>
            <a:ext uri="{FF2B5EF4-FFF2-40B4-BE49-F238E27FC236}">
              <a16:creationId xmlns:a16="http://schemas.microsoft.com/office/drawing/2014/main" id="{9ED15BEE-EA86-41B3-89D6-759E0561E24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948" name="Text Box 1">
          <a:extLst>
            <a:ext uri="{FF2B5EF4-FFF2-40B4-BE49-F238E27FC236}">
              <a16:creationId xmlns:a16="http://schemas.microsoft.com/office/drawing/2014/main" id="{9BAA54C2-FA6E-4AA3-80B0-69E989373DA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949" name="Text Box 2">
          <a:extLst>
            <a:ext uri="{FF2B5EF4-FFF2-40B4-BE49-F238E27FC236}">
              <a16:creationId xmlns:a16="http://schemas.microsoft.com/office/drawing/2014/main" id="{F0760D07-8DD8-49B0-B2C4-C81130C919CE}"/>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50" name="Text Box 1">
          <a:extLst>
            <a:ext uri="{FF2B5EF4-FFF2-40B4-BE49-F238E27FC236}">
              <a16:creationId xmlns:a16="http://schemas.microsoft.com/office/drawing/2014/main" id="{11E435C7-E8F2-4853-B838-34142B7FE54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51" name="Text Box 2">
          <a:extLst>
            <a:ext uri="{FF2B5EF4-FFF2-40B4-BE49-F238E27FC236}">
              <a16:creationId xmlns:a16="http://schemas.microsoft.com/office/drawing/2014/main" id="{3645C882-89F0-4813-8CD8-E04D5288A9A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952" name="Text Box 1">
          <a:extLst>
            <a:ext uri="{FF2B5EF4-FFF2-40B4-BE49-F238E27FC236}">
              <a16:creationId xmlns:a16="http://schemas.microsoft.com/office/drawing/2014/main" id="{BDA27B98-AD8E-43BD-B146-D0B0EF4FF9B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953" name="Text Box 2">
          <a:extLst>
            <a:ext uri="{FF2B5EF4-FFF2-40B4-BE49-F238E27FC236}">
              <a16:creationId xmlns:a16="http://schemas.microsoft.com/office/drawing/2014/main" id="{00D03E7A-F101-4731-93EE-19F1A8A31DE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54" name="Text Box 1">
          <a:extLst>
            <a:ext uri="{FF2B5EF4-FFF2-40B4-BE49-F238E27FC236}">
              <a16:creationId xmlns:a16="http://schemas.microsoft.com/office/drawing/2014/main" id="{20B96ED9-2FDB-4F3B-B390-B4B43C76FB9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55" name="Text Box 2">
          <a:extLst>
            <a:ext uri="{FF2B5EF4-FFF2-40B4-BE49-F238E27FC236}">
              <a16:creationId xmlns:a16="http://schemas.microsoft.com/office/drawing/2014/main" id="{7449DF11-2A11-4CFB-91C9-11256B36E52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56" name="Text Box 1">
          <a:extLst>
            <a:ext uri="{FF2B5EF4-FFF2-40B4-BE49-F238E27FC236}">
              <a16:creationId xmlns:a16="http://schemas.microsoft.com/office/drawing/2014/main" id="{023C35DC-9896-411E-A00C-355D4B93290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57" name="Text Box 2">
          <a:extLst>
            <a:ext uri="{FF2B5EF4-FFF2-40B4-BE49-F238E27FC236}">
              <a16:creationId xmlns:a16="http://schemas.microsoft.com/office/drawing/2014/main" id="{0A4C73CB-9D5F-4BF0-A47B-4D2647BC39C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58" name="Text Box 1">
          <a:extLst>
            <a:ext uri="{FF2B5EF4-FFF2-40B4-BE49-F238E27FC236}">
              <a16:creationId xmlns:a16="http://schemas.microsoft.com/office/drawing/2014/main" id="{D5915199-C996-4ABE-BDB4-1E630F0ED1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59" name="Text Box 2">
          <a:extLst>
            <a:ext uri="{FF2B5EF4-FFF2-40B4-BE49-F238E27FC236}">
              <a16:creationId xmlns:a16="http://schemas.microsoft.com/office/drawing/2014/main" id="{F9D1FA5F-EDF4-4BA9-91D6-C7A38682D59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60" name="Text Box 1">
          <a:extLst>
            <a:ext uri="{FF2B5EF4-FFF2-40B4-BE49-F238E27FC236}">
              <a16:creationId xmlns:a16="http://schemas.microsoft.com/office/drawing/2014/main" id="{EE13772F-AE3B-44CD-B33F-0DE6978ED1F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61" name="Text Box 2">
          <a:extLst>
            <a:ext uri="{FF2B5EF4-FFF2-40B4-BE49-F238E27FC236}">
              <a16:creationId xmlns:a16="http://schemas.microsoft.com/office/drawing/2014/main" id="{1D721E9F-A4EC-47F3-A73C-80ED4882CC8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62" name="Text Box 1">
          <a:extLst>
            <a:ext uri="{FF2B5EF4-FFF2-40B4-BE49-F238E27FC236}">
              <a16:creationId xmlns:a16="http://schemas.microsoft.com/office/drawing/2014/main" id="{F11A94C2-D8DD-459D-AF5A-48B9C699156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63" name="Text Box 2">
          <a:extLst>
            <a:ext uri="{FF2B5EF4-FFF2-40B4-BE49-F238E27FC236}">
              <a16:creationId xmlns:a16="http://schemas.microsoft.com/office/drawing/2014/main" id="{0ECAA1D3-46C9-4453-A093-8EDF4FE2F7A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64" name="Text Box 1">
          <a:extLst>
            <a:ext uri="{FF2B5EF4-FFF2-40B4-BE49-F238E27FC236}">
              <a16:creationId xmlns:a16="http://schemas.microsoft.com/office/drawing/2014/main" id="{FDAC47C9-84A5-41AE-B4D7-B432D64C3DB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65" name="Text Box 2">
          <a:extLst>
            <a:ext uri="{FF2B5EF4-FFF2-40B4-BE49-F238E27FC236}">
              <a16:creationId xmlns:a16="http://schemas.microsoft.com/office/drawing/2014/main" id="{18EC1E32-914A-44FF-97C5-FA630476E1B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66" name="Text Box 1">
          <a:extLst>
            <a:ext uri="{FF2B5EF4-FFF2-40B4-BE49-F238E27FC236}">
              <a16:creationId xmlns:a16="http://schemas.microsoft.com/office/drawing/2014/main" id="{BB8AF240-65AE-4CBD-B859-F82ADB54132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67" name="Text Box 2">
          <a:extLst>
            <a:ext uri="{FF2B5EF4-FFF2-40B4-BE49-F238E27FC236}">
              <a16:creationId xmlns:a16="http://schemas.microsoft.com/office/drawing/2014/main" id="{573C9A56-DB66-4250-9D97-C2D2FA62FFB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68" name="Text Box 1">
          <a:extLst>
            <a:ext uri="{FF2B5EF4-FFF2-40B4-BE49-F238E27FC236}">
              <a16:creationId xmlns:a16="http://schemas.microsoft.com/office/drawing/2014/main" id="{AB7A8ACE-2B04-4F09-A731-EA5A4803AEB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69" name="Text Box 2">
          <a:extLst>
            <a:ext uri="{FF2B5EF4-FFF2-40B4-BE49-F238E27FC236}">
              <a16:creationId xmlns:a16="http://schemas.microsoft.com/office/drawing/2014/main" id="{5D450F6B-F2C1-4924-8816-022916208A7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70" name="Text Box 1">
          <a:extLst>
            <a:ext uri="{FF2B5EF4-FFF2-40B4-BE49-F238E27FC236}">
              <a16:creationId xmlns:a16="http://schemas.microsoft.com/office/drawing/2014/main" id="{E902C92B-5ED0-4F4D-B704-1DF8D5A4DAB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71" name="Text Box 2">
          <a:extLst>
            <a:ext uri="{FF2B5EF4-FFF2-40B4-BE49-F238E27FC236}">
              <a16:creationId xmlns:a16="http://schemas.microsoft.com/office/drawing/2014/main" id="{73D298EA-66ED-485D-BC63-DF3C4BE26E0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72" name="Text Box 1">
          <a:extLst>
            <a:ext uri="{FF2B5EF4-FFF2-40B4-BE49-F238E27FC236}">
              <a16:creationId xmlns:a16="http://schemas.microsoft.com/office/drawing/2014/main" id="{C41B9D77-5159-4438-9789-4E7CC470DD1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73" name="Text Box 2">
          <a:extLst>
            <a:ext uri="{FF2B5EF4-FFF2-40B4-BE49-F238E27FC236}">
              <a16:creationId xmlns:a16="http://schemas.microsoft.com/office/drawing/2014/main" id="{F645FC93-5ADF-40CC-8B0B-5D204DFC0BE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74" name="Text Box 1">
          <a:extLst>
            <a:ext uri="{FF2B5EF4-FFF2-40B4-BE49-F238E27FC236}">
              <a16:creationId xmlns:a16="http://schemas.microsoft.com/office/drawing/2014/main" id="{08C43552-9045-4EF3-9B07-42FDFC53CA7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75" name="Text Box 2">
          <a:extLst>
            <a:ext uri="{FF2B5EF4-FFF2-40B4-BE49-F238E27FC236}">
              <a16:creationId xmlns:a16="http://schemas.microsoft.com/office/drawing/2014/main" id="{EEF84ADF-7C80-43D1-B206-3D3C0AF334F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76" name="Text Box 1">
          <a:extLst>
            <a:ext uri="{FF2B5EF4-FFF2-40B4-BE49-F238E27FC236}">
              <a16:creationId xmlns:a16="http://schemas.microsoft.com/office/drawing/2014/main" id="{1B692092-8441-4B56-AC49-CD8816B32A4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77" name="Text Box 2">
          <a:extLst>
            <a:ext uri="{FF2B5EF4-FFF2-40B4-BE49-F238E27FC236}">
              <a16:creationId xmlns:a16="http://schemas.microsoft.com/office/drawing/2014/main" id="{D374449D-BCBA-478F-8FBD-3446783BFA5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78" name="Text Box 1">
          <a:extLst>
            <a:ext uri="{FF2B5EF4-FFF2-40B4-BE49-F238E27FC236}">
              <a16:creationId xmlns:a16="http://schemas.microsoft.com/office/drawing/2014/main" id="{945F589C-57FD-4B0C-8B57-42C78FE846C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79" name="Text Box 2">
          <a:extLst>
            <a:ext uri="{FF2B5EF4-FFF2-40B4-BE49-F238E27FC236}">
              <a16:creationId xmlns:a16="http://schemas.microsoft.com/office/drawing/2014/main" id="{A4F98105-D6D1-4217-9F20-AF8E75DA3B4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80" name="Text Box 1">
          <a:extLst>
            <a:ext uri="{FF2B5EF4-FFF2-40B4-BE49-F238E27FC236}">
              <a16:creationId xmlns:a16="http://schemas.microsoft.com/office/drawing/2014/main" id="{EE046C04-137A-49CF-BEC6-7538F2DDC90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81" name="Text Box 2">
          <a:extLst>
            <a:ext uri="{FF2B5EF4-FFF2-40B4-BE49-F238E27FC236}">
              <a16:creationId xmlns:a16="http://schemas.microsoft.com/office/drawing/2014/main" id="{598133C7-201A-4DAB-84BC-A4D51D3FCF1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82" name="Text Box 1">
          <a:extLst>
            <a:ext uri="{FF2B5EF4-FFF2-40B4-BE49-F238E27FC236}">
              <a16:creationId xmlns:a16="http://schemas.microsoft.com/office/drawing/2014/main" id="{BFB4BB4E-0057-436F-BE78-3CF5AD4B220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83" name="Text Box 2">
          <a:extLst>
            <a:ext uri="{FF2B5EF4-FFF2-40B4-BE49-F238E27FC236}">
              <a16:creationId xmlns:a16="http://schemas.microsoft.com/office/drawing/2014/main" id="{B6A8E566-F94C-437F-AC62-36337B2BD27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84" name="Text Box 1">
          <a:extLst>
            <a:ext uri="{FF2B5EF4-FFF2-40B4-BE49-F238E27FC236}">
              <a16:creationId xmlns:a16="http://schemas.microsoft.com/office/drawing/2014/main" id="{F339DA2D-15B4-4553-93E5-8C98C9A916E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85" name="Text Box 2">
          <a:extLst>
            <a:ext uri="{FF2B5EF4-FFF2-40B4-BE49-F238E27FC236}">
              <a16:creationId xmlns:a16="http://schemas.microsoft.com/office/drawing/2014/main" id="{144854AD-D8C7-44A1-97D1-BED3BD070E1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986" name="Text Box 1">
          <a:extLst>
            <a:ext uri="{FF2B5EF4-FFF2-40B4-BE49-F238E27FC236}">
              <a16:creationId xmlns:a16="http://schemas.microsoft.com/office/drawing/2014/main" id="{8F678565-9026-4F18-B497-1D38F003122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987" name="Text Box 2">
          <a:extLst>
            <a:ext uri="{FF2B5EF4-FFF2-40B4-BE49-F238E27FC236}">
              <a16:creationId xmlns:a16="http://schemas.microsoft.com/office/drawing/2014/main" id="{EC6ED824-488A-4AA3-8C97-801424C2D54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88" name="Text Box 1">
          <a:extLst>
            <a:ext uri="{FF2B5EF4-FFF2-40B4-BE49-F238E27FC236}">
              <a16:creationId xmlns:a16="http://schemas.microsoft.com/office/drawing/2014/main" id="{5C2124CC-F06E-475E-94E1-1A258AB5A54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89" name="Text Box 2">
          <a:extLst>
            <a:ext uri="{FF2B5EF4-FFF2-40B4-BE49-F238E27FC236}">
              <a16:creationId xmlns:a16="http://schemas.microsoft.com/office/drawing/2014/main" id="{D0184D31-3E6C-4955-8950-4D740EDD933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990" name="Text Box 1">
          <a:extLst>
            <a:ext uri="{FF2B5EF4-FFF2-40B4-BE49-F238E27FC236}">
              <a16:creationId xmlns:a16="http://schemas.microsoft.com/office/drawing/2014/main" id="{A4E321AB-E5A0-4F41-8FF8-777D2C29143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991" name="Text Box 2">
          <a:extLst>
            <a:ext uri="{FF2B5EF4-FFF2-40B4-BE49-F238E27FC236}">
              <a16:creationId xmlns:a16="http://schemas.microsoft.com/office/drawing/2014/main" id="{3A8A1679-A251-4154-99C4-4D06EEEEA3A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92" name="Text Box 1">
          <a:extLst>
            <a:ext uri="{FF2B5EF4-FFF2-40B4-BE49-F238E27FC236}">
              <a16:creationId xmlns:a16="http://schemas.microsoft.com/office/drawing/2014/main" id="{B06B22BD-E86B-4FCE-AF1C-53EB546DA29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93" name="Text Box 2">
          <a:extLst>
            <a:ext uri="{FF2B5EF4-FFF2-40B4-BE49-F238E27FC236}">
              <a16:creationId xmlns:a16="http://schemas.microsoft.com/office/drawing/2014/main" id="{7D6F7FC0-416F-495F-BE92-144DC67E8E5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94" name="Text Box 1">
          <a:extLst>
            <a:ext uri="{FF2B5EF4-FFF2-40B4-BE49-F238E27FC236}">
              <a16:creationId xmlns:a16="http://schemas.microsoft.com/office/drawing/2014/main" id="{CA2380AA-1944-4ADB-B157-814E7D10065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95" name="Text Box 2">
          <a:extLst>
            <a:ext uri="{FF2B5EF4-FFF2-40B4-BE49-F238E27FC236}">
              <a16:creationId xmlns:a16="http://schemas.microsoft.com/office/drawing/2014/main" id="{79E6A72A-CA26-4E11-A9F1-0F14956507A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96" name="Text Box 1">
          <a:extLst>
            <a:ext uri="{FF2B5EF4-FFF2-40B4-BE49-F238E27FC236}">
              <a16:creationId xmlns:a16="http://schemas.microsoft.com/office/drawing/2014/main" id="{A8705904-35EF-409F-AF35-212A1814FA0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97" name="Text Box 2">
          <a:extLst>
            <a:ext uri="{FF2B5EF4-FFF2-40B4-BE49-F238E27FC236}">
              <a16:creationId xmlns:a16="http://schemas.microsoft.com/office/drawing/2014/main" id="{E1AAF1F8-C2AD-4228-A2BE-8CA6BF92CC6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98" name="Text Box 1">
          <a:extLst>
            <a:ext uri="{FF2B5EF4-FFF2-40B4-BE49-F238E27FC236}">
              <a16:creationId xmlns:a16="http://schemas.microsoft.com/office/drawing/2014/main" id="{B7F69F47-9EC5-470C-89D4-1AD7FA0B53F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99" name="Text Box 2">
          <a:extLst>
            <a:ext uri="{FF2B5EF4-FFF2-40B4-BE49-F238E27FC236}">
              <a16:creationId xmlns:a16="http://schemas.microsoft.com/office/drawing/2014/main" id="{0A70E3F5-7CCF-400A-870C-EE2D744AEAB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00" name="Text Box 1">
          <a:extLst>
            <a:ext uri="{FF2B5EF4-FFF2-40B4-BE49-F238E27FC236}">
              <a16:creationId xmlns:a16="http://schemas.microsoft.com/office/drawing/2014/main" id="{C9046BEE-2F00-4E3E-B88E-584C11C0CD4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01" name="Text Box 2">
          <a:extLst>
            <a:ext uri="{FF2B5EF4-FFF2-40B4-BE49-F238E27FC236}">
              <a16:creationId xmlns:a16="http://schemas.microsoft.com/office/drawing/2014/main" id="{0F1B1527-F191-427B-9339-60A0D14AD76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02" name="Text Box 1">
          <a:extLst>
            <a:ext uri="{FF2B5EF4-FFF2-40B4-BE49-F238E27FC236}">
              <a16:creationId xmlns:a16="http://schemas.microsoft.com/office/drawing/2014/main" id="{F13E3DBA-23A1-48C9-A017-AAD282AFC58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03" name="Text Box 2">
          <a:extLst>
            <a:ext uri="{FF2B5EF4-FFF2-40B4-BE49-F238E27FC236}">
              <a16:creationId xmlns:a16="http://schemas.microsoft.com/office/drawing/2014/main" id="{93F2BEF8-05CC-4A53-9DCE-EA65675B17F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04" name="Text Box 1">
          <a:extLst>
            <a:ext uri="{FF2B5EF4-FFF2-40B4-BE49-F238E27FC236}">
              <a16:creationId xmlns:a16="http://schemas.microsoft.com/office/drawing/2014/main" id="{5D2257C2-DDBB-455F-B085-C415F1755C1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05" name="Text Box 2">
          <a:extLst>
            <a:ext uri="{FF2B5EF4-FFF2-40B4-BE49-F238E27FC236}">
              <a16:creationId xmlns:a16="http://schemas.microsoft.com/office/drawing/2014/main" id="{4B892AD5-076B-4D06-87C4-FDFE3A4E5BF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06" name="Text Box 1">
          <a:extLst>
            <a:ext uri="{FF2B5EF4-FFF2-40B4-BE49-F238E27FC236}">
              <a16:creationId xmlns:a16="http://schemas.microsoft.com/office/drawing/2014/main" id="{59C01227-A43F-4C42-A893-9B0B0D41D19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07" name="Text Box 2">
          <a:extLst>
            <a:ext uri="{FF2B5EF4-FFF2-40B4-BE49-F238E27FC236}">
              <a16:creationId xmlns:a16="http://schemas.microsoft.com/office/drawing/2014/main" id="{856EDF2B-DC1D-4037-85E5-82BAD90A475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08" name="Text Box 1">
          <a:extLst>
            <a:ext uri="{FF2B5EF4-FFF2-40B4-BE49-F238E27FC236}">
              <a16:creationId xmlns:a16="http://schemas.microsoft.com/office/drawing/2014/main" id="{59EAD82B-A803-447C-8A3E-A9495571F29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09" name="Text Box 2">
          <a:extLst>
            <a:ext uri="{FF2B5EF4-FFF2-40B4-BE49-F238E27FC236}">
              <a16:creationId xmlns:a16="http://schemas.microsoft.com/office/drawing/2014/main" id="{21981643-99AF-43DA-95DE-23999A2F3BF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10" name="Text Box 1">
          <a:extLst>
            <a:ext uri="{FF2B5EF4-FFF2-40B4-BE49-F238E27FC236}">
              <a16:creationId xmlns:a16="http://schemas.microsoft.com/office/drawing/2014/main" id="{51DA4A5D-326B-42D7-B940-918FEE704F3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11" name="Text Box 2">
          <a:extLst>
            <a:ext uri="{FF2B5EF4-FFF2-40B4-BE49-F238E27FC236}">
              <a16:creationId xmlns:a16="http://schemas.microsoft.com/office/drawing/2014/main" id="{3FF73BA2-F854-462B-A7EB-9D0835C00C5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12" name="Text Box 1">
          <a:extLst>
            <a:ext uri="{FF2B5EF4-FFF2-40B4-BE49-F238E27FC236}">
              <a16:creationId xmlns:a16="http://schemas.microsoft.com/office/drawing/2014/main" id="{E57CDDDA-39D2-4781-A6AC-FE243A6A768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13" name="Text Box 2">
          <a:extLst>
            <a:ext uri="{FF2B5EF4-FFF2-40B4-BE49-F238E27FC236}">
              <a16:creationId xmlns:a16="http://schemas.microsoft.com/office/drawing/2014/main" id="{6CA3D805-555A-4515-A2E0-5BFDFDF1A21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014" name="Text Box 1">
          <a:extLst>
            <a:ext uri="{FF2B5EF4-FFF2-40B4-BE49-F238E27FC236}">
              <a16:creationId xmlns:a16="http://schemas.microsoft.com/office/drawing/2014/main" id="{69F81FCF-EE56-4928-99A0-4E069188E72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015" name="Text Box 2">
          <a:extLst>
            <a:ext uri="{FF2B5EF4-FFF2-40B4-BE49-F238E27FC236}">
              <a16:creationId xmlns:a16="http://schemas.microsoft.com/office/drawing/2014/main" id="{F4F796D9-31E6-46B6-B117-6E8CC253F35C}"/>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016" name="Text Box 1">
          <a:extLst>
            <a:ext uri="{FF2B5EF4-FFF2-40B4-BE49-F238E27FC236}">
              <a16:creationId xmlns:a16="http://schemas.microsoft.com/office/drawing/2014/main" id="{D47D4A75-E092-4371-937A-15E7FBFD941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017" name="Text Box 2">
          <a:extLst>
            <a:ext uri="{FF2B5EF4-FFF2-40B4-BE49-F238E27FC236}">
              <a16:creationId xmlns:a16="http://schemas.microsoft.com/office/drawing/2014/main" id="{B3838087-C0BD-4093-8447-9329EC96599C}"/>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18" name="Text Box 1">
          <a:extLst>
            <a:ext uri="{FF2B5EF4-FFF2-40B4-BE49-F238E27FC236}">
              <a16:creationId xmlns:a16="http://schemas.microsoft.com/office/drawing/2014/main" id="{39BEA22B-DFA4-4F52-A5E0-7C52382A682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19" name="Text Box 2">
          <a:extLst>
            <a:ext uri="{FF2B5EF4-FFF2-40B4-BE49-F238E27FC236}">
              <a16:creationId xmlns:a16="http://schemas.microsoft.com/office/drawing/2014/main" id="{50D9084D-1A8D-4809-B966-DFF385BE6E4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20" name="Text Box 1">
          <a:extLst>
            <a:ext uri="{FF2B5EF4-FFF2-40B4-BE49-F238E27FC236}">
              <a16:creationId xmlns:a16="http://schemas.microsoft.com/office/drawing/2014/main" id="{369E4AF4-9242-4D42-BF03-E85865AB321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21" name="Text Box 2">
          <a:extLst>
            <a:ext uri="{FF2B5EF4-FFF2-40B4-BE49-F238E27FC236}">
              <a16:creationId xmlns:a16="http://schemas.microsoft.com/office/drawing/2014/main" id="{A425FEAA-8FDC-451D-BC7F-00496ABE4C8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22" name="Text Box 1">
          <a:extLst>
            <a:ext uri="{FF2B5EF4-FFF2-40B4-BE49-F238E27FC236}">
              <a16:creationId xmlns:a16="http://schemas.microsoft.com/office/drawing/2014/main" id="{E365F9F6-C4B5-42E5-B6F8-95C417E2B4B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23" name="Text Box 2">
          <a:extLst>
            <a:ext uri="{FF2B5EF4-FFF2-40B4-BE49-F238E27FC236}">
              <a16:creationId xmlns:a16="http://schemas.microsoft.com/office/drawing/2014/main" id="{08E20EE7-168B-457A-859C-FA22CE94A07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24" name="Text Box 1">
          <a:extLst>
            <a:ext uri="{FF2B5EF4-FFF2-40B4-BE49-F238E27FC236}">
              <a16:creationId xmlns:a16="http://schemas.microsoft.com/office/drawing/2014/main" id="{4D7677D7-BCA6-4748-AC35-833983D18F1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25" name="Text Box 2">
          <a:extLst>
            <a:ext uri="{FF2B5EF4-FFF2-40B4-BE49-F238E27FC236}">
              <a16:creationId xmlns:a16="http://schemas.microsoft.com/office/drawing/2014/main" id="{74A78B7E-EC69-4A33-9D71-AED4418EA6C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026" name="Text Box 1">
          <a:extLst>
            <a:ext uri="{FF2B5EF4-FFF2-40B4-BE49-F238E27FC236}">
              <a16:creationId xmlns:a16="http://schemas.microsoft.com/office/drawing/2014/main" id="{0CD18F7D-BBE2-43CB-90E0-DC1EF531646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027" name="Text Box 2">
          <a:extLst>
            <a:ext uri="{FF2B5EF4-FFF2-40B4-BE49-F238E27FC236}">
              <a16:creationId xmlns:a16="http://schemas.microsoft.com/office/drawing/2014/main" id="{E4AF9DB9-5446-4ED8-96EE-0C2A4A0B375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028" name="Text Box 1">
          <a:extLst>
            <a:ext uri="{FF2B5EF4-FFF2-40B4-BE49-F238E27FC236}">
              <a16:creationId xmlns:a16="http://schemas.microsoft.com/office/drawing/2014/main" id="{DD105867-2973-4612-9308-22754B1AC1A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029" name="Text Box 2">
          <a:extLst>
            <a:ext uri="{FF2B5EF4-FFF2-40B4-BE49-F238E27FC236}">
              <a16:creationId xmlns:a16="http://schemas.microsoft.com/office/drawing/2014/main" id="{1FFBF767-53C1-4604-9A2A-26CA6B21AA0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30" name="Text Box 1">
          <a:extLst>
            <a:ext uri="{FF2B5EF4-FFF2-40B4-BE49-F238E27FC236}">
              <a16:creationId xmlns:a16="http://schemas.microsoft.com/office/drawing/2014/main" id="{8F970BEF-B78A-4698-99A9-1F0DD31B737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31" name="Text Box 2">
          <a:extLst>
            <a:ext uri="{FF2B5EF4-FFF2-40B4-BE49-F238E27FC236}">
              <a16:creationId xmlns:a16="http://schemas.microsoft.com/office/drawing/2014/main" id="{299BE536-FB1E-4A7F-8817-B50CB484FEB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32" name="Text Box 1">
          <a:extLst>
            <a:ext uri="{FF2B5EF4-FFF2-40B4-BE49-F238E27FC236}">
              <a16:creationId xmlns:a16="http://schemas.microsoft.com/office/drawing/2014/main" id="{1778A811-00E2-459E-B77A-1294D5CA408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33" name="Text Box 2">
          <a:extLst>
            <a:ext uri="{FF2B5EF4-FFF2-40B4-BE49-F238E27FC236}">
              <a16:creationId xmlns:a16="http://schemas.microsoft.com/office/drawing/2014/main" id="{FF48C819-2B38-4A5A-91F5-90A14366FDA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034" name="Text Box 1">
          <a:extLst>
            <a:ext uri="{FF2B5EF4-FFF2-40B4-BE49-F238E27FC236}">
              <a16:creationId xmlns:a16="http://schemas.microsoft.com/office/drawing/2014/main" id="{3DD12F0A-58CD-485B-8DFE-AF562C6E29D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035" name="Text Box 2">
          <a:extLst>
            <a:ext uri="{FF2B5EF4-FFF2-40B4-BE49-F238E27FC236}">
              <a16:creationId xmlns:a16="http://schemas.microsoft.com/office/drawing/2014/main" id="{90A9B0F9-6152-4D1A-B886-E68B9AF3EF2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036" name="Text Box 1">
          <a:extLst>
            <a:ext uri="{FF2B5EF4-FFF2-40B4-BE49-F238E27FC236}">
              <a16:creationId xmlns:a16="http://schemas.microsoft.com/office/drawing/2014/main" id="{4422DEFE-91A3-4FBD-97B7-3DC9796F9A5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037" name="Text Box 2">
          <a:extLst>
            <a:ext uri="{FF2B5EF4-FFF2-40B4-BE49-F238E27FC236}">
              <a16:creationId xmlns:a16="http://schemas.microsoft.com/office/drawing/2014/main" id="{D7FACC7A-C4EB-41C7-BBF9-076D98BFA68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38" name="Text Box 1">
          <a:extLst>
            <a:ext uri="{FF2B5EF4-FFF2-40B4-BE49-F238E27FC236}">
              <a16:creationId xmlns:a16="http://schemas.microsoft.com/office/drawing/2014/main" id="{F28A609E-6CBE-4A33-8192-A8C8B51873C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39" name="Text Box 2">
          <a:extLst>
            <a:ext uri="{FF2B5EF4-FFF2-40B4-BE49-F238E27FC236}">
              <a16:creationId xmlns:a16="http://schemas.microsoft.com/office/drawing/2014/main" id="{8615F698-01FE-4C8A-A368-02469C482E0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40" name="Text Box 1">
          <a:extLst>
            <a:ext uri="{FF2B5EF4-FFF2-40B4-BE49-F238E27FC236}">
              <a16:creationId xmlns:a16="http://schemas.microsoft.com/office/drawing/2014/main" id="{B92A0FEF-1E88-4872-B62E-DBB8CF5086D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41" name="Text Box 2">
          <a:extLst>
            <a:ext uri="{FF2B5EF4-FFF2-40B4-BE49-F238E27FC236}">
              <a16:creationId xmlns:a16="http://schemas.microsoft.com/office/drawing/2014/main" id="{35B7D1D6-216A-44D1-922A-D859815DA1F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042" name="Text Box 1">
          <a:extLst>
            <a:ext uri="{FF2B5EF4-FFF2-40B4-BE49-F238E27FC236}">
              <a16:creationId xmlns:a16="http://schemas.microsoft.com/office/drawing/2014/main" id="{AE12FB00-A7D2-42C1-8C6B-A16A7B82398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043" name="Text Box 2">
          <a:extLst>
            <a:ext uri="{FF2B5EF4-FFF2-40B4-BE49-F238E27FC236}">
              <a16:creationId xmlns:a16="http://schemas.microsoft.com/office/drawing/2014/main" id="{E4D38467-05AC-4B0C-BB55-550D080A691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44" name="Text Box 1">
          <a:extLst>
            <a:ext uri="{FF2B5EF4-FFF2-40B4-BE49-F238E27FC236}">
              <a16:creationId xmlns:a16="http://schemas.microsoft.com/office/drawing/2014/main" id="{C1BD1840-FC8F-44D7-9BEE-C3FDD673BA9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45" name="Text Box 2">
          <a:extLst>
            <a:ext uri="{FF2B5EF4-FFF2-40B4-BE49-F238E27FC236}">
              <a16:creationId xmlns:a16="http://schemas.microsoft.com/office/drawing/2014/main" id="{2E5E9AFE-EAF4-4F1F-8EDD-9E1ADC45908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046" name="Text Box 1">
          <a:extLst>
            <a:ext uri="{FF2B5EF4-FFF2-40B4-BE49-F238E27FC236}">
              <a16:creationId xmlns:a16="http://schemas.microsoft.com/office/drawing/2014/main" id="{EC35F08F-BB82-4EB4-8B8B-FD61420293B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047" name="Text Box 2">
          <a:extLst>
            <a:ext uri="{FF2B5EF4-FFF2-40B4-BE49-F238E27FC236}">
              <a16:creationId xmlns:a16="http://schemas.microsoft.com/office/drawing/2014/main" id="{3D30FE32-2F10-494E-8F19-E0898EDB44E1}"/>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048" name="Text Box 1">
          <a:extLst>
            <a:ext uri="{FF2B5EF4-FFF2-40B4-BE49-F238E27FC236}">
              <a16:creationId xmlns:a16="http://schemas.microsoft.com/office/drawing/2014/main" id="{3E04099F-8EF0-4666-86E6-06F55B7293E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049" name="Text Box 2">
          <a:extLst>
            <a:ext uri="{FF2B5EF4-FFF2-40B4-BE49-F238E27FC236}">
              <a16:creationId xmlns:a16="http://schemas.microsoft.com/office/drawing/2014/main" id="{B8A3EC76-D47A-4196-B3D9-DDAE5B51157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50" name="Text Box 1">
          <a:extLst>
            <a:ext uri="{FF2B5EF4-FFF2-40B4-BE49-F238E27FC236}">
              <a16:creationId xmlns:a16="http://schemas.microsoft.com/office/drawing/2014/main" id="{8072E602-8A5A-4BAD-BBB4-82DF17CD676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51" name="Text Box 2">
          <a:extLst>
            <a:ext uri="{FF2B5EF4-FFF2-40B4-BE49-F238E27FC236}">
              <a16:creationId xmlns:a16="http://schemas.microsoft.com/office/drawing/2014/main" id="{5FA64497-37B7-44A9-A780-F612E9089BA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52" name="Text Box 1">
          <a:extLst>
            <a:ext uri="{FF2B5EF4-FFF2-40B4-BE49-F238E27FC236}">
              <a16:creationId xmlns:a16="http://schemas.microsoft.com/office/drawing/2014/main" id="{C45E68E8-A269-4943-8A89-5BD0F333501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53" name="Text Box 2">
          <a:extLst>
            <a:ext uri="{FF2B5EF4-FFF2-40B4-BE49-F238E27FC236}">
              <a16:creationId xmlns:a16="http://schemas.microsoft.com/office/drawing/2014/main" id="{D1B56FB9-19F7-4489-9FA3-4BAB0D47B9D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54" name="Text Box 1">
          <a:extLst>
            <a:ext uri="{FF2B5EF4-FFF2-40B4-BE49-F238E27FC236}">
              <a16:creationId xmlns:a16="http://schemas.microsoft.com/office/drawing/2014/main" id="{6634F47E-29D3-474A-B307-03A796BB5D5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55" name="Text Box 2">
          <a:extLst>
            <a:ext uri="{FF2B5EF4-FFF2-40B4-BE49-F238E27FC236}">
              <a16:creationId xmlns:a16="http://schemas.microsoft.com/office/drawing/2014/main" id="{7C57CCDB-B1F6-495C-9622-FCE1A3B88AA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056" name="Text Box 1">
          <a:extLst>
            <a:ext uri="{FF2B5EF4-FFF2-40B4-BE49-F238E27FC236}">
              <a16:creationId xmlns:a16="http://schemas.microsoft.com/office/drawing/2014/main" id="{465C9644-C1B8-402A-9A6A-D57A24AB392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057" name="Text Box 2">
          <a:extLst>
            <a:ext uri="{FF2B5EF4-FFF2-40B4-BE49-F238E27FC236}">
              <a16:creationId xmlns:a16="http://schemas.microsoft.com/office/drawing/2014/main" id="{E546F4F6-2EC0-45C4-A7FB-42D2AA3C4F0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58" name="Text Box 1">
          <a:extLst>
            <a:ext uri="{FF2B5EF4-FFF2-40B4-BE49-F238E27FC236}">
              <a16:creationId xmlns:a16="http://schemas.microsoft.com/office/drawing/2014/main" id="{D6CC1A01-0FB3-48A9-9DFD-10AAACD72D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59" name="Text Box 2">
          <a:extLst>
            <a:ext uri="{FF2B5EF4-FFF2-40B4-BE49-F238E27FC236}">
              <a16:creationId xmlns:a16="http://schemas.microsoft.com/office/drawing/2014/main" id="{906E1417-5DDA-4E9C-8D58-858ABEC9C4C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060" name="Text Box 1">
          <a:extLst>
            <a:ext uri="{FF2B5EF4-FFF2-40B4-BE49-F238E27FC236}">
              <a16:creationId xmlns:a16="http://schemas.microsoft.com/office/drawing/2014/main" id="{15FB93CA-D31C-4F88-B663-1B896606223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061" name="Text Box 2">
          <a:extLst>
            <a:ext uri="{FF2B5EF4-FFF2-40B4-BE49-F238E27FC236}">
              <a16:creationId xmlns:a16="http://schemas.microsoft.com/office/drawing/2014/main" id="{1EE12C73-003D-40E9-A240-7E1244010D8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62" name="Text Box 1">
          <a:extLst>
            <a:ext uri="{FF2B5EF4-FFF2-40B4-BE49-F238E27FC236}">
              <a16:creationId xmlns:a16="http://schemas.microsoft.com/office/drawing/2014/main" id="{3A0B3472-A39F-4F6A-A1EB-9A52A61010D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63" name="Text Box 2">
          <a:extLst>
            <a:ext uri="{FF2B5EF4-FFF2-40B4-BE49-F238E27FC236}">
              <a16:creationId xmlns:a16="http://schemas.microsoft.com/office/drawing/2014/main" id="{03845964-C408-4C56-A8E0-000BDD4E06D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64" name="Text Box 1">
          <a:extLst>
            <a:ext uri="{FF2B5EF4-FFF2-40B4-BE49-F238E27FC236}">
              <a16:creationId xmlns:a16="http://schemas.microsoft.com/office/drawing/2014/main" id="{84B36D07-2171-48D0-8246-F7785340077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65" name="Text Box 2">
          <a:extLst>
            <a:ext uri="{FF2B5EF4-FFF2-40B4-BE49-F238E27FC236}">
              <a16:creationId xmlns:a16="http://schemas.microsoft.com/office/drawing/2014/main" id="{B9441C1D-BCEE-4965-A6F4-DDD71B4783E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66" name="Text Box 1">
          <a:extLst>
            <a:ext uri="{FF2B5EF4-FFF2-40B4-BE49-F238E27FC236}">
              <a16:creationId xmlns:a16="http://schemas.microsoft.com/office/drawing/2014/main" id="{03666E75-8A21-4F2B-B460-70A99CFF997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67" name="Text Box 2">
          <a:extLst>
            <a:ext uri="{FF2B5EF4-FFF2-40B4-BE49-F238E27FC236}">
              <a16:creationId xmlns:a16="http://schemas.microsoft.com/office/drawing/2014/main" id="{60D0EE84-C2B4-4093-B4C7-F54E5F769D4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68" name="Text Box 1">
          <a:extLst>
            <a:ext uri="{FF2B5EF4-FFF2-40B4-BE49-F238E27FC236}">
              <a16:creationId xmlns:a16="http://schemas.microsoft.com/office/drawing/2014/main" id="{E2580E27-4802-4460-8F90-C7C9D2B0381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69" name="Text Box 2">
          <a:extLst>
            <a:ext uri="{FF2B5EF4-FFF2-40B4-BE49-F238E27FC236}">
              <a16:creationId xmlns:a16="http://schemas.microsoft.com/office/drawing/2014/main" id="{BC8A3162-9C62-4E8A-B860-2DF455C655A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70" name="Text Box 1">
          <a:extLst>
            <a:ext uri="{FF2B5EF4-FFF2-40B4-BE49-F238E27FC236}">
              <a16:creationId xmlns:a16="http://schemas.microsoft.com/office/drawing/2014/main" id="{762F704A-E9AF-4EDC-B0C8-B864F4C56EF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71" name="Text Box 2">
          <a:extLst>
            <a:ext uri="{FF2B5EF4-FFF2-40B4-BE49-F238E27FC236}">
              <a16:creationId xmlns:a16="http://schemas.microsoft.com/office/drawing/2014/main" id="{3F2B163F-ACB2-47D5-870D-EF6F0D3A023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72" name="Text Box 1">
          <a:extLst>
            <a:ext uri="{FF2B5EF4-FFF2-40B4-BE49-F238E27FC236}">
              <a16:creationId xmlns:a16="http://schemas.microsoft.com/office/drawing/2014/main" id="{25D5E96D-84E7-445D-8AD5-FB758DDA460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73" name="Text Box 2">
          <a:extLst>
            <a:ext uri="{FF2B5EF4-FFF2-40B4-BE49-F238E27FC236}">
              <a16:creationId xmlns:a16="http://schemas.microsoft.com/office/drawing/2014/main" id="{B65BD0AF-84B2-4946-84BE-23AA0676A27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74" name="Text Box 1">
          <a:extLst>
            <a:ext uri="{FF2B5EF4-FFF2-40B4-BE49-F238E27FC236}">
              <a16:creationId xmlns:a16="http://schemas.microsoft.com/office/drawing/2014/main" id="{7C41057D-63E2-462E-97FF-C17A33AD797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75" name="Text Box 2">
          <a:extLst>
            <a:ext uri="{FF2B5EF4-FFF2-40B4-BE49-F238E27FC236}">
              <a16:creationId xmlns:a16="http://schemas.microsoft.com/office/drawing/2014/main" id="{67073078-DE16-47BE-9292-736B151D9A9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76" name="Text Box 1">
          <a:extLst>
            <a:ext uri="{FF2B5EF4-FFF2-40B4-BE49-F238E27FC236}">
              <a16:creationId xmlns:a16="http://schemas.microsoft.com/office/drawing/2014/main" id="{FF937EE1-0F50-4B2B-99B3-752E831C228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77" name="Text Box 2">
          <a:extLst>
            <a:ext uri="{FF2B5EF4-FFF2-40B4-BE49-F238E27FC236}">
              <a16:creationId xmlns:a16="http://schemas.microsoft.com/office/drawing/2014/main" id="{723C880D-F1FA-43BC-8301-28AE0C23AA3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078" name="Text Box 2">
          <a:extLst>
            <a:ext uri="{FF2B5EF4-FFF2-40B4-BE49-F238E27FC236}">
              <a16:creationId xmlns:a16="http://schemas.microsoft.com/office/drawing/2014/main" id="{6687C12C-C548-4130-94FA-EDE40FA70789}"/>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79" name="Text Box 1">
          <a:extLst>
            <a:ext uri="{FF2B5EF4-FFF2-40B4-BE49-F238E27FC236}">
              <a16:creationId xmlns:a16="http://schemas.microsoft.com/office/drawing/2014/main" id="{946C004A-E406-4678-AB43-9F53B680159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80" name="Text Box 2">
          <a:extLst>
            <a:ext uri="{FF2B5EF4-FFF2-40B4-BE49-F238E27FC236}">
              <a16:creationId xmlns:a16="http://schemas.microsoft.com/office/drawing/2014/main" id="{D1805D92-5BBE-490D-979A-BF94344932B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81" name="Text Box 1">
          <a:extLst>
            <a:ext uri="{FF2B5EF4-FFF2-40B4-BE49-F238E27FC236}">
              <a16:creationId xmlns:a16="http://schemas.microsoft.com/office/drawing/2014/main" id="{8D7E9991-DF38-4227-93E5-9826983F77A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82" name="Text Box 2">
          <a:extLst>
            <a:ext uri="{FF2B5EF4-FFF2-40B4-BE49-F238E27FC236}">
              <a16:creationId xmlns:a16="http://schemas.microsoft.com/office/drawing/2014/main" id="{517364A2-8CA7-45D3-8BF4-D5560060F43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083" name="Text Box 1">
          <a:extLst>
            <a:ext uri="{FF2B5EF4-FFF2-40B4-BE49-F238E27FC236}">
              <a16:creationId xmlns:a16="http://schemas.microsoft.com/office/drawing/2014/main" id="{3B5AC349-948D-43BC-A3B6-721BE7ACE40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084" name="Text Box 2">
          <a:extLst>
            <a:ext uri="{FF2B5EF4-FFF2-40B4-BE49-F238E27FC236}">
              <a16:creationId xmlns:a16="http://schemas.microsoft.com/office/drawing/2014/main" id="{E0068E0E-C3E0-4E70-8368-5CFFEC4463E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85" name="Text Box 1">
          <a:extLst>
            <a:ext uri="{FF2B5EF4-FFF2-40B4-BE49-F238E27FC236}">
              <a16:creationId xmlns:a16="http://schemas.microsoft.com/office/drawing/2014/main" id="{68EDCF8E-CBC6-44C9-B562-0DA994F03B2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86" name="Text Box 2">
          <a:extLst>
            <a:ext uri="{FF2B5EF4-FFF2-40B4-BE49-F238E27FC236}">
              <a16:creationId xmlns:a16="http://schemas.microsoft.com/office/drawing/2014/main" id="{655469FA-C435-4BD2-8223-061E72FAA5F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087" name="Text Box 2">
          <a:extLst>
            <a:ext uri="{FF2B5EF4-FFF2-40B4-BE49-F238E27FC236}">
              <a16:creationId xmlns:a16="http://schemas.microsoft.com/office/drawing/2014/main" id="{67E5C001-7287-4B31-9EF8-8F2C17ED1622}"/>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88" name="Text Box 1">
          <a:extLst>
            <a:ext uri="{FF2B5EF4-FFF2-40B4-BE49-F238E27FC236}">
              <a16:creationId xmlns:a16="http://schemas.microsoft.com/office/drawing/2014/main" id="{5FF606D0-06D6-4C7C-9D21-04DB77DB152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89" name="Text Box 2">
          <a:extLst>
            <a:ext uri="{FF2B5EF4-FFF2-40B4-BE49-F238E27FC236}">
              <a16:creationId xmlns:a16="http://schemas.microsoft.com/office/drawing/2014/main" id="{8C048FE1-FBB8-4DD4-9919-8F56906A155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090" name="Text Box 2">
          <a:extLst>
            <a:ext uri="{FF2B5EF4-FFF2-40B4-BE49-F238E27FC236}">
              <a16:creationId xmlns:a16="http://schemas.microsoft.com/office/drawing/2014/main" id="{B655026A-2CDB-4CD2-A2AA-02B62D10BE90}"/>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91" name="Text Box 1">
          <a:extLst>
            <a:ext uri="{FF2B5EF4-FFF2-40B4-BE49-F238E27FC236}">
              <a16:creationId xmlns:a16="http://schemas.microsoft.com/office/drawing/2014/main" id="{66BEACA1-6581-4E13-8144-63042082EE9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92" name="Text Box 2">
          <a:extLst>
            <a:ext uri="{FF2B5EF4-FFF2-40B4-BE49-F238E27FC236}">
              <a16:creationId xmlns:a16="http://schemas.microsoft.com/office/drawing/2014/main" id="{553BE349-6B9F-47AF-BDE3-D47B9743FB9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093" name="Text Box 2">
          <a:extLst>
            <a:ext uri="{FF2B5EF4-FFF2-40B4-BE49-F238E27FC236}">
              <a16:creationId xmlns:a16="http://schemas.microsoft.com/office/drawing/2014/main" id="{153AEBC2-2E29-4F9A-8720-51F34A45C88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94" name="Text Box 1">
          <a:extLst>
            <a:ext uri="{FF2B5EF4-FFF2-40B4-BE49-F238E27FC236}">
              <a16:creationId xmlns:a16="http://schemas.microsoft.com/office/drawing/2014/main" id="{67D35B20-EE91-4A2D-BAFB-3F26092E1B8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95" name="Text Box 2">
          <a:extLst>
            <a:ext uri="{FF2B5EF4-FFF2-40B4-BE49-F238E27FC236}">
              <a16:creationId xmlns:a16="http://schemas.microsoft.com/office/drawing/2014/main" id="{9FDAE781-4ABF-472F-9EC9-DF2346D9220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096" name="Text Box 2">
          <a:extLst>
            <a:ext uri="{FF2B5EF4-FFF2-40B4-BE49-F238E27FC236}">
              <a16:creationId xmlns:a16="http://schemas.microsoft.com/office/drawing/2014/main" id="{39E02203-3F23-425F-A583-C7917E3080C8}"/>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97" name="Text Box 1">
          <a:extLst>
            <a:ext uri="{FF2B5EF4-FFF2-40B4-BE49-F238E27FC236}">
              <a16:creationId xmlns:a16="http://schemas.microsoft.com/office/drawing/2014/main" id="{B3D2FF3B-2908-491E-BF83-C5647F8F89A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98" name="Text Box 2">
          <a:extLst>
            <a:ext uri="{FF2B5EF4-FFF2-40B4-BE49-F238E27FC236}">
              <a16:creationId xmlns:a16="http://schemas.microsoft.com/office/drawing/2014/main" id="{041FE6BA-1293-455F-9365-E600699F5DA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099" name="Text Box 2">
          <a:extLst>
            <a:ext uri="{FF2B5EF4-FFF2-40B4-BE49-F238E27FC236}">
              <a16:creationId xmlns:a16="http://schemas.microsoft.com/office/drawing/2014/main" id="{7C076F1D-6CDB-4E72-ABC5-57AD8D55DD4E}"/>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00" name="Text Box 1">
          <a:extLst>
            <a:ext uri="{FF2B5EF4-FFF2-40B4-BE49-F238E27FC236}">
              <a16:creationId xmlns:a16="http://schemas.microsoft.com/office/drawing/2014/main" id="{4939CF4F-D5FC-4EC4-A237-6CE957B11EF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01" name="Text Box 2">
          <a:extLst>
            <a:ext uri="{FF2B5EF4-FFF2-40B4-BE49-F238E27FC236}">
              <a16:creationId xmlns:a16="http://schemas.microsoft.com/office/drawing/2014/main" id="{1CB27429-EBC9-4A45-9ACB-EB211133CD3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102" name="Text Box 2">
          <a:extLst>
            <a:ext uri="{FF2B5EF4-FFF2-40B4-BE49-F238E27FC236}">
              <a16:creationId xmlns:a16="http://schemas.microsoft.com/office/drawing/2014/main" id="{23EC6F5D-6B48-4F55-8DB4-4CE38EA4216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03" name="Text Box 1">
          <a:extLst>
            <a:ext uri="{FF2B5EF4-FFF2-40B4-BE49-F238E27FC236}">
              <a16:creationId xmlns:a16="http://schemas.microsoft.com/office/drawing/2014/main" id="{138FCE8B-E77B-422B-BF66-067478B6A2F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04" name="Text Box 2">
          <a:extLst>
            <a:ext uri="{FF2B5EF4-FFF2-40B4-BE49-F238E27FC236}">
              <a16:creationId xmlns:a16="http://schemas.microsoft.com/office/drawing/2014/main" id="{E7FE5164-1B0C-4D0C-BB1A-D5816CE92C6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05" name="Text Box 1">
          <a:extLst>
            <a:ext uri="{FF2B5EF4-FFF2-40B4-BE49-F238E27FC236}">
              <a16:creationId xmlns:a16="http://schemas.microsoft.com/office/drawing/2014/main" id="{0D3C9B1E-B910-45B6-BC71-145CBFF7FD0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06" name="Text Box 2">
          <a:extLst>
            <a:ext uri="{FF2B5EF4-FFF2-40B4-BE49-F238E27FC236}">
              <a16:creationId xmlns:a16="http://schemas.microsoft.com/office/drawing/2014/main" id="{B1BD10E7-EB73-4AA7-BE99-37264AE67B2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07" name="Text Box 1">
          <a:extLst>
            <a:ext uri="{FF2B5EF4-FFF2-40B4-BE49-F238E27FC236}">
              <a16:creationId xmlns:a16="http://schemas.microsoft.com/office/drawing/2014/main" id="{6E0A53C3-A746-413F-8692-C7015A5C8B1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08" name="Text Box 2">
          <a:extLst>
            <a:ext uri="{FF2B5EF4-FFF2-40B4-BE49-F238E27FC236}">
              <a16:creationId xmlns:a16="http://schemas.microsoft.com/office/drawing/2014/main" id="{89532D0B-99B9-46AA-8008-0DF2C374CDB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09" name="Text Box 1">
          <a:extLst>
            <a:ext uri="{FF2B5EF4-FFF2-40B4-BE49-F238E27FC236}">
              <a16:creationId xmlns:a16="http://schemas.microsoft.com/office/drawing/2014/main" id="{0CBFA628-97A7-42C0-8AC0-6F5AFCF2E42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10" name="Text Box 2">
          <a:extLst>
            <a:ext uri="{FF2B5EF4-FFF2-40B4-BE49-F238E27FC236}">
              <a16:creationId xmlns:a16="http://schemas.microsoft.com/office/drawing/2014/main" id="{D5C7498A-45AC-4AA9-9521-DA067ED2E76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11" name="Text Box 1">
          <a:extLst>
            <a:ext uri="{FF2B5EF4-FFF2-40B4-BE49-F238E27FC236}">
              <a16:creationId xmlns:a16="http://schemas.microsoft.com/office/drawing/2014/main" id="{8A217B33-5509-41BF-B71B-DB963D32A3B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12" name="Text Box 2">
          <a:extLst>
            <a:ext uri="{FF2B5EF4-FFF2-40B4-BE49-F238E27FC236}">
              <a16:creationId xmlns:a16="http://schemas.microsoft.com/office/drawing/2014/main" id="{7F45B25E-0DB6-4C38-AB10-7A002F1AF7E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13" name="Text Box 1">
          <a:extLst>
            <a:ext uri="{FF2B5EF4-FFF2-40B4-BE49-F238E27FC236}">
              <a16:creationId xmlns:a16="http://schemas.microsoft.com/office/drawing/2014/main" id="{7C0967DA-2231-4B3A-A9EA-ACF8B385A47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14" name="Text Box 2">
          <a:extLst>
            <a:ext uri="{FF2B5EF4-FFF2-40B4-BE49-F238E27FC236}">
              <a16:creationId xmlns:a16="http://schemas.microsoft.com/office/drawing/2014/main" id="{8B959253-850D-49A9-AAC7-CFCF4B24D44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15" name="Text Box 1">
          <a:extLst>
            <a:ext uri="{FF2B5EF4-FFF2-40B4-BE49-F238E27FC236}">
              <a16:creationId xmlns:a16="http://schemas.microsoft.com/office/drawing/2014/main" id="{7CB6A7BB-8830-4045-BB5D-F43632A5EF5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16" name="Text Box 2">
          <a:extLst>
            <a:ext uri="{FF2B5EF4-FFF2-40B4-BE49-F238E27FC236}">
              <a16:creationId xmlns:a16="http://schemas.microsoft.com/office/drawing/2014/main" id="{3F80E7C0-22E4-499F-913B-8D1729AE791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17" name="Text Box 1">
          <a:extLst>
            <a:ext uri="{FF2B5EF4-FFF2-40B4-BE49-F238E27FC236}">
              <a16:creationId xmlns:a16="http://schemas.microsoft.com/office/drawing/2014/main" id="{6D8E8B3C-352A-4B23-920D-6BE1983D9F0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18" name="Text Box 2">
          <a:extLst>
            <a:ext uri="{FF2B5EF4-FFF2-40B4-BE49-F238E27FC236}">
              <a16:creationId xmlns:a16="http://schemas.microsoft.com/office/drawing/2014/main" id="{EF5E09FE-8CD3-41E4-AE29-CE204789705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19" name="Text Box 1">
          <a:extLst>
            <a:ext uri="{FF2B5EF4-FFF2-40B4-BE49-F238E27FC236}">
              <a16:creationId xmlns:a16="http://schemas.microsoft.com/office/drawing/2014/main" id="{79C9D9B9-4CD3-49A9-BFCB-16DEDBACEF9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20" name="Text Box 2">
          <a:extLst>
            <a:ext uri="{FF2B5EF4-FFF2-40B4-BE49-F238E27FC236}">
              <a16:creationId xmlns:a16="http://schemas.microsoft.com/office/drawing/2014/main" id="{D3BDC8FE-3060-4B89-96AC-549586AEABE5}"/>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121" name="Text Box 2">
          <a:extLst>
            <a:ext uri="{FF2B5EF4-FFF2-40B4-BE49-F238E27FC236}">
              <a16:creationId xmlns:a16="http://schemas.microsoft.com/office/drawing/2014/main" id="{4CB3EBE9-11F0-4369-87A4-F3F5D62427E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22" name="Text Box 1">
          <a:extLst>
            <a:ext uri="{FF2B5EF4-FFF2-40B4-BE49-F238E27FC236}">
              <a16:creationId xmlns:a16="http://schemas.microsoft.com/office/drawing/2014/main" id="{4A82329D-A0B7-40A4-AFC2-99F5F22E201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23" name="Text Box 2">
          <a:extLst>
            <a:ext uri="{FF2B5EF4-FFF2-40B4-BE49-F238E27FC236}">
              <a16:creationId xmlns:a16="http://schemas.microsoft.com/office/drawing/2014/main" id="{A27916FF-D207-4D1D-9C19-781358CB62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24" name="Text Box 1">
          <a:extLst>
            <a:ext uri="{FF2B5EF4-FFF2-40B4-BE49-F238E27FC236}">
              <a16:creationId xmlns:a16="http://schemas.microsoft.com/office/drawing/2014/main" id="{C27C06F8-ABA2-4928-A6D7-B052F24EA04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25" name="Text Box 2">
          <a:extLst>
            <a:ext uri="{FF2B5EF4-FFF2-40B4-BE49-F238E27FC236}">
              <a16:creationId xmlns:a16="http://schemas.microsoft.com/office/drawing/2014/main" id="{7A4E167E-4213-4147-99C1-0036CF92F70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26" name="Text Box 1">
          <a:extLst>
            <a:ext uri="{FF2B5EF4-FFF2-40B4-BE49-F238E27FC236}">
              <a16:creationId xmlns:a16="http://schemas.microsoft.com/office/drawing/2014/main" id="{5C9F0CA2-CB90-43D5-B8EC-679679DEF13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27" name="Text Box 2">
          <a:extLst>
            <a:ext uri="{FF2B5EF4-FFF2-40B4-BE49-F238E27FC236}">
              <a16:creationId xmlns:a16="http://schemas.microsoft.com/office/drawing/2014/main" id="{091AFB30-90FE-4EFE-9D39-31B0220C052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28" name="Text Box 1">
          <a:extLst>
            <a:ext uri="{FF2B5EF4-FFF2-40B4-BE49-F238E27FC236}">
              <a16:creationId xmlns:a16="http://schemas.microsoft.com/office/drawing/2014/main" id="{ACDBB91E-3DDB-4DCF-9BEF-0729C6B7BA2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29" name="Text Box 2">
          <a:extLst>
            <a:ext uri="{FF2B5EF4-FFF2-40B4-BE49-F238E27FC236}">
              <a16:creationId xmlns:a16="http://schemas.microsoft.com/office/drawing/2014/main" id="{6850FFB2-DBB9-4A31-A243-34A057E2690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130" name="Text Box 2">
          <a:extLst>
            <a:ext uri="{FF2B5EF4-FFF2-40B4-BE49-F238E27FC236}">
              <a16:creationId xmlns:a16="http://schemas.microsoft.com/office/drawing/2014/main" id="{2341AF79-0D9D-458A-AA4F-EA9E7B2AA3A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31" name="Text Box 1">
          <a:extLst>
            <a:ext uri="{FF2B5EF4-FFF2-40B4-BE49-F238E27FC236}">
              <a16:creationId xmlns:a16="http://schemas.microsoft.com/office/drawing/2014/main" id="{66E9817C-869C-4918-9D03-3A7EBC012F9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32" name="Text Box 2">
          <a:extLst>
            <a:ext uri="{FF2B5EF4-FFF2-40B4-BE49-F238E27FC236}">
              <a16:creationId xmlns:a16="http://schemas.microsoft.com/office/drawing/2014/main" id="{8A95CB48-B6C5-4613-902E-C4DC93D717B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133" name="Text Box 2">
          <a:extLst>
            <a:ext uri="{FF2B5EF4-FFF2-40B4-BE49-F238E27FC236}">
              <a16:creationId xmlns:a16="http://schemas.microsoft.com/office/drawing/2014/main" id="{C24B3281-D9C9-4406-9271-2E7F115B94FF}"/>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34" name="Text Box 1">
          <a:extLst>
            <a:ext uri="{FF2B5EF4-FFF2-40B4-BE49-F238E27FC236}">
              <a16:creationId xmlns:a16="http://schemas.microsoft.com/office/drawing/2014/main" id="{C40B59D7-5F18-4F67-87AB-C13B69BA823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35" name="Text Box 2">
          <a:extLst>
            <a:ext uri="{FF2B5EF4-FFF2-40B4-BE49-F238E27FC236}">
              <a16:creationId xmlns:a16="http://schemas.microsoft.com/office/drawing/2014/main" id="{5AE55403-3BBF-47C4-A0BF-EF2F8851588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136" name="Text Box 2">
          <a:extLst>
            <a:ext uri="{FF2B5EF4-FFF2-40B4-BE49-F238E27FC236}">
              <a16:creationId xmlns:a16="http://schemas.microsoft.com/office/drawing/2014/main" id="{5A45CE59-4710-4339-8FBA-00C948015F69}"/>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37" name="Text Box 1">
          <a:extLst>
            <a:ext uri="{FF2B5EF4-FFF2-40B4-BE49-F238E27FC236}">
              <a16:creationId xmlns:a16="http://schemas.microsoft.com/office/drawing/2014/main" id="{AA90B0F5-C687-4737-BA73-C96B36C1FC2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38" name="Text Box 2">
          <a:extLst>
            <a:ext uri="{FF2B5EF4-FFF2-40B4-BE49-F238E27FC236}">
              <a16:creationId xmlns:a16="http://schemas.microsoft.com/office/drawing/2014/main" id="{95A63C1A-5665-4086-B8CE-A84EB51A838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139" name="Text Box 2">
          <a:extLst>
            <a:ext uri="{FF2B5EF4-FFF2-40B4-BE49-F238E27FC236}">
              <a16:creationId xmlns:a16="http://schemas.microsoft.com/office/drawing/2014/main" id="{69F1F245-B5E5-455E-A91F-EB829FE4570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40" name="Text Box 1">
          <a:extLst>
            <a:ext uri="{FF2B5EF4-FFF2-40B4-BE49-F238E27FC236}">
              <a16:creationId xmlns:a16="http://schemas.microsoft.com/office/drawing/2014/main" id="{B58821F4-1A01-49E8-8A46-0B74041C1B0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41" name="Text Box 2">
          <a:extLst>
            <a:ext uri="{FF2B5EF4-FFF2-40B4-BE49-F238E27FC236}">
              <a16:creationId xmlns:a16="http://schemas.microsoft.com/office/drawing/2014/main" id="{CD3DF4F1-8EEC-444F-9EF2-71682EC71BD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142" name="Text Box 2">
          <a:extLst>
            <a:ext uri="{FF2B5EF4-FFF2-40B4-BE49-F238E27FC236}">
              <a16:creationId xmlns:a16="http://schemas.microsoft.com/office/drawing/2014/main" id="{9FF6CCAE-F70A-49F2-BC00-6DBC4B036946}"/>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43" name="Text Box 1">
          <a:extLst>
            <a:ext uri="{FF2B5EF4-FFF2-40B4-BE49-F238E27FC236}">
              <a16:creationId xmlns:a16="http://schemas.microsoft.com/office/drawing/2014/main" id="{4C6BD028-B89B-4762-A61B-5C53B487CB7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44" name="Text Box 2">
          <a:extLst>
            <a:ext uri="{FF2B5EF4-FFF2-40B4-BE49-F238E27FC236}">
              <a16:creationId xmlns:a16="http://schemas.microsoft.com/office/drawing/2014/main" id="{78357902-8CB0-44EB-BDD6-1A49040EE67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145" name="Text Box 2">
          <a:extLst>
            <a:ext uri="{FF2B5EF4-FFF2-40B4-BE49-F238E27FC236}">
              <a16:creationId xmlns:a16="http://schemas.microsoft.com/office/drawing/2014/main" id="{FF5E2D45-74B2-48EA-8416-0E8FD23637E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46" name="Text Box 1">
          <a:extLst>
            <a:ext uri="{FF2B5EF4-FFF2-40B4-BE49-F238E27FC236}">
              <a16:creationId xmlns:a16="http://schemas.microsoft.com/office/drawing/2014/main" id="{CD175A48-C3EC-4E34-8CBA-EAF724B791A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47" name="Text Box 2">
          <a:extLst>
            <a:ext uri="{FF2B5EF4-FFF2-40B4-BE49-F238E27FC236}">
              <a16:creationId xmlns:a16="http://schemas.microsoft.com/office/drawing/2014/main" id="{0C3818EF-C57F-4C3A-A4D9-462E8C08244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48" name="Text Box 1">
          <a:extLst>
            <a:ext uri="{FF2B5EF4-FFF2-40B4-BE49-F238E27FC236}">
              <a16:creationId xmlns:a16="http://schemas.microsoft.com/office/drawing/2014/main" id="{467C5B7A-B48C-46F6-8FFE-8A694D6463E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49" name="Text Box 2">
          <a:extLst>
            <a:ext uri="{FF2B5EF4-FFF2-40B4-BE49-F238E27FC236}">
              <a16:creationId xmlns:a16="http://schemas.microsoft.com/office/drawing/2014/main" id="{2D8BF2CB-43FD-4C25-B98A-C3602E00BB4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50" name="Text Box 1">
          <a:extLst>
            <a:ext uri="{FF2B5EF4-FFF2-40B4-BE49-F238E27FC236}">
              <a16:creationId xmlns:a16="http://schemas.microsoft.com/office/drawing/2014/main" id="{05565DF0-4E2B-4814-971F-96B6F0C8A5E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51" name="Text Box 2">
          <a:extLst>
            <a:ext uri="{FF2B5EF4-FFF2-40B4-BE49-F238E27FC236}">
              <a16:creationId xmlns:a16="http://schemas.microsoft.com/office/drawing/2014/main" id="{F671581D-E609-4678-9000-961753314FB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52" name="Text Box 1">
          <a:extLst>
            <a:ext uri="{FF2B5EF4-FFF2-40B4-BE49-F238E27FC236}">
              <a16:creationId xmlns:a16="http://schemas.microsoft.com/office/drawing/2014/main" id="{DDA99187-9F77-4FEE-AFDD-CB1A0468785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53" name="Text Box 2">
          <a:extLst>
            <a:ext uri="{FF2B5EF4-FFF2-40B4-BE49-F238E27FC236}">
              <a16:creationId xmlns:a16="http://schemas.microsoft.com/office/drawing/2014/main" id="{F502C8A5-A039-4E98-99BD-37B1B69015F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54" name="Text Box 1">
          <a:extLst>
            <a:ext uri="{FF2B5EF4-FFF2-40B4-BE49-F238E27FC236}">
              <a16:creationId xmlns:a16="http://schemas.microsoft.com/office/drawing/2014/main" id="{D5AF6101-1E85-4A12-8DAB-0E5D1B4591E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55" name="Text Box 2">
          <a:extLst>
            <a:ext uri="{FF2B5EF4-FFF2-40B4-BE49-F238E27FC236}">
              <a16:creationId xmlns:a16="http://schemas.microsoft.com/office/drawing/2014/main" id="{78690908-A5ED-4BDE-9335-CBBF3892E2C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56" name="Text Box 1">
          <a:extLst>
            <a:ext uri="{FF2B5EF4-FFF2-40B4-BE49-F238E27FC236}">
              <a16:creationId xmlns:a16="http://schemas.microsoft.com/office/drawing/2014/main" id="{FBABC998-7B66-4A2E-A040-B9C0512511F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57" name="Text Box 2">
          <a:extLst>
            <a:ext uri="{FF2B5EF4-FFF2-40B4-BE49-F238E27FC236}">
              <a16:creationId xmlns:a16="http://schemas.microsoft.com/office/drawing/2014/main" id="{88230D1B-D451-48DA-8509-9A4D5EA42F61}"/>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58" name="Text Box 1">
          <a:extLst>
            <a:ext uri="{FF2B5EF4-FFF2-40B4-BE49-F238E27FC236}">
              <a16:creationId xmlns:a16="http://schemas.microsoft.com/office/drawing/2014/main" id="{7AAF4FE5-93EB-4EEF-A8C1-EA745206692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59" name="Text Box 2">
          <a:extLst>
            <a:ext uri="{FF2B5EF4-FFF2-40B4-BE49-F238E27FC236}">
              <a16:creationId xmlns:a16="http://schemas.microsoft.com/office/drawing/2014/main" id="{BB89DC5A-2020-4F0E-87C6-B61558055FC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60" name="Text Box 1">
          <a:extLst>
            <a:ext uri="{FF2B5EF4-FFF2-40B4-BE49-F238E27FC236}">
              <a16:creationId xmlns:a16="http://schemas.microsoft.com/office/drawing/2014/main" id="{B82CD312-2CC2-4153-89EE-CBF1EF47059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61" name="Text Box 2">
          <a:extLst>
            <a:ext uri="{FF2B5EF4-FFF2-40B4-BE49-F238E27FC236}">
              <a16:creationId xmlns:a16="http://schemas.microsoft.com/office/drawing/2014/main" id="{BB24662B-AE11-4DE2-A0BD-66742B4945F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62" name="Text Box 1">
          <a:extLst>
            <a:ext uri="{FF2B5EF4-FFF2-40B4-BE49-F238E27FC236}">
              <a16:creationId xmlns:a16="http://schemas.microsoft.com/office/drawing/2014/main" id="{9EF5AB54-29F7-418A-B6B3-7071D4996B7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63" name="Text Box 2">
          <a:extLst>
            <a:ext uri="{FF2B5EF4-FFF2-40B4-BE49-F238E27FC236}">
              <a16:creationId xmlns:a16="http://schemas.microsoft.com/office/drawing/2014/main" id="{38D897C2-2F88-497D-8DAF-30657EE642A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64" name="Text Box 1">
          <a:extLst>
            <a:ext uri="{FF2B5EF4-FFF2-40B4-BE49-F238E27FC236}">
              <a16:creationId xmlns:a16="http://schemas.microsoft.com/office/drawing/2014/main" id="{F9417152-9CDA-4FA8-A927-CAAEAB80817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65" name="Text Box 2">
          <a:extLst>
            <a:ext uri="{FF2B5EF4-FFF2-40B4-BE49-F238E27FC236}">
              <a16:creationId xmlns:a16="http://schemas.microsoft.com/office/drawing/2014/main" id="{AFF35B0D-4275-4B59-9DB1-D208B972FF1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66" name="Text Box 2">
          <a:extLst>
            <a:ext uri="{FF2B5EF4-FFF2-40B4-BE49-F238E27FC236}">
              <a16:creationId xmlns:a16="http://schemas.microsoft.com/office/drawing/2014/main" id="{9029D3CD-8FCF-4B9C-AF98-8FE81788AF3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67" name="Text Box 1">
          <a:extLst>
            <a:ext uri="{FF2B5EF4-FFF2-40B4-BE49-F238E27FC236}">
              <a16:creationId xmlns:a16="http://schemas.microsoft.com/office/drawing/2014/main" id="{A99159A1-483E-4A50-BD27-BCB3C36ADAD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68" name="Text Box 2">
          <a:extLst>
            <a:ext uri="{FF2B5EF4-FFF2-40B4-BE49-F238E27FC236}">
              <a16:creationId xmlns:a16="http://schemas.microsoft.com/office/drawing/2014/main" id="{574B6583-2C93-4B50-8F37-102482F6EC1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69" name="Text Box 1">
          <a:extLst>
            <a:ext uri="{FF2B5EF4-FFF2-40B4-BE49-F238E27FC236}">
              <a16:creationId xmlns:a16="http://schemas.microsoft.com/office/drawing/2014/main" id="{800267C0-74F3-4804-B442-8C860498A9F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70" name="Text Box 2">
          <a:extLst>
            <a:ext uri="{FF2B5EF4-FFF2-40B4-BE49-F238E27FC236}">
              <a16:creationId xmlns:a16="http://schemas.microsoft.com/office/drawing/2014/main" id="{EF9AC301-3765-489C-BF3A-3EB3637BF0C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71" name="Text Box 1">
          <a:extLst>
            <a:ext uri="{FF2B5EF4-FFF2-40B4-BE49-F238E27FC236}">
              <a16:creationId xmlns:a16="http://schemas.microsoft.com/office/drawing/2014/main" id="{8E8C2075-6631-4EAF-A0DB-E5639782CF5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72" name="Text Box 2">
          <a:extLst>
            <a:ext uri="{FF2B5EF4-FFF2-40B4-BE49-F238E27FC236}">
              <a16:creationId xmlns:a16="http://schemas.microsoft.com/office/drawing/2014/main" id="{699CBCFB-125B-49D3-A618-886993BB848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73" name="Text Box 1">
          <a:extLst>
            <a:ext uri="{FF2B5EF4-FFF2-40B4-BE49-F238E27FC236}">
              <a16:creationId xmlns:a16="http://schemas.microsoft.com/office/drawing/2014/main" id="{6A1C45E8-1C5B-45CF-AD24-4570305B74D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74" name="Text Box 2">
          <a:extLst>
            <a:ext uri="{FF2B5EF4-FFF2-40B4-BE49-F238E27FC236}">
              <a16:creationId xmlns:a16="http://schemas.microsoft.com/office/drawing/2014/main" id="{296B0CE5-9FF4-4AD4-8229-B8A966809C15}"/>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75" name="Text Box 1">
          <a:extLst>
            <a:ext uri="{FF2B5EF4-FFF2-40B4-BE49-F238E27FC236}">
              <a16:creationId xmlns:a16="http://schemas.microsoft.com/office/drawing/2014/main" id="{0DBCA6A4-6245-44C1-A6C5-895F89E6554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76" name="Text Box 2">
          <a:extLst>
            <a:ext uri="{FF2B5EF4-FFF2-40B4-BE49-F238E27FC236}">
              <a16:creationId xmlns:a16="http://schemas.microsoft.com/office/drawing/2014/main" id="{87733483-CBA2-460C-AF5F-7902BD04E48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77" name="Text Box 1">
          <a:extLst>
            <a:ext uri="{FF2B5EF4-FFF2-40B4-BE49-F238E27FC236}">
              <a16:creationId xmlns:a16="http://schemas.microsoft.com/office/drawing/2014/main" id="{9C1D1212-7463-4DBA-8C36-7879CDDC80A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78" name="Text Box 2">
          <a:extLst>
            <a:ext uri="{FF2B5EF4-FFF2-40B4-BE49-F238E27FC236}">
              <a16:creationId xmlns:a16="http://schemas.microsoft.com/office/drawing/2014/main" id="{A527F1D2-765C-4EA8-9B6A-BA52B746E0D8}"/>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79" name="Text Box 1">
          <a:extLst>
            <a:ext uri="{FF2B5EF4-FFF2-40B4-BE49-F238E27FC236}">
              <a16:creationId xmlns:a16="http://schemas.microsoft.com/office/drawing/2014/main" id="{B34C1220-8F38-4CE4-B52C-0A4E2B0AD96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80" name="Text Box 2">
          <a:extLst>
            <a:ext uri="{FF2B5EF4-FFF2-40B4-BE49-F238E27FC236}">
              <a16:creationId xmlns:a16="http://schemas.microsoft.com/office/drawing/2014/main" id="{ECE7507E-550C-4DBF-8DA9-E58BCB3FB8B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81" name="Text Box 1">
          <a:extLst>
            <a:ext uri="{FF2B5EF4-FFF2-40B4-BE49-F238E27FC236}">
              <a16:creationId xmlns:a16="http://schemas.microsoft.com/office/drawing/2014/main" id="{DC3C4085-FD4C-477D-BA6C-FC5BADC476B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82" name="Text Box 2">
          <a:extLst>
            <a:ext uri="{FF2B5EF4-FFF2-40B4-BE49-F238E27FC236}">
              <a16:creationId xmlns:a16="http://schemas.microsoft.com/office/drawing/2014/main" id="{D7D7F817-C866-4E23-994B-C39C2D39658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83" name="Text Box 1">
          <a:extLst>
            <a:ext uri="{FF2B5EF4-FFF2-40B4-BE49-F238E27FC236}">
              <a16:creationId xmlns:a16="http://schemas.microsoft.com/office/drawing/2014/main" id="{19EACDE9-2E40-4431-A5D7-3C891CC10A6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84" name="Text Box 2">
          <a:extLst>
            <a:ext uri="{FF2B5EF4-FFF2-40B4-BE49-F238E27FC236}">
              <a16:creationId xmlns:a16="http://schemas.microsoft.com/office/drawing/2014/main" id="{86AB499D-FFEA-4957-9120-6BA7FEAE459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85" name="Text Box 1">
          <a:extLst>
            <a:ext uri="{FF2B5EF4-FFF2-40B4-BE49-F238E27FC236}">
              <a16:creationId xmlns:a16="http://schemas.microsoft.com/office/drawing/2014/main" id="{C6B51574-447D-4668-99EA-7CA9137DAA7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86" name="Text Box 2">
          <a:extLst>
            <a:ext uri="{FF2B5EF4-FFF2-40B4-BE49-F238E27FC236}">
              <a16:creationId xmlns:a16="http://schemas.microsoft.com/office/drawing/2014/main" id="{F266AE0B-C3C9-4E54-A498-9ACC0610375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87" name="Text Box 1">
          <a:extLst>
            <a:ext uri="{FF2B5EF4-FFF2-40B4-BE49-F238E27FC236}">
              <a16:creationId xmlns:a16="http://schemas.microsoft.com/office/drawing/2014/main" id="{0A272AE0-9E1B-400A-83ED-B5CA490134D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88" name="Text Box 2">
          <a:extLst>
            <a:ext uri="{FF2B5EF4-FFF2-40B4-BE49-F238E27FC236}">
              <a16:creationId xmlns:a16="http://schemas.microsoft.com/office/drawing/2014/main" id="{037A6465-C65A-4FD9-8206-8BD4F9E3547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189" name="Text Box 2">
          <a:extLst>
            <a:ext uri="{FF2B5EF4-FFF2-40B4-BE49-F238E27FC236}">
              <a16:creationId xmlns:a16="http://schemas.microsoft.com/office/drawing/2014/main" id="{95B0D0E0-9A69-4FD4-8F05-3D51F287BE0F}"/>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90" name="Text Box 1">
          <a:extLst>
            <a:ext uri="{FF2B5EF4-FFF2-40B4-BE49-F238E27FC236}">
              <a16:creationId xmlns:a16="http://schemas.microsoft.com/office/drawing/2014/main" id="{F6D7AC1B-7404-4855-ACE9-273AAE9698A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91" name="Text Box 2">
          <a:extLst>
            <a:ext uri="{FF2B5EF4-FFF2-40B4-BE49-F238E27FC236}">
              <a16:creationId xmlns:a16="http://schemas.microsoft.com/office/drawing/2014/main" id="{2B797C3F-4D4D-486D-B786-660D43988AF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92" name="Text Box 1">
          <a:extLst>
            <a:ext uri="{FF2B5EF4-FFF2-40B4-BE49-F238E27FC236}">
              <a16:creationId xmlns:a16="http://schemas.microsoft.com/office/drawing/2014/main" id="{4E6F5061-579E-43A8-8E94-BC21E010084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93" name="Text Box 2">
          <a:extLst>
            <a:ext uri="{FF2B5EF4-FFF2-40B4-BE49-F238E27FC236}">
              <a16:creationId xmlns:a16="http://schemas.microsoft.com/office/drawing/2014/main" id="{1C96C3E0-9377-4283-8B07-F580B461167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94" name="Text Box 1">
          <a:extLst>
            <a:ext uri="{FF2B5EF4-FFF2-40B4-BE49-F238E27FC236}">
              <a16:creationId xmlns:a16="http://schemas.microsoft.com/office/drawing/2014/main" id="{FA5FE9B7-E651-4755-B08C-E250ABA696B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95" name="Text Box 2">
          <a:extLst>
            <a:ext uri="{FF2B5EF4-FFF2-40B4-BE49-F238E27FC236}">
              <a16:creationId xmlns:a16="http://schemas.microsoft.com/office/drawing/2014/main" id="{9BFCC154-6B98-47D5-A1F2-80DFE15C88F1}"/>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96" name="Text Box 1">
          <a:extLst>
            <a:ext uri="{FF2B5EF4-FFF2-40B4-BE49-F238E27FC236}">
              <a16:creationId xmlns:a16="http://schemas.microsoft.com/office/drawing/2014/main" id="{67328555-8882-428F-8E06-DF4D7D6B1CF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97" name="Text Box 2">
          <a:extLst>
            <a:ext uri="{FF2B5EF4-FFF2-40B4-BE49-F238E27FC236}">
              <a16:creationId xmlns:a16="http://schemas.microsoft.com/office/drawing/2014/main" id="{F3B01AD1-0F7A-4659-ABC8-8A3041DCE2D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198" name="Text Box 2">
          <a:extLst>
            <a:ext uri="{FF2B5EF4-FFF2-40B4-BE49-F238E27FC236}">
              <a16:creationId xmlns:a16="http://schemas.microsoft.com/office/drawing/2014/main" id="{74E1564F-FF5C-4D03-B145-70760B8D7C96}"/>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99" name="Text Box 1">
          <a:extLst>
            <a:ext uri="{FF2B5EF4-FFF2-40B4-BE49-F238E27FC236}">
              <a16:creationId xmlns:a16="http://schemas.microsoft.com/office/drawing/2014/main" id="{BB1DE070-18F3-4DB6-9AEA-2B7D5F0C7D9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00" name="Text Box 2">
          <a:extLst>
            <a:ext uri="{FF2B5EF4-FFF2-40B4-BE49-F238E27FC236}">
              <a16:creationId xmlns:a16="http://schemas.microsoft.com/office/drawing/2014/main" id="{F0277A06-BCEB-4A7A-B117-907CFDD0E0C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201" name="Text Box 2">
          <a:extLst>
            <a:ext uri="{FF2B5EF4-FFF2-40B4-BE49-F238E27FC236}">
              <a16:creationId xmlns:a16="http://schemas.microsoft.com/office/drawing/2014/main" id="{1CE804EF-ED0E-4C76-ADE3-D7327D822183}"/>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02" name="Text Box 1">
          <a:extLst>
            <a:ext uri="{FF2B5EF4-FFF2-40B4-BE49-F238E27FC236}">
              <a16:creationId xmlns:a16="http://schemas.microsoft.com/office/drawing/2014/main" id="{6E2B462D-5016-482E-8E68-768E105DFD3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03" name="Text Box 2">
          <a:extLst>
            <a:ext uri="{FF2B5EF4-FFF2-40B4-BE49-F238E27FC236}">
              <a16:creationId xmlns:a16="http://schemas.microsoft.com/office/drawing/2014/main" id="{78A228B9-8D61-440C-9146-7A1A860EF83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204" name="Text Box 2">
          <a:extLst>
            <a:ext uri="{FF2B5EF4-FFF2-40B4-BE49-F238E27FC236}">
              <a16:creationId xmlns:a16="http://schemas.microsoft.com/office/drawing/2014/main" id="{A8460306-97A8-48C9-9A9A-D438D6D83CD6}"/>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05" name="Text Box 1">
          <a:extLst>
            <a:ext uri="{FF2B5EF4-FFF2-40B4-BE49-F238E27FC236}">
              <a16:creationId xmlns:a16="http://schemas.microsoft.com/office/drawing/2014/main" id="{030A5A19-37A8-4C62-9595-4AAC10DE69D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06" name="Text Box 2">
          <a:extLst>
            <a:ext uri="{FF2B5EF4-FFF2-40B4-BE49-F238E27FC236}">
              <a16:creationId xmlns:a16="http://schemas.microsoft.com/office/drawing/2014/main" id="{4366BA35-0BF8-4FDE-9CF1-07B8C4E62DD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207" name="Text Box 2">
          <a:extLst>
            <a:ext uri="{FF2B5EF4-FFF2-40B4-BE49-F238E27FC236}">
              <a16:creationId xmlns:a16="http://schemas.microsoft.com/office/drawing/2014/main" id="{DBDC2712-4DE8-4706-A166-BA3AE8ADC1F3}"/>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08" name="Text Box 1">
          <a:extLst>
            <a:ext uri="{FF2B5EF4-FFF2-40B4-BE49-F238E27FC236}">
              <a16:creationId xmlns:a16="http://schemas.microsoft.com/office/drawing/2014/main" id="{3FC66688-3CD7-494C-A8AD-6D071B46452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09" name="Text Box 2">
          <a:extLst>
            <a:ext uri="{FF2B5EF4-FFF2-40B4-BE49-F238E27FC236}">
              <a16:creationId xmlns:a16="http://schemas.microsoft.com/office/drawing/2014/main" id="{8C5D753D-188B-4CBC-90CB-8111775252D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210" name="Text Box 2">
          <a:extLst>
            <a:ext uri="{FF2B5EF4-FFF2-40B4-BE49-F238E27FC236}">
              <a16:creationId xmlns:a16="http://schemas.microsoft.com/office/drawing/2014/main" id="{E78F3CD6-EF2A-4062-8F58-53E3F63E59C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11" name="Text Box 1">
          <a:extLst>
            <a:ext uri="{FF2B5EF4-FFF2-40B4-BE49-F238E27FC236}">
              <a16:creationId xmlns:a16="http://schemas.microsoft.com/office/drawing/2014/main" id="{0D7DD24A-D0ED-4286-807D-5F36446DC81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12" name="Text Box 2">
          <a:extLst>
            <a:ext uri="{FF2B5EF4-FFF2-40B4-BE49-F238E27FC236}">
              <a16:creationId xmlns:a16="http://schemas.microsoft.com/office/drawing/2014/main" id="{3EB547B0-2512-464F-803C-118B3054108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213" name="Text Box 2">
          <a:extLst>
            <a:ext uri="{FF2B5EF4-FFF2-40B4-BE49-F238E27FC236}">
              <a16:creationId xmlns:a16="http://schemas.microsoft.com/office/drawing/2014/main" id="{27AC7385-0D96-4528-8AA0-F1DCA1FD819E}"/>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14" name="Text Box 1">
          <a:extLst>
            <a:ext uri="{FF2B5EF4-FFF2-40B4-BE49-F238E27FC236}">
              <a16:creationId xmlns:a16="http://schemas.microsoft.com/office/drawing/2014/main" id="{660D156D-9650-4E46-A2F1-4CA3DFE6890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15" name="Text Box 2">
          <a:extLst>
            <a:ext uri="{FF2B5EF4-FFF2-40B4-BE49-F238E27FC236}">
              <a16:creationId xmlns:a16="http://schemas.microsoft.com/office/drawing/2014/main" id="{EFC240A2-021B-4580-A9C6-8BBB7D35FA4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16" name="Text Box 1">
          <a:extLst>
            <a:ext uri="{FF2B5EF4-FFF2-40B4-BE49-F238E27FC236}">
              <a16:creationId xmlns:a16="http://schemas.microsoft.com/office/drawing/2014/main" id="{9FAE86CA-B241-438C-A024-ACDBBF740F7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17" name="Text Box 2">
          <a:extLst>
            <a:ext uri="{FF2B5EF4-FFF2-40B4-BE49-F238E27FC236}">
              <a16:creationId xmlns:a16="http://schemas.microsoft.com/office/drawing/2014/main" id="{C5B44B33-D4C3-41A2-826F-80CEE506A91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18" name="Text Box 1">
          <a:extLst>
            <a:ext uri="{FF2B5EF4-FFF2-40B4-BE49-F238E27FC236}">
              <a16:creationId xmlns:a16="http://schemas.microsoft.com/office/drawing/2014/main" id="{EA0AA282-7E26-42F1-970F-6533042D056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19" name="Text Box 2">
          <a:extLst>
            <a:ext uri="{FF2B5EF4-FFF2-40B4-BE49-F238E27FC236}">
              <a16:creationId xmlns:a16="http://schemas.microsoft.com/office/drawing/2014/main" id="{033C89B1-E86B-472A-B560-4E97E440CDF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20" name="Text Box 1">
          <a:extLst>
            <a:ext uri="{FF2B5EF4-FFF2-40B4-BE49-F238E27FC236}">
              <a16:creationId xmlns:a16="http://schemas.microsoft.com/office/drawing/2014/main" id="{28C9BE86-A7F2-46EC-9783-D50AE7A3792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21" name="Text Box 2">
          <a:extLst>
            <a:ext uri="{FF2B5EF4-FFF2-40B4-BE49-F238E27FC236}">
              <a16:creationId xmlns:a16="http://schemas.microsoft.com/office/drawing/2014/main" id="{A0155D3E-A48C-4D79-A07C-B673716B81E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22" name="Text Box 1">
          <a:extLst>
            <a:ext uri="{FF2B5EF4-FFF2-40B4-BE49-F238E27FC236}">
              <a16:creationId xmlns:a16="http://schemas.microsoft.com/office/drawing/2014/main" id="{B0E6F183-15F1-45C7-92A7-6E40A07FB68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23" name="Text Box 2">
          <a:extLst>
            <a:ext uri="{FF2B5EF4-FFF2-40B4-BE49-F238E27FC236}">
              <a16:creationId xmlns:a16="http://schemas.microsoft.com/office/drawing/2014/main" id="{A45BBB29-0016-4CE2-ABA2-9B43C687C61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24" name="Text Box 1">
          <a:extLst>
            <a:ext uri="{FF2B5EF4-FFF2-40B4-BE49-F238E27FC236}">
              <a16:creationId xmlns:a16="http://schemas.microsoft.com/office/drawing/2014/main" id="{1B676F8E-6B7E-4FE4-9049-59D29F0A9B4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25" name="Text Box 2">
          <a:extLst>
            <a:ext uri="{FF2B5EF4-FFF2-40B4-BE49-F238E27FC236}">
              <a16:creationId xmlns:a16="http://schemas.microsoft.com/office/drawing/2014/main" id="{61654F00-C232-4188-B35C-AA211A11DBB8}"/>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26" name="Text Box 2">
          <a:extLst>
            <a:ext uri="{FF2B5EF4-FFF2-40B4-BE49-F238E27FC236}">
              <a16:creationId xmlns:a16="http://schemas.microsoft.com/office/drawing/2014/main" id="{501BB868-5996-444A-A2C1-9458FF3937F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27" name="Text Box 1">
          <a:extLst>
            <a:ext uri="{FF2B5EF4-FFF2-40B4-BE49-F238E27FC236}">
              <a16:creationId xmlns:a16="http://schemas.microsoft.com/office/drawing/2014/main" id="{F2FBDE5A-BB96-4953-9E52-EFF7F2D627A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28" name="Text Box 2">
          <a:extLst>
            <a:ext uri="{FF2B5EF4-FFF2-40B4-BE49-F238E27FC236}">
              <a16:creationId xmlns:a16="http://schemas.microsoft.com/office/drawing/2014/main" id="{5F349BCF-63C9-493A-8F4C-2385029BB11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29" name="Text Box 1">
          <a:extLst>
            <a:ext uri="{FF2B5EF4-FFF2-40B4-BE49-F238E27FC236}">
              <a16:creationId xmlns:a16="http://schemas.microsoft.com/office/drawing/2014/main" id="{6A53C966-1C31-4931-8BEB-167306A0127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30" name="Text Box 2">
          <a:extLst>
            <a:ext uri="{FF2B5EF4-FFF2-40B4-BE49-F238E27FC236}">
              <a16:creationId xmlns:a16="http://schemas.microsoft.com/office/drawing/2014/main" id="{26E2BCE9-148F-452C-A117-8F7EFA83B12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31" name="Text Box 1">
          <a:extLst>
            <a:ext uri="{FF2B5EF4-FFF2-40B4-BE49-F238E27FC236}">
              <a16:creationId xmlns:a16="http://schemas.microsoft.com/office/drawing/2014/main" id="{0FF9B2D9-EE42-4DC6-A58F-73B9DD08400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32" name="Text Box 2">
          <a:extLst>
            <a:ext uri="{FF2B5EF4-FFF2-40B4-BE49-F238E27FC236}">
              <a16:creationId xmlns:a16="http://schemas.microsoft.com/office/drawing/2014/main" id="{FEF6AC12-7032-4E15-9FCC-A9E1F1A496B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33" name="Text Box 2">
          <a:extLst>
            <a:ext uri="{FF2B5EF4-FFF2-40B4-BE49-F238E27FC236}">
              <a16:creationId xmlns:a16="http://schemas.microsoft.com/office/drawing/2014/main" id="{85E24C42-EE6C-4DAA-8CA6-7F6BDBE86FE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34" name="Text Box 1">
          <a:extLst>
            <a:ext uri="{FF2B5EF4-FFF2-40B4-BE49-F238E27FC236}">
              <a16:creationId xmlns:a16="http://schemas.microsoft.com/office/drawing/2014/main" id="{AD30CD8B-D793-4E63-AA4D-C9618752F40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35" name="Text Box 2">
          <a:extLst>
            <a:ext uri="{FF2B5EF4-FFF2-40B4-BE49-F238E27FC236}">
              <a16:creationId xmlns:a16="http://schemas.microsoft.com/office/drawing/2014/main" id="{1E633C04-9A31-488C-B59C-01A97CB705A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36" name="Text Box 1">
          <a:extLst>
            <a:ext uri="{FF2B5EF4-FFF2-40B4-BE49-F238E27FC236}">
              <a16:creationId xmlns:a16="http://schemas.microsoft.com/office/drawing/2014/main" id="{BA5A5DDB-DA1F-4700-976E-A64FECE3038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37" name="Text Box 2">
          <a:extLst>
            <a:ext uri="{FF2B5EF4-FFF2-40B4-BE49-F238E27FC236}">
              <a16:creationId xmlns:a16="http://schemas.microsoft.com/office/drawing/2014/main" id="{14A5D6D8-B478-473A-ABFE-508F222749E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38" name="Text Box 1">
          <a:extLst>
            <a:ext uri="{FF2B5EF4-FFF2-40B4-BE49-F238E27FC236}">
              <a16:creationId xmlns:a16="http://schemas.microsoft.com/office/drawing/2014/main" id="{9A00AC66-9A92-4901-8B91-0D7FA13AF87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39" name="Text Box 2">
          <a:extLst>
            <a:ext uri="{FF2B5EF4-FFF2-40B4-BE49-F238E27FC236}">
              <a16:creationId xmlns:a16="http://schemas.microsoft.com/office/drawing/2014/main" id="{B2955B46-4388-4D3C-84BB-57D1E3AB515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40" name="Text Box 1">
          <a:extLst>
            <a:ext uri="{FF2B5EF4-FFF2-40B4-BE49-F238E27FC236}">
              <a16:creationId xmlns:a16="http://schemas.microsoft.com/office/drawing/2014/main" id="{43EC0BE1-EA77-4281-AC0A-8DA3C1AEC8D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41" name="Text Box 2">
          <a:extLst>
            <a:ext uri="{FF2B5EF4-FFF2-40B4-BE49-F238E27FC236}">
              <a16:creationId xmlns:a16="http://schemas.microsoft.com/office/drawing/2014/main" id="{DDBF0ED7-0BB4-4C6C-9A8E-895C85F1BE5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42" name="Text Box 1">
          <a:extLst>
            <a:ext uri="{FF2B5EF4-FFF2-40B4-BE49-F238E27FC236}">
              <a16:creationId xmlns:a16="http://schemas.microsoft.com/office/drawing/2014/main" id="{8430971A-F786-4022-A2F9-6041377BEC3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43" name="Text Box 2">
          <a:extLst>
            <a:ext uri="{FF2B5EF4-FFF2-40B4-BE49-F238E27FC236}">
              <a16:creationId xmlns:a16="http://schemas.microsoft.com/office/drawing/2014/main" id="{A4481322-8D1F-4ED1-9F4D-172FF92C46F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44" name="Text Box 1">
          <a:extLst>
            <a:ext uri="{FF2B5EF4-FFF2-40B4-BE49-F238E27FC236}">
              <a16:creationId xmlns:a16="http://schemas.microsoft.com/office/drawing/2014/main" id="{7E5A4A8A-9ABD-47A2-985A-27C9EA2D68D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45" name="Text Box 2">
          <a:extLst>
            <a:ext uri="{FF2B5EF4-FFF2-40B4-BE49-F238E27FC236}">
              <a16:creationId xmlns:a16="http://schemas.microsoft.com/office/drawing/2014/main" id="{DBF2C11F-027D-4EE3-8BAF-E2F652482C1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46" name="Text Box 1">
          <a:extLst>
            <a:ext uri="{FF2B5EF4-FFF2-40B4-BE49-F238E27FC236}">
              <a16:creationId xmlns:a16="http://schemas.microsoft.com/office/drawing/2014/main" id="{2A4C0FE2-614A-4564-B061-9888E7EA493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47" name="Text Box 2">
          <a:extLst>
            <a:ext uri="{FF2B5EF4-FFF2-40B4-BE49-F238E27FC236}">
              <a16:creationId xmlns:a16="http://schemas.microsoft.com/office/drawing/2014/main" id="{67874910-EB09-433C-BFF5-4EAC954FB8E1}"/>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48" name="Text Box 1">
          <a:extLst>
            <a:ext uri="{FF2B5EF4-FFF2-40B4-BE49-F238E27FC236}">
              <a16:creationId xmlns:a16="http://schemas.microsoft.com/office/drawing/2014/main" id="{9265D90A-EC32-40F9-B36D-1B57AF1F4AF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49" name="Text Box 2">
          <a:extLst>
            <a:ext uri="{FF2B5EF4-FFF2-40B4-BE49-F238E27FC236}">
              <a16:creationId xmlns:a16="http://schemas.microsoft.com/office/drawing/2014/main" id="{D1A3982B-4B28-49FC-8D73-1A91721EC38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50" name="Text Box 1">
          <a:extLst>
            <a:ext uri="{FF2B5EF4-FFF2-40B4-BE49-F238E27FC236}">
              <a16:creationId xmlns:a16="http://schemas.microsoft.com/office/drawing/2014/main" id="{D372A550-8094-4CDE-B3AF-D828FFD8319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51" name="Text Box 2">
          <a:extLst>
            <a:ext uri="{FF2B5EF4-FFF2-40B4-BE49-F238E27FC236}">
              <a16:creationId xmlns:a16="http://schemas.microsoft.com/office/drawing/2014/main" id="{35A6D0D9-9A24-4A83-9E0E-9A9AEB8A36EE}"/>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52" name="Text Box 1">
          <a:extLst>
            <a:ext uri="{FF2B5EF4-FFF2-40B4-BE49-F238E27FC236}">
              <a16:creationId xmlns:a16="http://schemas.microsoft.com/office/drawing/2014/main" id="{3FFC7035-1B7D-4EEC-AB1E-330536DEE8F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53" name="Text Box 2">
          <a:extLst>
            <a:ext uri="{FF2B5EF4-FFF2-40B4-BE49-F238E27FC236}">
              <a16:creationId xmlns:a16="http://schemas.microsoft.com/office/drawing/2014/main" id="{081A7A3C-6E9C-4A56-B407-C58612F85A2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54" name="Text Box 1">
          <a:extLst>
            <a:ext uri="{FF2B5EF4-FFF2-40B4-BE49-F238E27FC236}">
              <a16:creationId xmlns:a16="http://schemas.microsoft.com/office/drawing/2014/main" id="{D06D9779-E952-4CE8-B65C-FEAB53A02B0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55" name="Text Box 2">
          <a:extLst>
            <a:ext uri="{FF2B5EF4-FFF2-40B4-BE49-F238E27FC236}">
              <a16:creationId xmlns:a16="http://schemas.microsoft.com/office/drawing/2014/main" id="{B438EA07-5C1C-4834-9137-2351591603F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56" name="Text Box 1">
          <a:extLst>
            <a:ext uri="{FF2B5EF4-FFF2-40B4-BE49-F238E27FC236}">
              <a16:creationId xmlns:a16="http://schemas.microsoft.com/office/drawing/2014/main" id="{9B2692F0-7BC2-4FED-AAB1-E7EFB127FAB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57" name="Text Box 2">
          <a:extLst>
            <a:ext uri="{FF2B5EF4-FFF2-40B4-BE49-F238E27FC236}">
              <a16:creationId xmlns:a16="http://schemas.microsoft.com/office/drawing/2014/main" id="{9F5CD12F-5D11-42EF-81E5-ECF88EBB617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58" name="Text Box 1">
          <a:extLst>
            <a:ext uri="{FF2B5EF4-FFF2-40B4-BE49-F238E27FC236}">
              <a16:creationId xmlns:a16="http://schemas.microsoft.com/office/drawing/2014/main" id="{DBDB3CBD-FB87-4D99-9997-ED856BC7FB0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59" name="Text Box 2">
          <a:extLst>
            <a:ext uri="{FF2B5EF4-FFF2-40B4-BE49-F238E27FC236}">
              <a16:creationId xmlns:a16="http://schemas.microsoft.com/office/drawing/2014/main" id="{876836EC-F1E5-432A-8247-2297FFC41EA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60" name="Text Box 1">
          <a:extLst>
            <a:ext uri="{FF2B5EF4-FFF2-40B4-BE49-F238E27FC236}">
              <a16:creationId xmlns:a16="http://schemas.microsoft.com/office/drawing/2014/main" id="{8DE2E278-1FC5-48FB-959F-B842AA110D8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61" name="Text Box 2">
          <a:extLst>
            <a:ext uri="{FF2B5EF4-FFF2-40B4-BE49-F238E27FC236}">
              <a16:creationId xmlns:a16="http://schemas.microsoft.com/office/drawing/2014/main" id="{0394D999-CFBD-4B0D-8E58-F712C4CAA32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62" name="Text Box 1">
          <a:extLst>
            <a:ext uri="{FF2B5EF4-FFF2-40B4-BE49-F238E27FC236}">
              <a16:creationId xmlns:a16="http://schemas.microsoft.com/office/drawing/2014/main" id="{758EDE3F-B449-46D7-B3BD-7CFDAA4A19B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63" name="Text Box 2">
          <a:extLst>
            <a:ext uri="{FF2B5EF4-FFF2-40B4-BE49-F238E27FC236}">
              <a16:creationId xmlns:a16="http://schemas.microsoft.com/office/drawing/2014/main" id="{08620282-8AE3-47E6-AB30-63FC681B2F8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64" name="Text Box 1">
          <a:extLst>
            <a:ext uri="{FF2B5EF4-FFF2-40B4-BE49-F238E27FC236}">
              <a16:creationId xmlns:a16="http://schemas.microsoft.com/office/drawing/2014/main" id="{BDB618DC-64C3-4BAF-8B45-9CC6CAEF233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65" name="Text Box 2">
          <a:extLst>
            <a:ext uri="{FF2B5EF4-FFF2-40B4-BE49-F238E27FC236}">
              <a16:creationId xmlns:a16="http://schemas.microsoft.com/office/drawing/2014/main" id="{BFFA4985-ED8A-434B-B72C-260DDB1D878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66" name="Text Box 1">
          <a:extLst>
            <a:ext uri="{FF2B5EF4-FFF2-40B4-BE49-F238E27FC236}">
              <a16:creationId xmlns:a16="http://schemas.microsoft.com/office/drawing/2014/main" id="{F224AABE-B3AF-4D18-AEF6-72E5CC19170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67" name="Text Box 2">
          <a:extLst>
            <a:ext uri="{FF2B5EF4-FFF2-40B4-BE49-F238E27FC236}">
              <a16:creationId xmlns:a16="http://schemas.microsoft.com/office/drawing/2014/main" id="{1C7B4F02-9415-43B3-A984-C431CEA0B42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68" name="Text Box 1">
          <a:extLst>
            <a:ext uri="{FF2B5EF4-FFF2-40B4-BE49-F238E27FC236}">
              <a16:creationId xmlns:a16="http://schemas.microsoft.com/office/drawing/2014/main" id="{293F2922-534D-4CED-8789-32D914C9F74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69" name="Text Box 2">
          <a:extLst>
            <a:ext uri="{FF2B5EF4-FFF2-40B4-BE49-F238E27FC236}">
              <a16:creationId xmlns:a16="http://schemas.microsoft.com/office/drawing/2014/main" id="{322C914A-B3B5-497B-8DE1-91106DF6337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70" name="Text Box 1">
          <a:extLst>
            <a:ext uri="{FF2B5EF4-FFF2-40B4-BE49-F238E27FC236}">
              <a16:creationId xmlns:a16="http://schemas.microsoft.com/office/drawing/2014/main" id="{AE126B38-DAD6-4579-96B3-AEB877870BD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71" name="Text Box 2">
          <a:extLst>
            <a:ext uri="{FF2B5EF4-FFF2-40B4-BE49-F238E27FC236}">
              <a16:creationId xmlns:a16="http://schemas.microsoft.com/office/drawing/2014/main" id="{77ADB655-4C94-43A8-99E0-5D9152F027C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72" name="Text Box 1">
          <a:extLst>
            <a:ext uri="{FF2B5EF4-FFF2-40B4-BE49-F238E27FC236}">
              <a16:creationId xmlns:a16="http://schemas.microsoft.com/office/drawing/2014/main" id="{61738283-2E88-449E-A978-58077F05448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73" name="Text Box 2">
          <a:extLst>
            <a:ext uri="{FF2B5EF4-FFF2-40B4-BE49-F238E27FC236}">
              <a16:creationId xmlns:a16="http://schemas.microsoft.com/office/drawing/2014/main" id="{72BFE089-4222-4F6F-A9FC-05E51076875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74" name="Text Box 1">
          <a:extLst>
            <a:ext uri="{FF2B5EF4-FFF2-40B4-BE49-F238E27FC236}">
              <a16:creationId xmlns:a16="http://schemas.microsoft.com/office/drawing/2014/main" id="{FD5AE14E-44F1-43E6-8B12-0FF9CBA1E57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75" name="Text Box 2">
          <a:extLst>
            <a:ext uri="{FF2B5EF4-FFF2-40B4-BE49-F238E27FC236}">
              <a16:creationId xmlns:a16="http://schemas.microsoft.com/office/drawing/2014/main" id="{E9B1F007-3658-4B13-BE1E-9DBD44B7984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76" name="Text Box 1">
          <a:extLst>
            <a:ext uri="{FF2B5EF4-FFF2-40B4-BE49-F238E27FC236}">
              <a16:creationId xmlns:a16="http://schemas.microsoft.com/office/drawing/2014/main" id="{90996765-316E-421E-A37C-E1DD86A71A3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77" name="Text Box 2">
          <a:extLst>
            <a:ext uri="{FF2B5EF4-FFF2-40B4-BE49-F238E27FC236}">
              <a16:creationId xmlns:a16="http://schemas.microsoft.com/office/drawing/2014/main" id="{7608959D-45D5-42A8-8CCC-8CFDBDB0EFF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78" name="Text Box 1">
          <a:extLst>
            <a:ext uri="{FF2B5EF4-FFF2-40B4-BE49-F238E27FC236}">
              <a16:creationId xmlns:a16="http://schemas.microsoft.com/office/drawing/2014/main" id="{B3D91EAF-0EE5-43B5-A2E5-A95E110EDCA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79" name="Text Box 2">
          <a:extLst>
            <a:ext uri="{FF2B5EF4-FFF2-40B4-BE49-F238E27FC236}">
              <a16:creationId xmlns:a16="http://schemas.microsoft.com/office/drawing/2014/main" id="{00CCC2AF-19FC-4D14-9296-EC670B5FEC5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80" name="Text Box 1">
          <a:extLst>
            <a:ext uri="{FF2B5EF4-FFF2-40B4-BE49-F238E27FC236}">
              <a16:creationId xmlns:a16="http://schemas.microsoft.com/office/drawing/2014/main" id="{4BC792FE-809F-476A-8BB2-7524D16738A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81" name="Text Box 2">
          <a:extLst>
            <a:ext uri="{FF2B5EF4-FFF2-40B4-BE49-F238E27FC236}">
              <a16:creationId xmlns:a16="http://schemas.microsoft.com/office/drawing/2014/main" id="{818577F5-04AD-4B05-B13D-FFB1C6B6740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82" name="Text Box 1">
          <a:extLst>
            <a:ext uri="{FF2B5EF4-FFF2-40B4-BE49-F238E27FC236}">
              <a16:creationId xmlns:a16="http://schemas.microsoft.com/office/drawing/2014/main" id="{02EA372E-FB3B-4D2D-9736-3C2F48B6911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83" name="Text Box 2">
          <a:extLst>
            <a:ext uri="{FF2B5EF4-FFF2-40B4-BE49-F238E27FC236}">
              <a16:creationId xmlns:a16="http://schemas.microsoft.com/office/drawing/2014/main" id="{6A8934D1-441F-4827-AD45-B94B2928928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84" name="Text Box 1">
          <a:extLst>
            <a:ext uri="{FF2B5EF4-FFF2-40B4-BE49-F238E27FC236}">
              <a16:creationId xmlns:a16="http://schemas.microsoft.com/office/drawing/2014/main" id="{D5DF3C11-D2C0-4333-B9E4-5E1AA5249FA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85" name="Text Box 2">
          <a:extLst>
            <a:ext uri="{FF2B5EF4-FFF2-40B4-BE49-F238E27FC236}">
              <a16:creationId xmlns:a16="http://schemas.microsoft.com/office/drawing/2014/main" id="{536A3F69-0204-4988-B764-C433CC3F248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86" name="Text Box 1">
          <a:extLst>
            <a:ext uri="{FF2B5EF4-FFF2-40B4-BE49-F238E27FC236}">
              <a16:creationId xmlns:a16="http://schemas.microsoft.com/office/drawing/2014/main" id="{75BDE847-89AF-40D5-8DE9-D36E4E748A5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87" name="Text Box 2">
          <a:extLst>
            <a:ext uri="{FF2B5EF4-FFF2-40B4-BE49-F238E27FC236}">
              <a16:creationId xmlns:a16="http://schemas.microsoft.com/office/drawing/2014/main" id="{19494B06-5AD3-432D-A50F-7F82A297CE7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88" name="Text Box 1">
          <a:extLst>
            <a:ext uri="{FF2B5EF4-FFF2-40B4-BE49-F238E27FC236}">
              <a16:creationId xmlns:a16="http://schemas.microsoft.com/office/drawing/2014/main" id="{3299EC6D-ECE1-475F-B547-BCA4C9DBC49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89" name="Text Box 2">
          <a:extLst>
            <a:ext uri="{FF2B5EF4-FFF2-40B4-BE49-F238E27FC236}">
              <a16:creationId xmlns:a16="http://schemas.microsoft.com/office/drawing/2014/main" id="{E68906BA-399C-49AE-8988-65905BF6DD1E}"/>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90" name="Text Box 1">
          <a:extLst>
            <a:ext uri="{FF2B5EF4-FFF2-40B4-BE49-F238E27FC236}">
              <a16:creationId xmlns:a16="http://schemas.microsoft.com/office/drawing/2014/main" id="{310B7EFF-026D-4C5F-BEBC-5DDFBB0D610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91" name="Text Box 2">
          <a:extLst>
            <a:ext uri="{FF2B5EF4-FFF2-40B4-BE49-F238E27FC236}">
              <a16:creationId xmlns:a16="http://schemas.microsoft.com/office/drawing/2014/main" id="{7CB37D32-E7F5-4D5D-987C-0EB171FD95E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92" name="Text Box 1">
          <a:extLst>
            <a:ext uri="{FF2B5EF4-FFF2-40B4-BE49-F238E27FC236}">
              <a16:creationId xmlns:a16="http://schemas.microsoft.com/office/drawing/2014/main" id="{7007394C-4983-455E-8946-91282502F9D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93" name="Text Box 2">
          <a:extLst>
            <a:ext uri="{FF2B5EF4-FFF2-40B4-BE49-F238E27FC236}">
              <a16:creationId xmlns:a16="http://schemas.microsoft.com/office/drawing/2014/main" id="{373B52FE-6D81-4DA0-B049-CE7A794687D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94" name="Text Box 1">
          <a:extLst>
            <a:ext uri="{FF2B5EF4-FFF2-40B4-BE49-F238E27FC236}">
              <a16:creationId xmlns:a16="http://schemas.microsoft.com/office/drawing/2014/main" id="{BC82F750-2A82-4D49-A0F4-3BE5CD768E3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95" name="Text Box 2">
          <a:extLst>
            <a:ext uri="{FF2B5EF4-FFF2-40B4-BE49-F238E27FC236}">
              <a16:creationId xmlns:a16="http://schemas.microsoft.com/office/drawing/2014/main" id="{AC4BC8C9-BD2D-4652-8CB3-8CF0DB8C501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96" name="Text Box 1">
          <a:extLst>
            <a:ext uri="{FF2B5EF4-FFF2-40B4-BE49-F238E27FC236}">
              <a16:creationId xmlns:a16="http://schemas.microsoft.com/office/drawing/2014/main" id="{B574FCDB-27CC-4609-B3F6-49AD33F6027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97" name="Text Box 2">
          <a:extLst>
            <a:ext uri="{FF2B5EF4-FFF2-40B4-BE49-F238E27FC236}">
              <a16:creationId xmlns:a16="http://schemas.microsoft.com/office/drawing/2014/main" id="{37C35BD3-882D-4233-AA4A-E85CD416BFF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98" name="Text Box 1">
          <a:extLst>
            <a:ext uri="{FF2B5EF4-FFF2-40B4-BE49-F238E27FC236}">
              <a16:creationId xmlns:a16="http://schemas.microsoft.com/office/drawing/2014/main" id="{578AE4A2-5FCE-428F-A310-BA910596A7F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99" name="Text Box 2">
          <a:extLst>
            <a:ext uri="{FF2B5EF4-FFF2-40B4-BE49-F238E27FC236}">
              <a16:creationId xmlns:a16="http://schemas.microsoft.com/office/drawing/2014/main" id="{AFE4CE73-7C58-4950-B5CF-150653FF7FE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00" name="Text Box 1">
          <a:extLst>
            <a:ext uri="{FF2B5EF4-FFF2-40B4-BE49-F238E27FC236}">
              <a16:creationId xmlns:a16="http://schemas.microsoft.com/office/drawing/2014/main" id="{0C6C3A37-9CBF-4819-83CA-FD2BF532768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01" name="Text Box 2">
          <a:extLst>
            <a:ext uri="{FF2B5EF4-FFF2-40B4-BE49-F238E27FC236}">
              <a16:creationId xmlns:a16="http://schemas.microsoft.com/office/drawing/2014/main" id="{0662D9DB-CDEE-4D5D-9020-8581A99EEBC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02" name="Text Box 1">
          <a:extLst>
            <a:ext uri="{FF2B5EF4-FFF2-40B4-BE49-F238E27FC236}">
              <a16:creationId xmlns:a16="http://schemas.microsoft.com/office/drawing/2014/main" id="{46BDC1FB-AA78-450B-A718-8F7640E7988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03" name="Text Box 2">
          <a:extLst>
            <a:ext uri="{FF2B5EF4-FFF2-40B4-BE49-F238E27FC236}">
              <a16:creationId xmlns:a16="http://schemas.microsoft.com/office/drawing/2014/main" id="{8C444D6B-0006-473D-9448-6A58F7333E5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04" name="Text Box 1">
          <a:extLst>
            <a:ext uri="{FF2B5EF4-FFF2-40B4-BE49-F238E27FC236}">
              <a16:creationId xmlns:a16="http://schemas.microsoft.com/office/drawing/2014/main" id="{BA420691-D341-445F-8A8F-55C4EACEE6C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05" name="Text Box 2">
          <a:extLst>
            <a:ext uri="{FF2B5EF4-FFF2-40B4-BE49-F238E27FC236}">
              <a16:creationId xmlns:a16="http://schemas.microsoft.com/office/drawing/2014/main" id="{4615F883-B12D-4CF4-A5F2-AA6119E2B05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06" name="Text Box 1">
          <a:extLst>
            <a:ext uri="{FF2B5EF4-FFF2-40B4-BE49-F238E27FC236}">
              <a16:creationId xmlns:a16="http://schemas.microsoft.com/office/drawing/2014/main" id="{6CC72FCC-3F44-4387-918B-4D59125C8A3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07" name="Text Box 2">
          <a:extLst>
            <a:ext uri="{FF2B5EF4-FFF2-40B4-BE49-F238E27FC236}">
              <a16:creationId xmlns:a16="http://schemas.microsoft.com/office/drawing/2014/main" id="{7B484686-84C4-4B27-B9FB-9F93364C52B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08" name="Text Box 1">
          <a:extLst>
            <a:ext uri="{FF2B5EF4-FFF2-40B4-BE49-F238E27FC236}">
              <a16:creationId xmlns:a16="http://schemas.microsoft.com/office/drawing/2014/main" id="{83D5572E-AD00-4A3A-B5FD-D3746156569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09" name="Text Box 2">
          <a:extLst>
            <a:ext uri="{FF2B5EF4-FFF2-40B4-BE49-F238E27FC236}">
              <a16:creationId xmlns:a16="http://schemas.microsoft.com/office/drawing/2014/main" id="{9910C9DC-0A89-4263-8544-99192101E4A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10" name="Text Box 1">
          <a:extLst>
            <a:ext uri="{FF2B5EF4-FFF2-40B4-BE49-F238E27FC236}">
              <a16:creationId xmlns:a16="http://schemas.microsoft.com/office/drawing/2014/main" id="{89DA3E2E-E0FD-4DF0-ABD7-BCBDD89B3C0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11" name="Text Box 2">
          <a:extLst>
            <a:ext uri="{FF2B5EF4-FFF2-40B4-BE49-F238E27FC236}">
              <a16:creationId xmlns:a16="http://schemas.microsoft.com/office/drawing/2014/main" id="{E7F7F64B-CEFE-4B14-BB00-249ED4F8FB8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12" name="Text Box 1">
          <a:extLst>
            <a:ext uri="{FF2B5EF4-FFF2-40B4-BE49-F238E27FC236}">
              <a16:creationId xmlns:a16="http://schemas.microsoft.com/office/drawing/2014/main" id="{BC35625C-5D4A-411B-BE59-F27E32753EA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13" name="Text Box 2">
          <a:extLst>
            <a:ext uri="{FF2B5EF4-FFF2-40B4-BE49-F238E27FC236}">
              <a16:creationId xmlns:a16="http://schemas.microsoft.com/office/drawing/2014/main" id="{FF765B14-9A68-4F04-A9D7-BF768BBB27A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14" name="Text Box 1">
          <a:extLst>
            <a:ext uri="{FF2B5EF4-FFF2-40B4-BE49-F238E27FC236}">
              <a16:creationId xmlns:a16="http://schemas.microsoft.com/office/drawing/2014/main" id="{19A89F1D-B054-4A73-B080-F0CBFEECA92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15" name="Text Box 2">
          <a:extLst>
            <a:ext uri="{FF2B5EF4-FFF2-40B4-BE49-F238E27FC236}">
              <a16:creationId xmlns:a16="http://schemas.microsoft.com/office/drawing/2014/main" id="{47BA8EA7-8109-4623-B88B-C4036D668EC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16" name="Text Box 1">
          <a:extLst>
            <a:ext uri="{FF2B5EF4-FFF2-40B4-BE49-F238E27FC236}">
              <a16:creationId xmlns:a16="http://schemas.microsoft.com/office/drawing/2014/main" id="{39F8DEFB-260F-4846-844C-7C3359A43FE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17" name="Text Box 2">
          <a:extLst>
            <a:ext uri="{FF2B5EF4-FFF2-40B4-BE49-F238E27FC236}">
              <a16:creationId xmlns:a16="http://schemas.microsoft.com/office/drawing/2014/main" id="{4BD41F91-1B78-44D2-96DE-64B673B2F48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18" name="Text Box 1">
          <a:extLst>
            <a:ext uri="{FF2B5EF4-FFF2-40B4-BE49-F238E27FC236}">
              <a16:creationId xmlns:a16="http://schemas.microsoft.com/office/drawing/2014/main" id="{1DA007DA-CE95-4947-BCAA-2D436A7FEF2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19" name="Text Box 2">
          <a:extLst>
            <a:ext uri="{FF2B5EF4-FFF2-40B4-BE49-F238E27FC236}">
              <a16:creationId xmlns:a16="http://schemas.microsoft.com/office/drawing/2014/main" id="{23BBE1E6-64B6-45E1-A7BE-DF1663D99C1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20" name="Text Box 1">
          <a:extLst>
            <a:ext uri="{FF2B5EF4-FFF2-40B4-BE49-F238E27FC236}">
              <a16:creationId xmlns:a16="http://schemas.microsoft.com/office/drawing/2014/main" id="{7A44F149-C74F-4299-9088-9869CE74E7F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21" name="Text Box 2">
          <a:extLst>
            <a:ext uri="{FF2B5EF4-FFF2-40B4-BE49-F238E27FC236}">
              <a16:creationId xmlns:a16="http://schemas.microsoft.com/office/drawing/2014/main" id="{C3F7EEE7-86BC-4775-8A47-7018748BE82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322" name="Text Box 1">
          <a:extLst>
            <a:ext uri="{FF2B5EF4-FFF2-40B4-BE49-F238E27FC236}">
              <a16:creationId xmlns:a16="http://schemas.microsoft.com/office/drawing/2014/main" id="{C5A3AF80-61FE-41DB-BA21-4064BDE5CB0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323" name="Text Box 2">
          <a:extLst>
            <a:ext uri="{FF2B5EF4-FFF2-40B4-BE49-F238E27FC236}">
              <a16:creationId xmlns:a16="http://schemas.microsoft.com/office/drawing/2014/main" id="{DAA666D1-41D4-401E-996B-464457FB363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24" name="Text Box 1">
          <a:extLst>
            <a:ext uri="{FF2B5EF4-FFF2-40B4-BE49-F238E27FC236}">
              <a16:creationId xmlns:a16="http://schemas.microsoft.com/office/drawing/2014/main" id="{62246BCE-4CDD-48DB-9DFD-339F102ACE8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25" name="Text Box 2">
          <a:extLst>
            <a:ext uri="{FF2B5EF4-FFF2-40B4-BE49-F238E27FC236}">
              <a16:creationId xmlns:a16="http://schemas.microsoft.com/office/drawing/2014/main" id="{81F52E75-8E7A-4DF1-88E7-8DADF9D9D3C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326" name="Text Box 1">
          <a:extLst>
            <a:ext uri="{FF2B5EF4-FFF2-40B4-BE49-F238E27FC236}">
              <a16:creationId xmlns:a16="http://schemas.microsoft.com/office/drawing/2014/main" id="{3A4F96D0-1E6F-48E0-98B0-401249630C9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327" name="Text Box 2">
          <a:extLst>
            <a:ext uri="{FF2B5EF4-FFF2-40B4-BE49-F238E27FC236}">
              <a16:creationId xmlns:a16="http://schemas.microsoft.com/office/drawing/2014/main" id="{8CC2A18C-A9D6-4C7E-B7E8-F3F62BC1013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28" name="Text Box 1">
          <a:extLst>
            <a:ext uri="{FF2B5EF4-FFF2-40B4-BE49-F238E27FC236}">
              <a16:creationId xmlns:a16="http://schemas.microsoft.com/office/drawing/2014/main" id="{65DC833E-F0CA-4942-B474-F587FE2A097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29" name="Text Box 2">
          <a:extLst>
            <a:ext uri="{FF2B5EF4-FFF2-40B4-BE49-F238E27FC236}">
              <a16:creationId xmlns:a16="http://schemas.microsoft.com/office/drawing/2014/main" id="{938423D9-C425-4EF7-A1DA-C1ED00B2675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30" name="Text Box 1">
          <a:extLst>
            <a:ext uri="{FF2B5EF4-FFF2-40B4-BE49-F238E27FC236}">
              <a16:creationId xmlns:a16="http://schemas.microsoft.com/office/drawing/2014/main" id="{FF198203-6B02-44CF-83B3-29314B9F9BB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31" name="Text Box 2">
          <a:extLst>
            <a:ext uri="{FF2B5EF4-FFF2-40B4-BE49-F238E27FC236}">
              <a16:creationId xmlns:a16="http://schemas.microsoft.com/office/drawing/2014/main" id="{EB93647F-1A5E-4510-A4DF-C97E0F0E40D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32" name="Text Box 1">
          <a:extLst>
            <a:ext uri="{FF2B5EF4-FFF2-40B4-BE49-F238E27FC236}">
              <a16:creationId xmlns:a16="http://schemas.microsoft.com/office/drawing/2014/main" id="{BDE63E41-3ACE-4CFB-A025-C87DF388ED2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33" name="Text Box 2">
          <a:extLst>
            <a:ext uri="{FF2B5EF4-FFF2-40B4-BE49-F238E27FC236}">
              <a16:creationId xmlns:a16="http://schemas.microsoft.com/office/drawing/2014/main" id="{C805B8FF-5147-4002-9534-A11DB914437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34" name="Text Box 1">
          <a:extLst>
            <a:ext uri="{FF2B5EF4-FFF2-40B4-BE49-F238E27FC236}">
              <a16:creationId xmlns:a16="http://schemas.microsoft.com/office/drawing/2014/main" id="{4F78FB81-05AA-47C3-A4E4-B7C582F7988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35" name="Text Box 2">
          <a:extLst>
            <a:ext uri="{FF2B5EF4-FFF2-40B4-BE49-F238E27FC236}">
              <a16:creationId xmlns:a16="http://schemas.microsoft.com/office/drawing/2014/main" id="{6F6B412C-2700-456C-A360-666751B4701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36" name="Text Box 1">
          <a:extLst>
            <a:ext uri="{FF2B5EF4-FFF2-40B4-BE49-F238E27FC236}">
              <a16:creationId xmlns:a16="http://schemas.microsoft.com/office/drawing/2014/main" id="{483066D0-75F9-495E-84C9-DC0ACE7AB08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37" name="Text Box 2">
          <a:extLst>
            <a:ext uri="{FF2B5EF4-FFF2-40B4-BE49-F238E27FC236}">
              <a16:creationId xmlns:a16="http://schemas.microsoft.com/office/drawing/2014/main" id="{667DD4A7-F245-4719-A09D-EC0472FA1EC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38" name="Text Box 1">
          <a:extLst>
            <a:ext uri="{FF2B5EF4-FFF2-40B4-BE49-F238E27FC236}">
              <a16:creationId xmlns:a16="http://schemas.microsoft.com/office/drawing/2014/main" id="{D668B33C-6777-4025-BF77-3AF919271E9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39" name="Text Box 2">
          <a:extLst>
            <a:ext uri="{FF2B5EF4-FFF2-40B4-BE49-F238E27FC236}">
              <a16:creationId xmlns:a16="http://schemas.microsoft.com/office/drawing/2014/main" id="{166DACCB-32A3-4A96-BF64-33E88FB2C1E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40" name="Text Box 1">
          <a:extLst>
            <a:ext uri="{FF2B5EF4-FFF2-40B4-BE49-F238E27FC236}">
              <a16:creationId xmlns:a16="http://schemas.microsoft.com/office/drawing/2014/main" id="{AA1C900E-F157-45B2-889E-1FD2A3D2E27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41" name="Text Box 2">
          <a:extLst>
            <a:ext uri="{FF2B5EF4-FFF2-40B4-BE49-F238E27FC236}">
              <a16:creationId xmlns:a16="http://schemas.microsoft.com/office/drawing/2014/main" id="{37693D41-62B3-4D8E-B6C5-49E71123095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42" name="Text Box 1">
          <a:extLst>
            <a:ext uri="{FF2B5EF4-FFF2-40B4-BE49-F238E27FC236}">
              <a16:creationId xmlns:a16="http://schemas.microsoft.com/office/drawing/2014/main" id="{4782482A-C5A1-47A2-8DDC-06A67475F05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43" name="Text Box 2">
          <a:extLst>
            <a:ext uri="{FF2B5EF4-FFF2-40B4-BE49-F238E27FC236}">
              <a16:creationId xmlns:a16="http://schemas.microsoft.com/office/drawing/2014/main" id="{CBCCCDA0-9BD1-40B7-8AC0-F90CAD9D23B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44" name="Text Box 1">
          <a:extLst>
            <a:ext uri="{FF2B5EF4-FFF2-40B4-BE49-F238E27FC236}">
              <a16:creationId xmlns:a16="http://schemas.microsoft.com/office/drawing/2014/main" id="{53DC7969-884D-46DF-B770-B9E8553409B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45" name="Text Box 2">
          <a:extLst>
            <a:ext uri="{FF2B5EF4-FFF2-40B4-BE49-F238E27FC236}">
              <a16:creationId xmlns:a16="http://schemas.microsoft.com/office/drawing/2014/main" id="{685AA81B-EF83-49E2-8031-E76A428BD3D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46" name="Text Box 1">
          <a:extLst>
            <a:ext uri="{FF2B5EF4-FFF2-40B4-BE49-F238E27FC236}">
              <a16:creationId xmlns:a16="http://schemas.microsoft.com/office/drawing/2014/main" id="{80BB691E-FD96-43F2-B1E7-9982D4615D6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47" name="Text Box 2">
          <a:extLst>
            <a:ext uri="{FF2B5EF4-FFF2-40B4-BE49-F238E27FC236}">
              <a16:creationId xmlns:a16="http://schemas.microsoft.com/office/drawing/2014/main" id="{EF756FAF-B1FA-4961-965A-D45C8F88803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48" name="Text Box 1">
          <a:extLst>
            <a:ext uri="{FF2B5EF4-FFF2-40B4-BE49-F238E27FC236}">
              <a16:creationId xmlns:a16="http://schemas.microsoft.com/office/drawing/2014/main" id="{5DF2DE6F-14A5-4901-9054-791155E40DB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49" name="Text Box 2">
          <a:extLst>
            <a:ext uri="{FF2B5EF4-FFF2-40B4-BE49-F238E27FC236}">
              <a16:creationId xmlns:a16="http://schemas.microsoft.com/office/drawing/2014/main" id="{58BA3523-E11F-4AB2-BC52-7BB7C5FA8CB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350" name="Text Box 1">
          <a:extLst>
            <a:ext uri="{FF2B5EF4-FFF2-40B4-BE49-F238E27FC236}">
              <a16:creationId xmlns:a16="http://schemas.microsoft.com/office/drawing/2014/main" id="{57BC8DAB-FA88-47E4-AEAE-91493E5D3F7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351" name="Text Box 2">
          <a:extLst>
            <a:ext uri="{FF2B5EF4-FFF2-40B4-BE49-F238E27FC236}">
              <a16:creationId xmlns:a16="http://schemas.microsoft.com/office/drawing/2014/main" id="{ADFFC652-000A-4461-B6E5-9D22BCE9258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352" name="Text Box 1">
          <a:extLst>
            <a:ext uri="{FF2B5EF4-FFF2-40B4-BE49-F238E27FC236}">
              <a16:creationId xmlns:a16="http://schemas.microsoft.com/office/drawing/2014/main" id="{DF760644-4309-4231-983B-3DCEBD5B725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353" name="Text Box 2">
          <a:extLst>
            <a:ext uri="{FF2B5EF4-FFF2-40B4-BE49-F238E27FC236}">
              <a16:creationId xmlns:a16="http://schemas.microsoft.com/office/drawing/2014/main" id="{81D2216E-06F3-4195-9D44-C34C3A6433E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54" name="Text Box 1">
          <a:extLst>
            <a:ext uri="{FF2B5EF4-FFF2-40B4-BE49-F238E27FC236}">
              <a16:creationId xmlns:a16="http://schemas.microsoft.com/office/drawing/2014/main" id="{CA415D52-2E3C-4B62-ACB5-ECB07703509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55" name="Text Box 2">
          <a:extLst>
            <a:ext uri="{FF2B5EF4-FFF2-40B4-BE49-F238E27FC236}">
              <a16:creationId xmlns:a16="http://schemas.microsoft.com/office/drawing/2014/main" id="{9560DED6-9C9A-4C55-9127-DD8EBE5CEB1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56" name="Text Box 1">
          <a:extLst>
            <a:ext uri="{FF2B5EF4-FFF2-40B4-BE49-F238E27FC236}">
              <a16:creationId xmlns:a16="http://schemas.microsoft.com/office/drawing/2014/main" id="{8E106709-53A2-4B05-835A-084DCA18C20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57" name="Text Box 2">
          <a:extLst>
            <a:ext uri="{FF2B5EF4-FFF2-40B4-BE49-F238E27FC236}">
              <a16:creationId xmlns:a16="http://schemas.microsoft.com/office/drawing/2014/main" id="{D8E00E5F-9C6A-4581-BE13-028626C6D6B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58" name="Text Box 1">
          <a:extLst>
            <a:ext uri="{FF2B5EF4-FFF2-40B4-BE49-F238E27FC236}">
              <a16:creationId xmlns:a16="http://schemas.microsoft.com/office/drawing/2014/main" id="{3E6FC2DD-DE6C-4D59-8EF3-B1B53D754D2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59" name="Text Box 2">
          <a:extLst>
            <a:ext uri="{FF2B5EF4-FFF2-40B4-BE49-F238E27FC236}">
              <a16:creationId xmlns:a16="http://schemas.microsoft.com/office/drawing/2014/main" id="{AD810592-C89A-457B-9A0B-9FE34575EBA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60" name="Text Box 1">
          <a:extLst>
            <a:ext uri="{FF2B5EF4-FFF2-40B4-BE49-F238E27FC236}">
              <a16:creationId xmlns:a16="http://schemas.microsoft.com/office/drawing/2014/main" id="{75AE64F4-A50A-4C38-9646-5FAD990F2B7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61" name="Text Box 2">
          <a:extLst>
            <a:ext uri="{FF2B5EF4-FFF2-40B4-BE49-F238E27FC236}">
              <a16:creationId xmlns:a16="http://schemas.microsoft.com/office/drawing/2014/main" id="{B81321A8-2483-413E-BBED-1B5FFEB48EE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362" name="Text Box 1">
          <a:extLst>
            <a:ext uri="{FF2B5EF4-FFF2-40B4-BE49-F238E27FC236}">
              <a16:creationId xmlns:a16="http://schemas.microsoft.com/office/drawing/2014/main" id="{C6E08745-9A5D-4369-8447-1810EA77C5A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363" name="Text Box 2">
          <a:extLst>
            <a:ext uri="{FF2B5EF4-FFF2-40B4-BE49-F238E27FC236}">
              <a16:creationId xmlns:a16="http://schemas.microsoft.com/office/drawing/2014/main" id="{8B9654E0-5EEE-46D8-AB51-56034FEFA51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364" name="Text Box 1">
          <a:extLst>
            <a:ext uri="{FF2B5EF4-FFF2-40B4-BE49-F238E27FC236}">
              <a16:creationId xmlns:a16="http://schemas.microsoft.com/office/drawing/2014/main" id="{B5B82B22-95A5-4BCF-A2EF-B696220EABB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365" name="Text Box 2">
          <a:extLst>
            <a:ext uri="{FF2B5EF4-FFF2-40B4-BE49-F238E27FC236}">
              <a16:creationId xmlns:a16="http://schemas.microsoft.com/office/drawing/2014/main" id="{7F15405E-9E8B-47B0-924C-6D1686025FF8}"/>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66" name="Text Box 1">
          <a:extLst>
            <a:ext uri="{FF2B5EF4-FFF2-40B4-BE49-F238E27FC236}">
              <a16:creationId xmlns:a16="http://schemas.microsoft.com/office/drawing/2014/main" id="{ADE4732B-4AF3-44EE-9794-01A2D98C01A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67" name="Text Box 2">
          <a:extLst>
            <a:ext uri="{FF2B5EF4-FFF2-40B4-BE49-F238E27FC236}">
              <a16:creationId xmlns:a16="http://schemas.microsoft.com/office/drawing/2014/main" id="{F84D9FB9-618B-461C-B527-D5BCED8A977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68" name="Text Box 1">
          <a:extLst>
            <a:ext uri="{FF2B5EF4-FFF2-40B4-BE49-F238E27FC236}">
              <a16:creationId xmlns:a16="http://schemas.microsoft.com/office/drawing/2014/main" id="{862C9037-AD67-4863-BFA7-3221D309C9C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69" name="Text Box 2">
          <a:extLst>
            <a:ext uri="{FF2B5EF4-FFF2-40B4-BE49-F238E27FC236}">
              <a16:creationId xmlns:a16="http://schemas.microsoft.com/office/drawing/2014/main" id="{A3C0DEE0-1148-474A-8DA3-5DA8799BFB1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370" name="Text Box 1">
          <a:extLst>
            <a:ext uri="{FF2B5EF4-FFF2-40B4-BE49-F238E27FC236}">
              <a16:creationId xmlns:a16="http://schemas.microsoft.com/office/drawing/2014/main" id="{4321E828-AC93-4C45-8DA3-99D339E9D6F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371" name="Text Box 2">
          <a:extLst>
            <a:ext uri="{FF2B5EF4-FFF2-40B4-BE49-F238E27FC236}">
              <a16:creationId xmlns:a16="http://schemas.microsoft.com/office/drawing/2014/main" id="{D2133EF9-CD0B-4960-88EC-10461E5680B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372" name="Text Box 1">
          <a:extLst>
            <a:ext uri="{FF2B5EF4-FFF2-40B4-BE49-F238E27FC236}">
              <a16:creationId xmlns:a16="http://schemas.microsoft.com/office/drawing/2014/main" id="{5FEE3DCA-7601-4835-A638-5866A47EF5F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373" name="Text Box 2">
          <a:extLst>
            <a:ext uri="{FF2B5EF4-FFF2-40B4-BE49-F238E27FC236}">
              <a16:creationId xmlns:a16="http://schemas.microsoft.com/office/drawing/2014/main" id="{AB23B6D3-F0C6-4DB2-A761-9CE1481A9875}"/>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74" name="Text Box 1">
          <a:extLst>
            <a:ext uri="{FF2B5EF4-FFF2-40B4-BE49-F238E27FC236}">
              <a16:creationId xmlns:a16="http://schemas.microsoft.com/office/drawing/2014/main" id="{015C65D5-897E-451D-AE8E-2B9CFD9D645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75" name="Text Box 2">
          <a:extLst>
            <a:ext uri="{FF2B5EF4-FFF2-40B4-BE49-F238E27FC236}">
              <a16:creationId xmlns:a16="http://schemas.microsoft.com/office/drawing/2014/main" id="{977CC5F7-60F5-4C65-A0CF-9A16C84B670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76" name="Text Box 1">
          <a:extLst>
            <a:ext uri="{FF2B5EF4-FFF2-40B4-BE49-F238E27FC236}">
              <a16:creationId xmlns:a16="http://schemas.microsoft.com/office/drawing/2014/main" id="{C70C0D84-AF7C-4256-895A-5CB785AED89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77" name="Text Box 2">
          <a:extLst>
            <a:ext uri="{FF2B5EF4-FFF2-40B4-BE49-F238E27FC236}">
              <a16:creationId xmlns:a16="http://schemas.microsoft.com/office/drawing/2014/main" id="{DAEB7659-D868-44EE-BA8C-BF9610BFB59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378" name="Text Box 1">
          <a:extLst>
            <a:ext uri="{FF2B5EF4-FFF2-40B4-BE49-F238E27FC236}">
              <a16:creationId xmlns:a16="http://schemas.microsoft.com/office/drawing/2014/main" id="{83EB0ABF-983A-4633-BDE5-886D1F1E6FA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379" name="Text Box 2">
          <a:extLst>
            <a:ext uri="{FF2B5EF4-FFF2-40B4-BE49-F238E27FC236}">
              <a16:creationId xmlns:a16="http://schemas.microsoft.com/office/drawing/2014/main" id="{6480F5B7-C3E3-494E-ABFA-1AD94C64A36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80" name="Text Box 1">
          <a:extLst>
            <a:ext uri="{FF2B5EF4-FFF2-40B4-BE49-F238E27FC236}">
              <a16:creationId xmlns:a16="http://schemas.microsoft.com/office/drawing/2014/main" id="{6CCF2006-5754-4324-A64A-2B333AD5722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81" name="Text Box 2">
          <a:extLst>
            <a:ext uri="{FF2B5EF4-FFF2-40B4-BE49-F238E27FC236}">
              <a16:creationId xmlns:a16="http://schemas.microsoft.com/office/drawing/2014/main" id="{74EDAACC-B8F1-4935-AA83-ECD1370A08C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382" name="Text Box 1">
          <a:extLst>
            <a:ext uri="{FF2B5EF4-FFF2-40B4-BE49-F238E27FC236}">
              <a16:creationId xmlns:a16="http://schemas.microsoft.com/office/drawing/2014/main" id="{20D82481-1FB1-4013-A0EC-497C7320B51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383" name="Text Box 2">
          <a:extLst>
            <a:ext uri="{FF2B5EF4-FFF2-40B4-BE49-F238E27FC236}">
              <a16:creationId xmlns:a16="http://schemas.microsoft.com/office/drawing/2014/main" id="{BCAB2D7E-3201-4059-9ACD-55FE8B3D40F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384" name="Text Box 1">
          <a:extLst>
            <a:ext uri="{FF2B5EF4-FFF2-40B4-BE49-F238E27FC236}">
              <a16:creationId xmlns:a16="http://schemas.microsoft.com/office/drawing/2014/main" id="{0F4E624E-B7DB-404E-82FA-9BE2056B386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385" name="Text Box 2">
          <a:extLst>
            <a:ext uri="{FF2B5EF4-FFF2-40B4-BE49-F238E27FC236}">
              <a16:creationId xmlns:a16="http://schemas.microsoft.com/office/drawing/2014/main" id="{9640BB85-5F8A-41C1-AE3B-0BB23D6E7FB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86" name="Text Box 1">
          <a:extLst>
            <a:ext uri="{FF2B5EF4-FFF2-40B4-BE49-F238E27FC236}">
              <a16:creationId xmlns:a16="http://schemas.microsoft.com/office/drawing/2014/main" id="{D378C069-CD21-4D38-A8FD-994FDCD783F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87" name="Text Box 2">
          <a:extLst>
            <a:ext uri="{FF2B5EF4-FFF2-40B4-BE49-F238E27FC236}">
              <a16:creationId xmlns:a16="http://schemas.microsoft.com/office/drawing/2014/main" id="{A8BE6732-53DA-45A2-BC21-500AD546175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88" name="Text Box 1">
          <a:extLst>
            <a:ext uri="{FF2B5EF4-FFF2-40B4-BE49-F238E27FC236}">
              <a16:creationId xmlns:a16="http://schemas.microsoft.com/office/drawing/2014/main" id="{5056AAFD-EAFC-47CE-8D55-818EC7609A4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89" name="Text Box 2">
          <a:extLst>
            <a:ext uri="{FF2B5EF4-FFF2-40B4-BE49-F238E27FC236}">
              <a16:creationId xmlns:a16="http://schemas.microsoft.com/office/drawing/2014/main" id="{3AA5B17F-C0C9-42A8-A226-A1DBD513239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90" name="Text Box 1">
          <a:extLst>
            <a:ext uri="{FF2B5EF4-FFF2-40B4-BE49-F238E27FC236}">
              <a16:creationId xmlns:a16="http://schemas.microsoft.com/office/drawing/2014/main" id="{638FEC35-33E2-4159-BEAD-6A5E719531A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91" name="Text Box 2">
          <a:extLst>
            <a:ext uri="{FF2B5EF4-FFF2-40B4-BE49-F238E27FC236}">
              <a16:creationId xmlns:a16="http://schemas.microsoft.com/office/drawing/2014/main" id="{BAA8A1A9-204B-4404-8B3A-AB597D3DF52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392" name="Text Box 1">
          <a:extLst>
            <a:ext uri="{FF2B5EF4-FFF2-40B4-BE49-F238E27FC236}">
              <a16:creationId xmlns:a16="http://schemas.microsoft.com/office/drawing/2014/main" id="{D6E6A2D7-F23C-4866-9B8E-298A96E47DC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393" name="Text Box 2">
          <a:extLst>
            <a:ext uri="{FF2B5EF4-FFF2-40B4-BE49-F238E27FC236}">
              <a16:creationId xmlns:a16="http://schemas.microsoft.com/office/drawing/2014/main" id="{B6FCEEDF-BC85-4DC1-B66D-F06086F72F8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94" name="Text Box 1">
          <a:extLst>
            <a:ext uri="{FF2B5EF4-FFF2-40B4-BE49-F238E27FC236}">
              <a16:creationId xmlns:a16="http://schemas.microsoft.com/office/drawing/2014/main" id="{FCD58675-9CDF-4F3D-963D-DE752A88736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95" name="Text Box 2">
          <a:extLst>
            <a:ext uri="{FF2B5EF4-FFF2-40B4-BE49-F238E27FC236}">
              <a16:creationId xmlns:a16="http://schemas.microsoft.com/office/drawing/2014/main" id="{5D6B0EDB-314C-4B44-8108-D995E6CF07E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396" name="Text Box 1">
          <a:extLst>
            <a:ext uri="{FF2B5EF4-FFF2-40B4-BE49-F238E27FC236}">
              <a16:creationId xmlns:a16="http://schemas.microsoft.com/office/drawing/2014/main" id="{04BBF517-341F-49E0-9D7B-E687CAC374B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397" name="Text Box 2">
          <a:extLst>
            <a:ext uri="{FF2B5EF4-FFF2-40B4-BE49-F238E27FC236}">
              <a16:creationId xmlns:a16="http://schemas.microsoft.com/office/drawing/2014/main" id="{C64E2F0B-2D40-4664-A52E-CF9D3AA1607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98" name="Text Box 1">
          <a:extLst>
            <a:ext uri="{FF2B5EF4-FFF2-40B4-BE49-F238E27FC236}">
              <a16:creationId xmlns:a16="http://schemas.microsoft.com/office/drawing/2014/main" id="{33018834-A0E8-40FD-B570-C7BDAF02FBC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99" name="Text Box 2">
          <a:extLst>
            <a:ext uri="{FF2B5EF4-FFF2-40B4-BE49-F238E27FC236}">
              <a16:creationId xmlns:a16="http://schemas.microsoft.com/office/drawing/2014/main" id="{BD63CBD7-3DA5-4395-8443-A043B2C7682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00" name="Text Box 1">
          <a:extLst>
            <a:ext uri="{FF2B5EF4-FFF2-40B4-BE49-F238E27FC236}">
              <a16:creationId xmlns:a16="http://schemas.microsoft.com/office/drawing/2014/main" id="{7A64552D-58E7-48BB-BCCD-48CBDA0F976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01" name="Text Box 2">
          <a:extLst>
            <a:ext uri="{FF2B5EF4-FFF2-40B4-BE49-F238E27FC236}">
              <a16:creationId xmlns:a16="http://schemas.microsoft.com/office/drawing/2014/main" id="{57DD24AD-847D-4ABC-B960-D8F064D1A8F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02" name="Text Box 1">
          <a:extLst>
            <a:ext uri="{FF2B5EF4-FFF2-40B4-BE49-F238E27FC236}">
              <a16:creationId xmlns:a16="http://schemas.microsoft.com/office/drawing/2014/main" id="{1D0DEE2E-A510-4F2C-9771-B8D1488798C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03" name="Text Box 2">
          <a:extLst>
            <a:ext uri="{FF2B5EF4-FFF2-40B4-BE49-F238E27FC236}">
              <a16:creationId xmlns:a16="http://schemas.microsoft.com/office/drawing/2014/main" id="{86D0751A-9F80-4B3E-8BAB-A420C46A38B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04" name="Text Box 1">
          <a:extLst>
            <a:ext uri="{FF2B5EF4-FFF2-40B4-BE49-F238E27FC236}">
              <a16:creationId xmlns:a16="http://schemas.microsoft.com/office/drawing/2014/main" id="{25A3F999-BFBE-43B0-BACC-6F48CE94961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05" name="Text Box 2">
          <a:extLst>
            <a:ext uri="{FF2B5EF4-FFF2-40B4-BE49-F238E27FC236}">
              <a16:creationId xmlns:a16="http://schemas.microsoft.com/office/drawing/2014/main" id="{0E3FB1E4-7081-4279-8241-DDD52ECF925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06" name="Text Box 1">
          <a:extLst>
            <a:ext uri="{FF2B5EF4-FFF2-40B4-BE49-F238E27FC236}">
              <a16:creationId xmlns:a16="http://schemas.microsoft.com/office/drawing/2014/main" id="{F32FBCDA-17A0-4382-B193-3A979344059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07" name="Text Box 2">
          <a:extLst>
            <a:ext uri="{FF2B5EF4-FFF2-40B4-BE49-F238E27FC236}">
              <a16:creationId xmlns:a16="http://schemas.microsoft.com/office/drawing/2014/main" id="{84678A9F-0E30-4700-AC92-12D881456C1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08" name="Text Box 1">
          <a:extLst>
            <a:ext uri="{FF2B5EF4-FFF2-40B4-BE49-F238E27FC236}">
              <a16:creationId xmlns:a16="http://schemas.microsoft.com/office/drawing/2014/main" id="{DAFC65E2-48AC-487F-8A24-839935C642C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09" name="Text Box 2">
          <a:extLst>
            <a:ext uri="{FF2B5EF4-FFF2-40B4-BE49-F238E27FC236}">
              <a16:creationId xmlns:a16="http://schemas.microsoft.com/office/drawing/2014/main" id="{1C44E1B2-382D-47B9-A192-0D1EB7B20EE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10" name="Text Box 1">
          <a:extLst>
            <a:ext uri="{FF2B5EF4-FFF2-40B4-BE49-F238E27FC236}">
              <a16:creationId xmlns:a16="http://schemas.microsoft.com/office/drawing/2014/main" id="{413A8DC7-049A-4418-BFB3-11BD643A791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11" name="Text Box 2">
          <a:extLst>
            <a:ext uri="{FF2B5EF4-FFF2-40B4-BE49-F238E27FC236}">
              <a16:creationId xmlns:a16="http://schemas.microsoft.com/office/drawing/2014/main" id="{7A33877E-544D-41F7-B69F-04CA686F3BA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12" name="Text Box 1">
          <a:extLst>
            <a:ext uri="{FF2B5EF4-FFF2-40B4-BE49-F238E27FC236}">
              <a16:creationId xmlns:a16="http://schemas.microsoft.com/office/drawing/2014/main" id="{289CB6C0-6E04-47EF-AEEA-378F7268C12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13" name="Text Box 2">
          <a:extLst>
            <a:ext uri="{FF2B5EF4-FFF2-40B4-BE49-F238E27FC236}">
              <a16:creationId xmlns:a16="http://schemas.microsoft.com/office/drawing/2014/main" id="{19004D1E-52EF-4746-B1AF-DB91AF8220C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14" name="Text Box 2">
          <a:extLst>
            <a:ext uri="{FF2B5EF4-FFF2-40B4-BE49-F238E27FC236}">
              <a16:creationId xmlns:a16="http://schemas.microsoft.com/office/drawing/2014/main" id="{C157878F-96B6-424F-88F2-0AF11711A7E1}"/>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15" name="Text Box 1">
          <a:extLst>
            <a:ext uri="{FF2B5EF4-FFF2-40B4-BE49-F238E27FC236}">
              <a16:creationId xmlns:a16="http://schemas.microsoft.com/office/drawing/2014/main" id="{FC548AC4-29DC-4047-9ABF-6BBA12D2347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16" name="Text Box 2">
          <a:extLst>
            <a:ext uri="{FF2B5EF4-FFF2-40B4-BE49-F238E27FC236}">
              <a16:creationId xmlns:a16="http://schemas.microsoft.com/office/drawing/2014/main" id="{FBC9C73F-9A66-4962-993D-2DF36225DFD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17" name="Text Box 1">
          <a:extLst>
            <a:ext uri="{FF2B5EF4-FFF2-40B4-BE49-F238E27FC236}">
              <a16:creationId xmlns:a16="http://schemas.microsoft.com/office/drawing/2014/main" id="{E1279469-5609-4B3C-992A-7524C3AF58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18" name="Text Box 2">
          <a:extLst>
            <a:ext uri="{FF2B5EF4-FFF2-40B4-BE49-F238E27FC236}">
              <a16:creationId xmlns:a16="http://schemas.microsoft.com/office/drawing/2014/main" id="{C94C1676-602E-417E-A02D-213B796D8EB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419" name="Text Box 1">
          <a:extLst>
            <a:ext uri="{FF2B5EF4-FFF2-40B4-BE49-F238E27FC236}">
              <a16:creationId xmlns:a16="http://schemas.microsoft.com/office/drawing/2014/main" id="{01BD37BB-939C-4967-B089-4E38352B707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420" name="Text Box 2">
          <a:extLst>
            <a:ext uri="{FF2B5EF4-FFF2-40B4-BE49-F238E27FC236}">
              <a16:creationId xmlns:a16="http://schemas.microsoft.com/office/drawing/2014/main" id="{DC4BE924-B331-4295-BFE3-5EB7CBAE9D3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21" name="Text Box 1">
          <a:extLst>
            <a:ext uri="{FF2B5EF4-FFF2-40B4-BE49-F238E27FC236}">
              <a16:creationId xmlns:a16="http://schemas.microsoft.com/office/drawing/2014/main" id="{5F3CC493-5D3A-4ADD-B2F4-9FB43454BC4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22" name="Text Box 2">
          <a:extLst>
            <a:ext uri="{FF2B5EF4-FFF2-40B4-BE49-F238E27FC236}">
              <a16:creationId xmlns:a16="http://schemas.microsoft.com/office/drawing/2014/main" id="{ED1B89EE-3744-4AA1-860D-BBEC4A11182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23" name="Text Box 2">
          <a:extLst>
            <a:ext uri="{FF2B5EF4-FFF2-40B4-BE49-F238E27FC236}">
              <a16:creationId xmlns:a16="http://schemas.microsoft.com/office/drawing/2014/main" id="{C01081C2-D7A7-433A-A891-393E1E32CE5B}"/>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24" name="Text Box 1">
          <a:extLst>
            <a:ext uri="{FF2B5EF4-FFF2-40B4-BE49-F238E27FC236}">
              <a16:creationId xmlns:a16="http://schemas.microsoft.com/office/drawing/2014/main" id="{16222522-F731-4600-BB39-A3FBB0DEE9A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25" name="Text Box 2">
          <a:extLst>
            <a:ext uri="{FF2B5EF4-FFF2-40B4-BE49-F238E27FC236}">
              <a16:creationId xmlns:a16="http://schemas.microsoft.com/office/drawing/2014/main" id="{0325B06C-E435-453E-9274-DC76788C56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26" name="Text Box 2">
          <a:extLst>
            <a:ext uri="{FF2B5EF4-FFF2-40B4-BE49-F238E27FC236}">
              <a16:creationId xmlns:a16="http://schemas.microsoft.com/office/drawing/2014/main" id="{BF5D96FF-400C-4289-A635-31E1DED3218A}"/>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27" name="Text Box 1">
          <a:extLst>
            <a:ext uri="{FF2B5EF4-FFF2-40B4-BE49-F238E27FC236}">
              <a16:creationId xmlns:a16="http://schemas.microsoft.com/office/drawing/2014/main" id="{F9CCB06A-0800-4445-8025-EA70CDF0CBE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28" name="Text Box 2">
          <a:extLst>
            <a:ext uri="{FF2B5EF4-FFF2-40B4-BE49-F238E27FC236}">
              <a16:creationId xmlns:a16="http://schemas.microsoft.com/office/drawing/2014/main" id="{B3D4DA5C-3CC2-48B5-9CF6-E88D9AA0EB7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29" name="Text Box 2">
          <a:extLst>
            <a:ext uri="{FF2B5EF4-FFF2-40B4-BE49-F238E27FC236}">
              <a16:creationId xmlns:a16="http://schemas.microsoft.com/office/drawing/2014/main" id="{ED726A15-A8D7-408A-B0B1-BBA263F36572}"/>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30" name="Text Box 1">
          <a:extLst>
            <a:ext uri="{FF2B5EF4-FFF2-40B4-BE49-F238E27FC236}">
              <a16:creationId xmlns:a16="http://schemas.microsoft.com/office/drawing/2014/main" id="{021EE432-8F7E-4D0C-93FE-098E167828E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31" name="Text Box 2">
          <a:extLst>
            <a:ext uri="{FF2B5EF4-FFF2-40B4-BE49-F238E27FC236}">
              <a16:creationId xmlns:a16="http://schemas.microsoft.com/office/drawing/2014/main" id="{083FE3A0-21BB-489A-A69D-4D5AFBF1189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32" name="Text Box 2">
          <a:extLst>
            <a:ext uri="{FF2B5EF4-FFF2-40B4-BE49-F238E27FC236}">
              <a16:creationId xmlns:a16="http://schemas.microsoft.com/office/drawing/2014/main" id="{76ED657E-D144-4D1F-B82B-467CA64B64A6}"/>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33" name="Text Box 1">
          <a:extLst>
            <a:ext uri="{FF2B5EF4-FFF2-40B4-BE49-F238E27FC236}">
              <a16:creationId xmlns:a16="http://schemas.microsoft.com/office/drawing/2014/main" id="{B4ADE592-04CE-4208-AEEE-323E615AEA8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34" name="Text Box 2">
          <a:extLst>
            <a:ext uri="{FF2B5EF4-FFF2-40B4-BE49-F238E27FC236}">
              <a16:creationId xmlns:a16="http://schemas.microsoft.com/office/drawing/2014/main" id="{77C5B71F-B216-46F7-9656-1944CCAD4E4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35" name="Text Box 2">
          <a:extLst>
            <a:ext uri="{FF2B5EF4-FFF2-40B4-BE49-F238E27FC236}">
              <a16:creationId xmlns:a16="http://schemas.microsoft.com/office/drawing/2014/main" id="{1FD8A15E-AD51-458C-BF92-42B6C6D2C99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36" name="Text Box 1">
          <a:extLst>
            <a:ext uri="{FF2B5EF4-FFF2-40B4-BE49-F238E27FC236}">
              <a16:creationId xmlns:a16="http://schemas.microsoft.com/office/drawing/2014/main" id="{8EB317BB-AC37-469A-8C59-C2494F1E023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37" name="Text Box 2">
          <a:extLst>
            <a:ext uri="{FF2B5EF4-FFF2-40B4-BE49-F238E27FC236}">
              <a16:creationId xmlns:a16="http://schemas.microsoft.com/office/drawing/2014/main" id="{AF12962A-9169-4B6A-9DE8-906C8206607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38" name="Text Box 2">
          <a:extLst>
            <a:ext uri="{FF2B5EF4-FFF2-40B4-BE49-F238E27FC236}">
              <a16:creationId xmlns:a16="http://schemas.microsoft.com/office/drawing/2014/main" id="{B1791B92-0548-4AC6-A327-146E5A46FFDA}"/>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39" name="Text Box 1">
          <a:extLst>
            <a:ext uri="{FF2B5EF4-FFF2-40B4-BE49-F238E27FC236}">
              <a16:creationId xmlns:a16="http://schemas.microsoft.com/office/drawing/2014/main" id="{981F7795-6175-46C6-B652-1A6EE6C04B6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40" name="Text Box 2">
          <a:extLst>
            <a:ext uri="{FF2B5EF4-FFF2-40B4-BE49-F238E27FC236}">
              <a16:creationId xmlns:a16="http://schemas.microsoft.com/office/drawing/2014/main" id="{22AC74A5-786C-4BD6-91C2-A86DFC0685A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41" name="Text Box 1">
          <a:extLst>
            <a:ext uri="{FF2B5EF4-FFF2-40B4-BE49-F238E27FC236}">
              <a16:creationId xmlns:a16="http://schemas.microsoft.com/office/drawing/2014/main" id="{1CC16553-57C1-43E7-9C78-771F8E736E5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42" name="Text Box 2">
          <a:extLst>
            <a:ext uri="{FF2B5EF4-FFF2-40B4-BE49-F238E27FC236}">
              <a16:creationId xmlns:a16="http://schemas.microsoft.com/office/drawing/2014/main" id="{4F8C156D-667B-4E29-9510-8B9C4F1532D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43" name="Text Box 1">
          <a:extLst>
            <a:ext uri="{FF2B5EF4-FFF2-40B4-BE49-F238E27FC236}">
              <a16:creationId xmlns:a16="http://schemas.microsoft.com/office/drawing/2014/main" id="{0C1687FB-53B3-403F-8303-35E20696371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44" name="Text Box 2">
          <a:extLst>
            <a:ext uri="{FF2B5EF4-FFF2-40B4-BE49-F238E27FC236}">
              <a16:creationId xmlns:a16="http://schemas.microsoft.com/office/drawing/2014/main" id="{7902368C-1EE6-4C8B-BDDE-E96CE79CAFB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445" name="Text Box 1">
          <a:extLst>
            <a:ext uri="{FF2B5EF4-FFF2-40B4-BE49-F238E27FC236}">
              <a16:creationId xmlns:a16="http://schemas.microsoft.com/office/drawing/2014/main" id="{E809F6AF-DA6A-4CBA-8615-68C52DD32BA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446" name="Text Box 2">
          <a:extLst>
            <a:ext uri="{FF2B5EF4-FFF2-40B4-BE49-F238E27FC236}">
              <a16:creationId xmlns:a16="http://schemas.microsoft.com/office/drawing/2014/main" id="{864722CC-46FB-459A-A8DE-75A74279924E}"/>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47" name="Text Box 1">
          <a:extLst>
            <a:ext uri="{FF2B5EF4-FFF2-40B4-BE49-F238E27FC236}">
              <a16:creationId xmlns:a16="http://schemas.microsoft.com/office/drawing/2014/main" id="{8853F86F-3C5D-4F55-96CD-26D0DF054F4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48" name="Text Box 2">
          <a:extLst>
            <a:ext uri="{FF2B5EF4-FFF2-40B4-BE49-F238E27FC236}">
              <a16:creationId xmlns:a16="http://schemas.microsoft.com/office/drawing/2014/main" id="{6382A0BA-44EB-4ECA-9153-A49046A62EB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449" name="Text Box 1">
          <a:extLst>
            <a:ext uri="{FF2B5EF4-FFF2-40B4-BE49-F238E27FC236}">
              <a16:creationId xmlns:a16="http://schemas.microsoft.com/office/drawing/2014/main" id="{6E0F3767-479F-42A5-B85D-76C8F168A40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450" name="Text Box 2">
          <a:extLst>
            <a:ext uri="{FF2B5EF4-FFF2-40B4-BE49-F238E27FC236}">
              <a16:creationId xmlns:a16="http://schemas.microsoft.com/office/drawing/2014/main" id="{F7071D4D-3C10-472B-84B9-83DAEA03A50C}"/>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51" name="Text Box 1">
          <a:extLst>
            <a:ext uri="{FF2B5EF4-FFF2-40B4-BE49-F238E27FC236}">
              <a16:creationId xmlns:a16="http://schemas.microsoft.com/office/drawing/2014/main" id="{5129AD5B-C08C-46D6-9150-AA34C0AB2FB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52" name="Text Box 2">
          <a:extLst>
            <a:ext uri="{FF2B5EF4-FFF2-40B4-BE49-F238E27FC236}">
              <a16:creationId xmlns:a16="http://schemas.microsoft.com/office/drawing/2014/main" id="{210525C8-1AF8-4106-BD64-59568C78086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53" name="Text Box 1">
          <a:extLst>
            <a:ext uri="{FF2B5EF4-FFF2-40B4-BE49-F238E27FC236}">
              <a16:creationId xmlns:a16="http://schemas.microsoft.com/office/drawing/2014/main" id="{E3F6A881-78B3-4BCD-BAEE-6A9534A5FA1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54" name="Text Box 2">
          <a:extLst>
            <a:ext uri="{FF2B5EF4-FFF2-40B4-BE49-F238E27FC236}">
              <a16:creationId xmlns:a16="http://schemas.microsoft.com/office/drawing/2014/main" id="{B7434519-4A82-4655-A842-095B614A5B4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455" name="Text Box 1">
          <a:extLst>
            <a:ext uri="{FF2B5EF4-FFF2-40B4-BE49-F238E27FC236}">
              <a16:creationId xmlns:a16="http://schemas.microsoft.com/office/drawing/2014/main" id="{5B7EE8E6-9703-4484-AF2D-D6D7FC11A9D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456" name="Text Box 2">
          <a:extLst>
            <a:ext uri="{FF2B5EF4-FFF2-40B4-BE49-F238E27FC236}">
              <a16:creationId xmlns:a16="http://schemas.microsoft.com/office/drawing/2014/main" id="{028FD24E-ABB1-44C7-A0E5-5615EA93F45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57" name="Text Box 2">
          <a:extLst>
            <a:ext uri="{FF2B5EF4-FFF2-40B4-BE49-F238E27FC236}">
              <a16:creationId xmlns:a16="http://schemas.microsoft.com/office/drawing/2014/main" id="{268694AD-C57C-4BD3-8965-07E1DF91BDB1}"/>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58" name="Text Box 1">
          <a:extLst>
            <a:ext uri="{FF2B5EF4-FFF2-40B4-BE49-F238E27FC236}">
              <a16:creationId xmlns:a16="http://schemas.microsoft.com/office/drawing/2014/main" id="{C9CF88F2-05F3-44FA-959F-7A95BEF1B64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59" name="Text Box 2">
          <a:extLst>
            <a:ext uri="{FF2B5EF4-FFF2-40B4-BE49-F238E27FC236}">
              <a16:creationId xmlns:a16="http://schemas.microsoft.com/office/drawing/2014/main" id="{A14748C6-D20C-463B-8B7F-0A02A11AB7C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60" name="Text Box 1">
          <a:extLst>
            <a:ext uri="{FF2B5EF4-FFF2-40B4-BE49-F238E27FC236}">
              <a16:creationId xmlns:a16="http://schemas.microsoft.com/office/drawing/2014/main" id="{D91BCBD4-7D26-4E96-BAA0-8B0F589E692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61" name="Text Box 2">
          <a:extLst>
            <a:ext uri="{FF2B5EF4-FFF2-40B4-BE49-F238E27FC236}">
              <a16:creationId xmlns:a16="http://schemas.microsoft.com/office/drawing/2014/main" id="{CCFE6A5E-7114-46DE-AF09-5C99EE5A9E2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462" name="Text Box 1">
          <a:extLst>
            <a:ext uri="{FF2B5EF4-FFF2-40B4-BE49-F238E27FC236}">
              <a16:creationId xmlns:a16="http://schemas.microsoft.com/office/drawing/2014/main" id="{F69726A4-3145-44AE-B047-05A8182ACC8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463" name="Text Box 2">
          <a:extLst>
            <a:ext uri="{FF2B5EF4-FFF2-40B4-BE49-F238E27FC236}">
              <a16:creationId xmlns:a16="http://schemas.microsoft.com/office/drawing/2014/main" id="{726B5116-79FE-48F4-9C6E-17768C7DC61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64" name="Text Box 1">
          <a:extLst>
            <a:ext uri="{FF2B5EF4-FFF2-40B4-BE49-F238E27FC236}">
              <a16:creationId xmlns:a16="http://schemas.microsoft.com/office/drawing/2014/main" id="{9464518A-EDB9-4B42-9100-BDBEADD2C9A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65" name="Text Box 2">
          <a:extLst>
            <a:ext uri="{FF2B5EF4-FFF2-40B4-BE49-F238E27FC236}">
              <a16:creationId xmlns:a16="http://schemas.microsoft.com/office/drawing/2014/main" id="{C890EF58-833C-4550-A480-765A4CCD559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66" name="Text Box 2">
          <a:extLst>
            <a:ext uri="{FF2B5EF4-FFF2-40B4-BE49-F238E27FC236}">
              <a16:creationId xmlns:a16="http://schemas.microsoft.com/office/drawing/2014/main" id="{31A8951B-EF41-46B0-A143-20C67A290031}"/>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67" name="Text Box 1">
          <a:extLst>
            <a:ext uri="{FF2B5EF4-FFF2-40B4-BE49-F238E27FC236}">
              <a16:creationId xmlns:a16="http://schemas.microsoft.com/office/drawing/2014/main" id="{3E6AFEFF-AD2A-45F9-8787-45D9CC3316A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68" name="Text Box 2">
          <a:extLst>
            <a:ext uri="{FF2B5EF4-FFF2-40B4-BE49-F238E27FC236}">
              <a16:creationId xmlns:a16="http://schemas.microsoft.com/office/drawing/2014/main" id="{8E36CF7E-1D99-4392-A650-2DF0F43B759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69" name="Text Box 2">
          <a:extLst>
            <a:ext uri="{FF2B5EF4-FFF2-40B4-BE49-F238E27FC236}">
              <a16:creationId xmlns:a16="http://schemas.microsoft.com/office/drawing/2014/main" id="{DE2AD99A-8AE3-4359-A86B-F82BBB89047B}"/>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70" name="Text Box 1">
          <a:extLst>
            <a:ext uri="{FF2B5EF4-FFF2-40B4-BE49-F238E27FC236}">
              <a16:creationId xmlns:a16="http://schemas.microsoft.com/office/drawing/2014/main" id="{7C7FFAEC-5D77-44B1-BA71-0A094BD8BFA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71" name="Text Box 2">
          <a:extLst>
            <a:ext uri="{FF2B5EF4-FFF2-40B4-BE49-F238E27FC236}">
              <a16:creationId xmlns:a16="http://schemas.microsoft.com/office/drawing/2014/main" id="{AAF2FA85-4C58-444A-B280-2DF5902CFE3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72" name="Text Box 2">
          <a:extLst>
            <a:ext uri="{FF2B5EF4-FFF2-40B4-BE49-F238E27FC236}">
              <a16:creationId xmlns:a16="http://schemas.microsoft.com/office/drawing/2014/main" id="{EF9EF2A9-2A45-4137-A00E-2C087CCAA816}"/>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73" name="Text Box 1">
          <a:extLst>
            <a:ext uri="{FF2B5EF4-FFF2-40B4-BE49-F238E27FC236}">
              <a16:creationId xmlns:a16="http://schemas.microsoft.com/office/drawing/2014/main" id="{2490306E-CE63-4AA8-85B0-300A1D9728C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74" name="Text Box 2">
          <a:extLst>
            <a:ext uri="{FF2B5EF4-FFF2-40B4-BE49-F238E27FC236}">
              <a16:creationId xmlns:a16="http://schemas.microsoft.com/office/drawing/2014/main" id="{41A9E912-CB6D-48C5-85D9-2E1DE986B5C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75" name="Text Box 2">
          <a:extLst>
            <a:ext uri="{FF2B5EF4-FFF2-40B4-BE49-F238E27FC236}">
              <a16:creationId xmlns:a16="http://schemas.microsoft.com/office/drawing/2014/main" id="{88B775AE-4A70-43CA-9BA4-06B8BFAFEB7D}"/>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76" name="Text Box 1">
          <a:extLst>
            <a:ext uri="{FF2B5EF4-FFF2-40B4-BE49-F238E27FC236}">
              <a16:creationId xmlns:a16="http://schemas.microsoft.com/office/drawing/2014/main" id="{90BDB44D-4887-4877-879C-F09B36798C3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77" name="Text Box 2">
          <a:extLst>
            <a:ext uri="{FF2B5EF4-FFF2-40B4-BE49-F238E27FC236}">
              <a16:creationId xmlns:a16="http://schemas.microsoft.com/office/drawing/2014/main" id="{ACC83330-C5ED-460F-9A41-3F9434B6AEF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78" name="Text Box 2">
          <a:extLst>
            <a:ext uri="{FF2B5EF4-FFF2-40B4-BE49-F238E27FC236}">
              <a16:creationId xmlns:a16="http://schemas.microsoft.com/office/drawing/2014/main" id="{667724C8-D008-406D-8938-C0BB83FF8AC6}"/>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79" name="Text Box 1">
          <a:extLst>
            <a:ext uri="{FF2B5EF4-FFF2-40B4-BE49-F238E27FC236}">
              <a16:creationId xmlns:a16="http://schemas.microsoft.com/office/drawing/2014/main" id="{0CA15A3F-0209-4551-B078-B143352B41B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80" name="Text Box 2">
          <a:extLst>
            <a:ext uri="{FF2B5EF4-FFF2-40B4-BE49-F238E27FC236}">
              <a16:creationId xmlns:a16="http://schemas.microsoft.com/office/drawing/2014/main" id="{4A66867C-6299-4BDE-A074-6FE0F22C9F0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81" name="Text Box 2">
          <a:extLst>
            <a:ext uri="{FF2B5EF4-FFF2-40B4-BE49-F238E27FC236}">
              <a16:creationId xmlns:a16="http://schemas.microsoft.com/office/drawing/2014/main" id="{E0AF0595-D8A1-48ED-86A7-0AFFE89505A1}"/>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82" name="Text Box 1">
          <a:extLst>
            <a:ext uri="{FF2B5EF4-FFF2-40B4-BE49-F238E27FC236}">
              <a16:creationId xmlns:a16="http://schemas.microsoft.com/office/drawing/2014/main" id="{4B61D076-1753-4B20-8855-33EA866A992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83" name="Text Box 2">
          <a:extLst>
            <a:ext uri="{FF2B5EF4-FFF2-40B4-BE49-F238E27FC236}">
              <a16:creationId xmlns:a16="http://schemas.microsoft.com/office/drawing/2014/main" id="{6D3D0643-EF2A-4C98-A468-7062B05D602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84" name="Text Box 1">
          <a:extLst>
            <a:ext uri="{FF2B5EF4-FFF2-40B4-BE49-F238E27FC236}">
              <a16:creationId xmlns:a16="http://schemas.microsoft.com/office/drawing/2014/main" id="{D971FA4E-FF67-4D0D-AFC8-3D121B64678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85" name="Text Box 2">
          <a:extLst>
            <a:ext uri="{FF2B5EF4-FFF2-40B4-BE49-F238E27FC236}">
              <a16:creationId xmlns:a16="http://schemas.microsoft.com/office/drawing/2014/main" id="{C6C2A4F7-F9DA-43B5-AA70-C77476541BC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86" name="Text Box 1">
          <a:extLst>
            <a:ext uri="{FF2B5EF4-FFF2-40B4-BE49-F238E27FC236}">
              <a16:creationId xmlns:a16="http://schemas.microsoft.com/office/drawing/2014/main" id="{3D82D5CC-B570-40AA-8182-0B26A5FE116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87" name="Text Box 2">
          <a:extLst>
            <a:ext uri="{FF2B5EF4-FFF2-40B4-BE49-F238E27FC236}">
              <a16:creationId xmlns:a16="http://schemas.microsoft.com/office/drawing/2014/main" id="{1DD8A3D3-6220-4C3A-A81E-D772F2900F7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488" name="Text Box 1">
          <a:extLst>
            <a:ext uri="{FF2B5EF4-FFF2-40B4-BE49-F238E27FC236}">
              <a16:creationId xmlns:a16="http://schemas.microsoft.com/office/drawing/2014/main" id="{9B8480AE-29AF-461F-89F9-883016F63B3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489" name="Text Box 2">
          <a:extLst>
            <a:ext uri="{FF2B5EF4-FFF2-40B4-BE49-F238E27FC236}">
              <a16:creationId xmlns:a16="http://schemas.microsoft.com/office/drawing/2014/main" id="{AEF8515D-572F-48C4-97C7-87B44BE3626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90" name="Text Box 1">
          <a:extLst>
            <a:ext uri="{FF2B5EF4-FFF2-40B4-BE49-F238E27FC236}">
              <a16:creationId xmlns:a16="http://schemas.microsoft.com/office/drawing/2014/main" id="{73FA6D34-1A92-49F3-91FE-752DD43CF44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91" name="Text Box 2">
          <a:extLst>
            <a:ext uri="{FF2B5EF4-FFF2-40B4-BE49-F238E27FC236}">
              <a16:creationId xmlns:a16="http://schemas.microsoft.com/office/drawing/2014/main" id="{EDDE949A-85C0-4266-BC03-92364EBFD24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492" name="Text Box 1">
          <a:extLst>
            <a:ext uri="{FF2B5EF4-FFF2-40B4-BE49-F238E27FC236}">
              <a16:creationId xmlns:a16="http://schemas.microsoft.com/office/drawing/2014/main" id="{AD7A155C-8738-446F-9344-42674A9FE30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493" name="Text Box 2">
          <a:extLst>
            <a:ext uri="{FF2B5EF4-FFF2-40B4-BE49-F238E27FC236}">
              <a16:creationId xmlns:a16="http://schemas.microsoft.com/office/drawing/2014/main" id="{23D94527-12E0-4E15-A514-F2F63B254F8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94" name="Text Box 1">
          <a:extLst>
            <a:ext uri="{FF2B5EF4-FFF2-40B4-BE49-F238E27FC236}">
              <a16:creationId xmlns:a16="http://schemas.microsoft.com/office/drawing/2014/main" id="{F50F347D-06DC-4A6F-BFCF-BF88A410B0D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95" name="Text Box 2">
          <a:extLst>
            <a:ext uri="{FF2B5EF4-FFF2-40B4-BE49-F238E27FC236}">
              <a16:creationId xmlns:a16="http://schemas.microsoft.com/office/drawing/2014/main" id="{F67238BA-3876-4457-875E-CCF800E78F3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96" name="Text Box 1">
          <a:extLst>
            <a:ext uri="{FF2B5EF4-FFF2-40B4-BE49-F238E27FC236}">
              <a16:creationId xmlns:a16="http://schemas.microsoft.com/office/drawing/2014/main" id="{8BC97A8A-9E97-4394-9AD0-FD3B86A58A0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97" name="Text Box 2">
          <a:extLst>
            <a:ext uri="{FF2B5EF4-FFF2-40B4-BE49-F238E27FC236}">
              <a16:creationId xmlns:a16="http://schemas.microsoft.com/office/drawing/2014/main" id="{1D9FA821-4E10-4CDE-A36F-C417978CAFA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498" name="Text Box 1">
          <a:extLst>
            <a:ext uri="{FF2B5EF4-FFF2-40B4-BE49-F238E27FC236}">
              <a16:creationId xmlns:a16="http://schemas.microsoft.com/office/drawing/2014/main" id="{9DC2B8D5-AE5C-4DB1-A540-DBD7AC319CA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499" name="Text Box 2">
          <a:extLst>
            <a:ext uri="{FF2B5EF4-FFF2-40B4-BE49-F238E27FC236}">
              <a16:creationId xmlns:a16="http://schemas.microsoft.com/office/drawing/2014/main" id="{C80AEF6D-4C10-4027-AAF8-798C179FE41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00" name="Text Box 1">
          <a:extLst>
            <a:ext uri="{FF2B5EF4-FFF2-40B4-BE49-F238E27FC236}">
              <a16:creationId xmlns:a16="http://schemas.microsoft.com/office/drawing/2014/main" id="{55955AB0-5892-46CA-BA28-2C46B40008D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01" name="Text Box 2">
          <a:extLst>
            <a:ext uri="{FF2B5EF4-FFF2-40B4-BE49-F238E27FC236}">
              <a16:creationId xmlns:a16="http://schemas.microsoft.com/office/drawing/2014/main" id="{CA3813E9-B2A4-477A-83E4-2E8A9ECF7EA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02" name="Text Box 2">
          <a:extLst>
            <a:ext uri="{FF2B5EF4-FFF2-40B4-BE49-F238E27FC236}">
              <a16:creationId xmlns:a16="http://schemas.microsoft.com/office/drawing/2014/main" id="{430F7429-F906-4FAD-9380-0368BD6873A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03" name="Text Box 1">
          <a:extLst>
            <a:ext uri="{FF2B5EF4-FFF2-40B4-BE49-F238E27FC236}">
              <a16:creationId xmlns:a16="http://schemas.microsoft.com/office/drawing/2014/main" id="{5AF9DD93-18E6-47C6-A283-95E07892902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04" name="Text Box 2">
          <a:extLst>
            <a:ext uri="{FF2B5EF4-FFF2-40B4-BE49-F238E27FC236}">
              <a16:creationId xmlns:a16="http://schemas.microsoft.com/office/drawing/2014/main" id="{30E4F101-6579-4BB8-A667-09DF90E2970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05" name="Text Box 1">
          <a:extLst>
            <a:ext uri="{FF2B5EF4-FFF2-40B4-BE49-F238E27FC236}">
              <a16:creationId xmlns:a16="http://schemas.microsoft.com/office/drawing/2014/main" id="{FE4E2987-19D3-483D-9386-AB94CCC91F0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06" name="Text Box 2">
          <a:extLst>
            <a:ext uri="{FF2B5EF4-FFF2-40B4-BE49-F238E27FC236}">
              <a16:creationId xmlns:a16="http://schemas.microsoft.com/office/drawing/2014/main" id="{E7905160-662E-4C64-8F2B-72FF6FD503B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07" name="Text Box 1">
          <a:extLst>
            <a:ext uri="{FF2B5EF4-FFF2-40B4-BE49-F238E27FC236}">
              <a16:creationId xmlns:a16="http://schemas.microsoft.com/office/drawing/2014/main" id="{459C81EB-5DEB-4804-B122-A8FA281E44B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08" name="Text Box 2">
          <a:extLst>
            <a:ext uri="{FF2B5EF4-FFF2-40B4-BE49-F238E27FC236}">
              <a16:creationId xmlns:a16="http://schemas.microsoft.com/office/drawing/2014/main" id="{73EE2076-FCE0-4403-8210-146047DC5B5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09" name="Text Box 1">
          <a:extLst>
            <a:ext uri="{FF2B5EF4-FFF2-40B4-BE49-F238E27FC236}">
              <a16:creationId xmlns:a16="http://schemas.microsoft.com/office/drawing/2014/main" id="{FE5D6FE9-4A66-475D-8CC3-AF06F44D9F8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10" name="Text Box 2">
          <a:extLst>
            <a:ext uri="{FF2B5EF4-FFF2-40B4-BE49-F238E27FC236}">
              <a16:creationId xmlns:a16="http://schemas.microsoft.com/office/drawing/2014/main" id="{1E8B8F6B-6940-4D76-999E-661A04C4DD7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11" name="Text Box 1">
          <a:extLst>
            <a:ext uri="{FF2B5EF4-FFF2-40B4-BE49-F238E27FC236}">
              <a16:creationId xmlns:a16="http://schemas.microsoft.com/office/drawing/2014/main" id="{09D49B4B-B36B-4442-B8A8-E41A683DCE0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12" name="Text Box 2">
          <a:extLst>
            <a:ext uri="{FF2B5EF4-FFF2-40B4-BE49-F238E27FC236}">
              <a16:creationId xmlns:a16="http://schemas.microsoft.com/office/drawing/2014/main" id="{2E86A17A-2CA3-4C31-9524-A1B2C0AA3AD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13" name="Text Box 1">
          <a:extLst>
            <a:ext uri="{FF2B5EF4-FFF2-40B4-BE49-F238E27FC236}">
              <a16:creationId xmlns:a16="http://schemas.microsoft.com/office/drawing/2014/main" id="{FB6FB3D7-704E-4168-99F7-16BD1EB336C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14" name="Text Box 2">
          <a:extLst>
            <a:ext uri="{FF2B5EF4-FFF2-40B4-BE49-F238E27FC236}">
              <a16:creationId xmlns:a16="http://schemas.microsoft.com/office/drawing/2014/main" id="{9623618F-FF0E-443F-9990-6C1D65A234D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15" name="Text Box 1">
          <a:extLst>
            <a:ext uri="{FF2B5EF4-FFF2-40B4-BE49-F238E27FC236}">
              <a16:creationId xmlns:a16="http://schemas.microsoft.com/office/drawing/2014/main" id="{4437D1DE-B141-4B5F-A4D4-FEB9883C86E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16" name="Text Box 2">
          <a:extLst>
            <a:ext uri="{FF2B5EF4-FFF2-40B4-BE49-F238E27FC236}">
              <a16:creationId xmlns:a16="http://schemas.microsoft.com/office/drawing/2014/main" id="{8E9650EF-4E94-40B7-B07C-5D5CE8EE4E2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17" name="Text Box 1">
          <a:extLst>
            <a:ext uri="{FF2B5EF4-FFF2-40B4-BE49-F238E27FC236}">
              <a16:creationId xmlns:a16="http://schemas.microsoft.com/office/drawing/2014/main" id="{7505CB54-3BBF-44E3-A094-EA134D47F93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18" name="Text Box 2">
          <a:extLst>
            <a:ext uri="{FF2B5EF4-FFF2-40B4-BE49-F238E27FC236}">
              <a16:creationId xmlns:a16="http://schemas.microsoft.com/office/drawing/2014/main" id="{48978D09-44AB-438E-8465-7A4D4AD7004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19" name="Text Box 1">
          <a:extLst>
            <a:ext uri="{FF2B5EF4-FFF2-40B4-BE49-F238E27FC236}">
              <a16:creationId xmlns:a16="http://schemas.microsoft.com/office/drawing/2014/main" id="{8FD9D929-CCC2-4DFE-BB1F-DACAE129860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20" name="Text Box 2">
          <a:extLst>
            <a:ext uri="{FF2B5EF4-FFF2-40B4-BE49-F238E27FC236}">
              <a16:creationId xmlns:a16="http://schemas.microsoft.com/office/drawing/2014/main" id="{95552D75-940A-41F0-AC12-3F1C546D31C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21" name="Text Box 1">
          <a:extLst>
            <a:ext uri="{FF2B5EF4-FFF2-40B4-BE49-F238E27FC236}">
              <a16:creationId xmlns:a16="http://schemas.microsoft.com/office/drawing/2014/main" id="{168B2CC9-0266-4663-B304-C9A5F255B9D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22" name="Text Box 2">
          <a:extLst>
            <a:ext uri="{FF2B5EF4-FFF2-40B4-BE49-F238E27FC236}">
              <a16:creationId xmlns:a16="http://schemas.microsoft.com/office/drawing/2014/main" id="{EB406E75-F206-4B86-9399-9A51AD96FFC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23" name="Text Box 1">
          <a:extLst>
            <a:ext uri="{FF2B5EF4-FFF2-40B4-BE49-F238E27FC236}">
              <a16:creationId xmlns:a16="http://schemas.microsoft.com/office/drawing/2014/main" id="{69074D32-6461-4206-ACAE-8A455B87C3A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24" name="Text Box 2">
          <a:extLst>
            <a:ext uri="{FF2B5EF4-FFF2-40B4-BE49-F238E27FC236}">
              <a16:creationId xmlns:a16="http://schemas.microsoft.com/office/drawing/2014/main" id="{22A9E0A5-A77B-40F3-A8D4-91006DC297A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525" name="Text Box 2">
          <a:extLst>
            <a:ext uri="{FF2B5EF4-FFF2-40B4-BE49-F238E27FC236}">
              <a16:creationId xmlns:a16="http://schemas.microsoft.com/office/drawing/2014/main" id="{E21CFD6A-B84C-450C-9B9F-817A27418CBF}"/>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26" name="Text Box 1">
          <a:extLst>
            <a:ext uri="{FF2B5EF4-FFF2-40B4-BE49-F238E27FC236}">
              <a16:creationId xmlns:a16="http://schemas.microsoft.com/office/drawing/2014/main" id="{77BB6A1F-3171-42A1-9925-77FBC4F4CB1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27" name="Text Box 2">
          <a:extLst>
            <a:ext uri="{FF2B5EF4-FFF2-40B4-BE49-F238E27FC236}">
              <a16:creationId xmlns:a16="http://schemas.microsoft.com/office/drawing/2014/main" id="{D29B20C7-9A1E-41E5-8181-A6C9726161D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28" name="Text Box 1">
          <a:extLst>
            <a:ext uri="{FF2B5EF4-FFF2-40B4-BE49-F238E27FC236}">
              <a16:creationId xmlns:a16="http://schemas.microsoft.com/office/drawing/2014/main" id="{47D39F6A-56A7-441F-8EA3-BBC0306F55D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29" name="Text Box 2">
          <a:extLst>
            <a:ext uri="{FF2B5EF4-FFF2-40B4-BE49-F238E27FC236}">
              <a16:creationId xmlns:a16="http://schemas.microsoft.com/office/drawing/2014/main" id="{C60619FA-7012-4E34-96CF-B292316C766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30" name="Text Box 1">
          <a:extLst>
            <a:ext uri="{FF2B5EF4-FFF2-40B4-BE49-F238E27FC236}">
              <a16:creationId xmlns:a16="http://schemas.microsoft.com/office/drawing/2014/main" id="{C37638B2-761C-49F2-8DEF-0F100EF036D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31" name="Text Box 2">
          <a:extLst>
            <a:ext uri="{FF2B5EF4-FFF2-40B4-BE49-F238E27FC236}">
              <a16:creationId xmlns:a16="http://schemas.microsoft.com/office/drawing/2014/main" id="{52E738DD-84DF-45D4-A8E8-95DD6715CF71}"/>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32" name="Text Box 1">
          <a:extLst>
            <a:ext uri="{FF2B5EF4-FFF2-40B4-BE49-F238E27FC236}">
              <a16:creationId xmlns:a16="http://schemas.microsoft.com/office/drawing/2014/main" id="{A713D34F-6740-4C47-BE4B-AF1868B634D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33" name="Text Box 2">
          <a:extLst>
            <a:ext uri="{FF2B5EF4-FFF2-40B4-BE49-F238E27FC236}">
              <a16:creationId xmlns:a16="http://schemas.microsoft.com/office/drawing/2014/main" id="{88112F85-85FC-4944-B779-66E5F2E1B41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534" name="Text Box 2">
          <a:extLst>
            <a:ext uri="{FF2B5EF4-FFF2-40B4-BE49-F238E27FC236}">
              <a16:creationId xmlns:a16="http://schemas.microsoft.com/office/drawing/2014/main" id="{BA5728B6-0D84-4538-8D01-85ED0B597D4B}"/>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35" name="Text Box 1">
          <a:extLst>
            <a:ext uri="{FF2B5EF4-FFF2-40B4-BE49-F238E27FC236}">
              <a16:creationId xmlns:a16="http://schemas.microsoft.com/office/drawing/2014/main" id="{69AF7B48-B526-4184-8122-4FF74672C4F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36" name="Text Box 2">
          <a:extLst>
            <a:ext uri="{FF2B5EF4-FFF2-40B4-BE49-F238E27FC236}">
              <a16:creationId xmlns:a16="http://schemas.microsoft.com/office/drawing/2014/main" id="{AD049657-FA13-4663-B450-6FAA43F3724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537" name="Text Box 2">
          <a:extLst>
            <a:ext uri="{FF2B5EF4-FFF2-40B4-BE49-F238E27FC236}">
              <a16:creationId xmlns:a16="http://schemas.microsoft.com/office/drawing/2014/main" id="{3CDD66ED-AB3E-4BDE-B392-B6FF5DC01283}"/>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38" name="Text Box 1">
          <a:extLst>
            <a:ext uri="{FF2B5EF4-FFF2-40B4-BE49-F238E27FC236}">
              <a16:creationId xmlns:a16="http://schemas.microsoft.com/office/drawing/2014/main" id="{C50E0980-2803-4195-8D9E-5230CE944E8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39" name="Text Box 2">
          <a:extLst>
            <a:ext uri="{FF2B5EF4-FFF2-40B4-BE49-F238E27FC236}">
              <a16:creationId xmlns:a16="http://schemas.microsoft.com/office/drawing/2014/main" id="{23B6690D-4098-45A3-BD2A-63E5DBCD7F4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540" name="Text Box 2">
          <a:extLst>
            <a:ext uri="{FF2B5EF4-FFF2-40B4-BE49-F238E27FC236}">
              <a16:creationId xmlns:a16="http://schemas.microsoft.com/office/drawing/2014/main" id="{5DB7A9C0-56E0-4881-8DD1-C27785C4AA6E}"/>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41" name="Text Box 1">
          <a:extLst>
            <a:ext uri="{FF2B5EF4-FFF2-40B4-BE49-F238E27FC236}">
              <a16:creationId xmlns:a16="http://schemas.microsoft.com/office/drawing/2014/main" id="{5047B65E-0367-410B-A91F-5FF4A0D1DB6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42" name="Text Box 2">
          <a:extLst>
            <a:ext uri="{FF2B5EF4-FFF2-40B4-BE49-F238E27FC236}">
              <a16:creationId xmlns:a16="http://schemas.microsoft.com/office/drawing/2014/main" id="{ABBBB50C-2EEA-47CD-89C5-19DF04298AA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543" name="Text Box 2">
          <a:extLst>
            <a:ext uri="{FF2B5EF4-FFF2-40B4-BE49-F238E27FC236}">
              <a16:creationId xmlns:a16="http://schemas.microsoft.com/office/drawing/2014/main" id="{81169159-57AC-4C31-82A2-67A2BECA3D81}"/>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44" name="Text Box 1">
          <a:extLst>
            <a:ext uri="{FF2B5EF4-FFF2-40B4-BE49-F238E27FC236}">
              <a16:creationId xmlns:a16="http://schemas.microsoft.com/office/drawing/2014/main" id="{6B419916-32EA-4624-B423-3433C1A5ACD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45" name="Text Box 2">
          <a:extLst>
            <a:ext uri="{FF2B5EF4-FFF2-40B4-BE49-F238E27FC236}">
              <a16:creationId xmlns:a16="http://schemas.microsoft.com/office/drawing/2014/main" id="{36D7C444-0950-41D3-A7FF-75E35D94527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546" name="Text Box 2">
          <a:extLst>
            <a:ext uri="{FF2B5EF4-FFF2-40B4-BE49-F238E27FC236}">
              <a16:creationId xmlns:a16="http://schemas.microsoft.com/office/drawing/2014/main" id="{C91D9A88-3182-443C-B628-4A163FB714D8}"/>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47" name="Text Box 1">
          <a:extLst>
            <a:ext uri="{FF2B5EF4-FFF2-40B4-BE49-F238E27FC236}">
              <a16:creationId xmlns:a16="http://schemas.microsoft.com/office/drawing/2014/main" id="{139CC330-0A60-45AD-91DB-AFED5F7DD0F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48" name="Text Box 2">
          <a:extLst>
            <a:ext uri="{FF2B5EF4-FFF2-40B4-BE49-F238E27FC236}">
              <a16:creationId xmlns:a16="http://schemas.microsoft.com/office/drawing/2014/main" id="{FE2F203E-BB0A-43C7-A417-E8878CC556B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549" name="Text Box 2">
          <a:extLst>
            <a:ext uri="{FF2B5EF4-FFF2-40B4-BE49-F238E27FC236}">
              <a16:creationId xmlns:a16="http://schemas.microsoft.com/office/drawing/2014/main" id="{30157379-DBCC-47B0-91AF-6B3870F38D3D}"/>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50" name="Text Box 1">
          <a:extLst>
            <a:ext uri="{FF2B5EF4-FFF2-40B4-BE49-F238E27FC236}">
              <a16:creationId xmlns:a16="http://schemas.microsoft.com/office/drawing/2014/main" id="{CC29F42B-E84F-4054-9A75-871C90751D7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51" name="Text Box 2">
          <a:extLst>
            <a:ext uri="{FF2B5EF4-FFF2-40B4-BE49-F238E27FC236}">
              <a16:creationId xmlns:a16="http://schemas.microsoft.com/office/drawing/2014/main" id="{4CC9F8F1-44CE-4D71-A2FB-66C8BC788A5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52" name="Text Box 1">
          <a:extLst>
            <a:ext uri="{FF2B5EF4-FFF2-40B4-BE49-F238E27FC236}">
              <a16:creationId xmlns:a16="http://schemas.microsoft.com/office/drawing/2014/main" id="{7E38EBB1-3B20-4512-B83B-B457EDE8056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53" name="Text Box 2">
          <a:extLst>
            <a:ext uri="{FF2B5EF4-FFF2-40B4-BE49-F238E27FC236}">
              <a16:creationId xmlns:a16="http://schemas.microsoft.com/office/drawing/2014/main" id="{D068491D-5075-4086-B238-E43DB0D44FA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54" name="Text Box 1">
          <a:extLst>
            <a:ext uri="{FF2B5EF4-FFF2-40B4-BE49-F238E27FC236}">
              <a16:creationId xmlns:a16="http://schemas.microsoft.com/office/drawing/2014/main" id="{DA77E2FC-D798-4F5F-B4B9-E06BA017884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55" name="Text Box 2">
          <a:extLst>
            <a:ext uri="{FF2B5EF4-FFF2-40B4-BE49-F238E27FC236}">
              <a16:creationId xmlns:a16="http://schemas.microsoft.com/office/drawing/2014/main" id="{0B39BB81-833E-420B-ADE2-83422A2DFE4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56" name="Text Box 1">
          <a:extLst>
            <a:ext uri="{FF2B5EF4-FFF2-40B4-BE49-F238E27FC236}">
              <a16:creationId xmlns:a16="http://schemas.microsoft.com/office/drawing/2014/main" id="{FC44B8FD-9622-47CD-AE19-5CC7359722A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57" name="Text Box 2">
          <a:extLst>
            <a:ext uri="{FF2B5EF4-FFF2-40B4-BE49-F238E27FC236}">
              <a16:creationId xmlns:a16="http://schemas.microsoft.com/office/drawing/2014/main" id="{7465E581-0684-422E-A4B7-D50B76A1A828}"/>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58" name="Text Box 1">
          <a:extLst>
            <a:ext uri="{FF2B5EF4-FFF2-40B4-BE49-F238E27FC236}">
              <a16:creationId xmlns:a16="http://schemas.microsoft.com/office/drawing/2014/main" id="{A478693E-575E-4422-8E57-36E4993DBFF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59" name="Text Box 2">
          <a:extLst>
            <a:ext uri="{FF2B5EF4-FFF2-40B4-BE49-F238E27FC236}">
              <a16:creationId xmlns:a16="http://schemas.microsoft.com/office/drawing/2014/main" id="{A15F2E01-63BD-482B-8317-795D487F165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60" name="Text Box 1">
          <a:extLst>
            <a:ext uri="{FF2B5EF4-FFF2-40B4-BE49-F238E27FC236}">
              <a16:creationId xmlns:a16="http://schemas.microsoft.com/office/drawing/2014/main" id="{074BE091-3CE5-43D0-AA12-3E55C0892BC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61" name="Text Box 2">
          <a:extLst>
            <a:ext uri="{FF2B5EF4-FFF2-40B4-BE49-F238E27FC236}">
              <a16:creationId xmlns:a16="http://schemas.microsoft.com/office/drawing/2014/main" id="{6CB66965-1ECB-4967-AB2B-D475F986706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62" name="Text Box 2">
          <a:extLst>
            <a:ext uri="{FF2B5EF4-FFF2-40B4-BE49-F238E27FC236}">
              <a16:creationId xmlns:a16="http://schemas.microsoft.com/office/drawing/2014/main" id="{02B6A485-0B8B-4F24-AB22-4270B0055F2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63" name="Text Box 1">
          <a:extLst>
            <a:ext uri="{FF2B5EF4-FFF2-40B4-BE49-F238E27FC236}">
              <a16:creationId xmlns:a16="http://schemas.microsoft.com/office/drawing/2014/main" id="{49170CB0-D2D6-4223-94D8-7E56DAC8A3A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64" name="Text Box 2">
          <a:extLst>
            <a:ext uri="{FF2B5EF4-FFF2-40B4-BE49-F238E27FC236}">
              <a16:creationId xmlns:a16="http://schemas.microsoft.com/office/drawing/2014/main" id="{14213B2F-3BF6-48B7-AC54-7F074ED341D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65" name="Text Box 1">
          <a:extLst>
            <a:ext uri="{FF2B5EF4-FFF2-40B4-BE49-F238E27FC236}">
              <a16:creationId xmlns:a16="http://schemas.microsoft.com/office/drawing/2014/main" id="{C2390E62-DC0E-4D3E-99AE-3E37A588B29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66" name="Text Box 2">
          <a:extLst>
            <a:ext uri="{FF2B5EF4-FFF2-40B4-BE49-F238E27FC236}">
              <a16:creationId xmlns:a16="http://schemas.microsoft.com/office/drawing/2014/main" id="{B36496EF-A4D5-46AE-9143-6C090C56529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67" name="Text Box 1">
          <a:extLst>
            <a:ext uri="{FF2B5EF4-FFF2-40B4-BE49-F238E27FC236}">
              <a16:creationId xmlns:a16="http://schemas.microsoft.com/office/drawing/2014/main" id="{39BD1EC7-D5CE-431B-B3B0-2761A6F0EDB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68" name="Text Box 2">
          <a:extLst>
            <a:ext uri="{FF2B5EF4-FFF2-40B4-BE49-F238E27FC236}">
              <a16:creationId xmlns:a16="http://schemas.microsoft.com/office/drawing/2014/main" id="{07C3F6FF-76CE-4D8A-B803-234342C991F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69" name="Text Box 2">
          <a:extLst>
            <a:ext uri="{FF2B5EF4-FFF2-40B4-BE49-F238E27FC236}">
              <a16:creationId xmlns:a16="http://schemas.microsoft.com/office/drawing/2014/main" id="{2F772EA0-3CBF-42F1-8E5B-52E2E6745CD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70" name="Text Box 1">
          <a:extLst>
            <a:ext uri="{FF2B5EF4-FFF2-40B4-BE49-F238E27FC236}">
              <a16:creationId xmlns:a16="http://schemas.microsoft.com/office/drawing/2014/main" id="{13DDA525-D36E-4DD2-91E1-5B1BDB5B32C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71" name="Text Box 2">
          <a:extLst>
            <a:ext uri="{FF2B5EF4-FFF2-40B4-BE49-F238E27FC236}">
              <a16:creationId xmlns:a16="http://schemas.microsoft.com/office/drawing/2014/main" id="{A7C2A1E3-53A0-4E61-983E-E954442C99D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72" name="Text Box 1">
          <a:extLst>
            <a:ext uri="{FF2B5EF4-FFF2-40B4-BE49-F238E27FC236}">
              <a16:creationId xmlns:a16="http://schemas.microsoft.com/office/drawing/2014/main" id="{C7987D56-DB48-453E-94BD-5A6D1BDAAE1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73" name="Text Box 2">
          <a:extLst>
            <a:ext uri="{FF2B5EF4-FFF2-40B4-BE49-F238E27FC236}">
              <a16:creationId xmlns:a16="http://schemas.microsoft.com/office/drawing/2014/main" id="{2579FD4E-DF09-4CE2-B620-3C759BA49A4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74" name="Text Box 1">
          <a:extLst>
            <a:ext uri="{FF2B5EF4-FFF2-40B4-BE49-F238E27FC236}">
              <a16:creationId xmlns:a16="http://schemas.microsoft.com/office/drawing/2014/main" id="{6232D7D8-1751-41D1-8FB5-4352B25B2EC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75" name="Text Box 2">
          <a:extLst>
            <a:ext uri="{FF2B5EF4-FFF2-40B4-BE49-F238E27FC236}">
              <a16:creationId xmlns:a16="http://schemas.microsoft.com/office/drawing/2014/main" id="{CFCE73FB-2FD0-42ED-ACED-FE609EE3C59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76" name="Text Box 1">
          <a:extLst>
            <a:ext uri="{FF2B5EF4-FFF2-40B4-BE49-F238E27FC236}">
              <a16:creationId xmlns:a16="http://schemas.microsoft.com/office/drawing/2014/main" id="{F7FAE504-7F7F-4395-954A-08737980BC7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77" name="Text Box 2">
          <a:extLst>
            <a:ext uri="{FF2B5EF4-FFF2-40B4-BE49-F238E27FC236}">
              <a16:creationId xmlns:a16="http://schemas.microsoft.com/office/drawing/2014/main" id="{5358D4AD-4A36-414A-977A-7431D423FF6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78" name="Text Box 1">
          <a:extLst>
            <a:ext uri="{FF2B5EF4-FFF2-40B4-BE49-F238E27FC236}">
              <a16:creationId xmlns:a16="http://schemas.microsoft.com/office/drawing/2014/main" id="{BD91D074-F000-4A87-97E2-1ABE7B2D67A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79" name="Text Box 2">
          <a:extLst>
            <a:ext uri="{FF2B5EF4-FFF2-40B4-BE49-F238E27FC236}">
              <a16:creationId xmlns:a16="http://schemas.microsoft.com/office/drawing/2014/main" id="{CCD63FEB-077E-4A30-A426-8BA81E7A62A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80" name="Text Box 1">
          <a:extLst>
            <a:ext uri="{FF2B5EF4-FFF2-40B4-BE49-F238E27FC236}">
              <a16:creationId xmlns:a16="http://schemas.microsoft.com/office/drawing/2014/main" id="{937640BB-0C7E-45AD-B22F-19AF8E48AF3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81" name="Text Box 2">
          <a:extLst>
            <a:ext uri="{FF2B5EF4-FFF2-40B4-BE49-F238E27FC236}">
              <a16:creationId xmlns:a16="http://schemas.microsoft.com/office/drawing/2014/main" id="{018EF2C7-5444-4F2D-A12D-C9BC279354E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82" name="Text Box 1">
          <a:extLst>
            <a:ext uri="{FF2B5EF4-FFF2-40B4-BE49-F238E27FC236}">
              <a16:creationId xmlns:a16="http://schemas.microsoft.com/office/drawing/2014/main" id="{3A65F7CA-A2AE-4A8F-BF1A-4858F6A5E3F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83" name="Text Box 2">
          <a:extLst>
            <a:ext uri="{FF2B5EF4-FFF2-40B4-BE49-F238E27FC236}">
              <a16:creationId xmlns:a16="http://schemas.microsoft.com/office/drawing/2014/main" id="{34A71E12-7EEE-45FF-A9E8-23AD7572AEB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84" name="Text Box 1">
          <a:extLst>
            <a:ext uri="{FF2B5EF4-FFF2-40B4-BE49-F238E27FC236}">
              <a16:creationId xmlns:a16="http://schemas.microsoft.com/office/drawing/2014/main" id="{00B78B02-C2EA-4ED2-A5FC-460188E8D0A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85" name="Text Box 2">
          <a:extLst>
            <a:ext uri="{FF2B5EF4-FFF2-40B4-BE49-F238E27FC236}">
              <a16:creationId xmlns:a16="http://schemas.microsoft.com/office/drawing/2014/main" id="{7A95D732-CAD5-4686-A33C-64B56FFB1F7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86" name="Text Box 1">
          <a:extLst>
            <a:ext uri="{FF2B5EF4-FFF2-40B4-BE49-F238E27FC236}">
              <a16:creationId xmlns:a16="http://schemas.microsoft.com/office/drawing/2014/main" id="{1B88DCEB-2206-43B4-A691-46D1614E2F3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87" name="Text Box 2">
          <a:extLst>
            <a:ext uri="{FF2B5EF4-FFF2-40B4-BE49-F238E27FC236}">
              <a16:creationId xmlns:a16="http://schemas.microsoft.com/office/drawing/2014/main" id="{577945EA-9381-40DF-A493-E603D5367AC8}"/>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88" name="Text Box 1">
          <a:extLst>
            <a:ext uri="{FF2B5EF4-FFF2-40B4-BE49-F238E27FC236}">
              <a16:creationId xmlns:a16="http://schemas.microsoft.com/office/drawing/2014/main" id="{3F53AC41-0FDC-4C18-B28C-0759A1E6CBC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89" name="Text Box 2">
          <a:extLst>
            <a:ext uri="{FF2B5EF4-FFF2-40B4-BE49-F238E27FC236}">
              <a16:creationId xmlns:a16="http://schemas.microsoft.com/office/drawing/2014/main" id="{7E9CD767-B173-460E-9512-E848274FEB2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90" name="Text Box 1">
          <a:extLst>
            <a:ext uri="{FF2B5EF4-FFF2-40B4-BE49-F238E27FC236}">
              <a16:creationId xmlns:a16="http://schemas.microsoft.com/office/drawing/2014/main" id="{A4EB2A11-BC50-4233-B025-8CD8F6B5069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91" name="Text Box 2">
          <a:extLst>
            <a:ext uri="{FF2B5EF4-FFF2-40B4-BE49-F238E27FC236}">
              <a16:creationId xmlns:a16="http://schemas.microsoft.com/office/drawing/2014/main" id="{9DE55012-AC58-4B50-9AD0-3CD8B66D5DC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92" name="Text Box 1">
          <a:extLst>
            <a:ext uri="{FF2B5EF4-FFF2-40B4-BE49-F238E27FC236}">
              <a16:creationId xmlns:a16="http://schemas.microsoft.com/office/drawing/2014/main" id="{CE85A91B-7099-4C51-87FA-6F4342D7E1F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93" name="Text Box 2">
          <a:extLst>
            <a:ext uri="{FF2B5EF4-FFF2-40B4-BE49-F238E27FC236}">
              <a16:creationId xmlns:a16="http://schemas.microsoft.com/office/drawing/2014/main" id="{6AF80069-5472-4420-A28B-83915A9A3E0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94" name="Text Box 1">
          <a:extLst>
            <a:ext uri="{FF2B5EF4-FFF2-40B4-BE49-F238E27FC236}">
              <a16:creationId xmlns:a16="http://schemas.microsoft.com/office/drawing/2014/main" id="{656F3730-AC54-4A12-A5DE-854526C9999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95" name="Text Box 2">
          <a:extLst>
            <a:ext uri="{FF2B5EF4-FFF2-40B4-BE49-F238E27FC236}">
              <a16:creationId xmlns:a16="http://schemas.microsoft.com/office/drawing/2014/main" id="{5160E682-B063-4A87-8E4B-FA92161CF18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96" name="Text Box 1">
          <a:extLst>
            <a:ext uri="{FF2B5EF4-FFF2-40B4-BE49-F238E27FC236}">
              <a16:creationId xmlns:a16="http://schemas.microsoft.com/office/drawing/2014/main" id="{F6917C02-174A-4EE3-A8D3-E745CF8A492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97" name="Text Box 2">
          <a:extLst>
            <a:ext uri="{FF2B5EF4-FFF2-40B4-BE49-F238E27FC236}">
              <a16:creationId xmlns:a16="http://schemas.microsoft.com/office/drawing/2014/main" id="{1D8DF15C-A87E-4C80-9786-A99DF46C46C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98" name="Text Box 1">
          <a:extLst>
            <a:ext uri="{FF2B5EF4-FFF2-40B4-BE49-F238E27FC236}">
              <a16:creationId xmlns:a16="http://schemas.microsoft.com/office/drawing/2014/main" id="{407E0CA7-CEBA-4769-A7CD-77DCB0AEEBC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99" name="Text Box 2">
          <a:extLst>
            <a:ext uri="{FF2B5EF4-FFF2-40B4-BE49-F238E27FC236}">
              <a16:creationId xmlns:a16="http://schemas.microsoft.com/office/drawing/2014/main" id="{87570258-07FA-4B87-9BD2-80039E05C68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00" name="Text Box 1">
          <a:extLst>
            <a:ext uri="{FF2B5EF4-FFF2-40B4-BE49-F238E27FC236}">
              <a16:creationId xmlns:a16="http://schemas.microsoft.com/office/drawing/2014/main" id="{06E4492B-34E0-4FFC-8E36-E836D1BCD5D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01" name="Text Box 2">
          <a:extLst>
            <a:ext uri="{FF2B5EF4-FFF2-40B4-BE49-F238E27FC236}">
              <a16:creationId xmlns:a16="http://schemas.microsoft.com/office/drawing/2014/main" id="{F0C75387-A86F-49B1-A7C0-AB41384A35E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602" name="Text Box 1">
          <a:extLst>
            <a:ext uri="{FF2B5EF4-FFF2-40B4-BE49-F238E27FC236}">
              <a16:creationId xmlns:a16="http://schemas.microsoft.com/office/drawing/2014/main" id="{84566AED-D4D4-4FE9-B6A6-A5F113A9730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603" name="Text Box 2">
          <a:extLst>
            <a:ext uri="{FF2B5EF4-FFF2-40B4-BE49-F238E27FC236}">
              <a16:creationId xmlns:a16="http://schemas.microsoft.com/office/drawing/2014/main" id="{AECFE5A1-720A-4278-A4B5-C7D20337AA1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04" name="Text Box 1">
          <a:extLst>
            <a:ext uri="{FF2B5EF4-FFF2-40B4-BE49-F238E27FC236}">
              <a16:creationId xmlns:a16="http://schemas.microsoft.com/office/drawing/2014/main" id="{64A1CED5-2CCC-43BD-ADF0-FD3B1AB5B2B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05" name="Text Box 2">
          <a:extLst>
            <a:ext uri="{FF2B5EF4-FFF2-40B4-BE49-F238E27FC236}">
              <a16:creationId xmlns:a16="http://schemas.microsoft.com/office/drawing/2014/main" id="{B356358B-25BE-4836-AE9F-80306D05648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606" name="Text Box 1">
          <a:extLst>
            <a:ext uri="{FF2B5EF4-FFF2-40B4-BE49-F238E27FC236}">
              <a16:creationId xmlns:a16="http://schemas.microsoft.com/office/drawing/2014/main" id="{7D963992-2D69-4760-AC66-14EA16829D4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607" name="Text Box 2">
          <a:extLst>
            <a:ext uri="{FF2B5EF4-FFF2-40B4-BE49-F238E27FC236}">
              <a16:creationId xmlns:a16="http://schemas.microsoft.com/office/drawing/2014/main" id="{ABAD09A8-460E-4081-9DE2-D6782E76852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08" name="Text Box 1">
          <a:extLst>
            <a:ext uri="{FF2B5EF4-FFF2-40B4-BE49-F238E27FC236}">
              <a16:creationId xmlns:a16="http://schemas.microsoft.com/office/drawing/2014/main" id="{31F616BA-DCB0-422E-9744-FD1C6FBF50A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09" name="Text Box 2">
          <a:extLst>
            <a:ext uri="{FF2B5EF4-FFF2-40B4-BE49-F238E27FC236}">
              <a16:creationId xmlns:a16="http://schemas.microsoft.com/office/drawing/2014/main" id="{3A871BBA-47AC-4F16-817B-99B4F818A7C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10" name="Text Box 1">
          <a:extLst>
            <a:ext uri="{FF2B5EF4-FFF2-40B4-BE49-F238E27FC236}">
              <a16:creationId xmlns:a16="http://schemas.microsoft.com/office/drawing/2014/main" id="{1F87B4AC-B751-4D86-845D-03D13F54AE8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11" name="Text Box 2">
          <a:extLst>
            <a:ext uri="{FF2B5EF4-FFF2-40B4-BE49-F238E27FC236}">
              <a16:creationId xmlns:a16="http://schemas.microsoft.com/office/drawing/2014/main" id="{3A74F537-55C2-4731-AA9F-22897B1D4C4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12" name="Text Box 1">
          <a:extLst>
            <a:ext uri="{FF2B5EF4-FFF2-40B4-BE49-F238E27FC236}">
              <a16:creationId xmlns:a16="http://schemas.microsoft.com/office/drawing/2014/main" id="{64AA535E-6C4A-4606-9E23-EA2099FADCD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13" name="Text Box 2">
          <a:extLst>
            <a:ext uri="{FF2B5EF4-FFF2-40B4-BE49-F238E27FC236}">
              <a16:creationId xmlns:a16="http://schemas.microsoft.com/office/drawing/2014/main" id="{2F940771-98ED-4CE5-ACF5-FBA63D1D22A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14" name="Text Box 1">
          <a:extLst>
            <a:ext uri="{FF2B5EF4-FFF2-40B4-BE49-F238E27FC236}">
              <a16:creationId xmlns:a16="http://schemas.microsoft.com/office/drawing/2014/main" id="{65F0A2B5-D145-4225-91CC-C7BF59BBC8D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15" name="Text Box 2">
          <a:extLst>
            <a:ext uri="{FF2B5EF4-FFF2-40B4-BE49-F238E27FC236}">
              <a16:creationId xmlns:a16="http://schemas.microsoft.com/office/drawing/2014/main" id="{2509BD00-6D69-4A2F-BE5D-E18AC6E9B52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16" name="Text Box 1">
          <a:extLst>
            <a:ext uri="{FF2B5EF4-FFF2-40B4-BE49-F238E27FC236}">
              <a16:creationId xmlns:a16="http://schemas.microsoft.com/office/drawing/2014/main" id="{3D113409-5AEF-4D1C-B7A0-7E9F2B5BE6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17" name="Text Box 2">
          <a:extLst>
            <a:ext uri="{FF2B5EF4-FFF2-40B4-BE49-F238E27FC236}">
              <a16:creationId xmlns:a16="http://schemas.microsoft.com/office/drawing/2014/main" id="{371CBE09-A8D8-435A-A98F-4C83C19812C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18" name="Text Box 1">
          <a:extLst>
            <a:ext uri="{FF2B5EF4-FFF2-40B4-BE49-F238E27FC236}">
              <a16:creationId xmlns:a16="http://schemas.microsoft.com/office/drawing/2014/main" id="{D9D429A6-8E63-4600-B851-D2492804133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19" name="Text Box 2">
          <a:extLst>
            <a:ext uri="{FF2B5EF4-FFF2-40B4-BE49-F238E27FC236}">
              <a16:creationId xmlns:a16="http://schemas.microsoft.com/office/drawing/2014/main" id="{20AB9080-FACD-4690-9A56-55013740911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620" name="Text Box 1">
          <a:extLst>
            <a:ext uri="{FF2B5EF4-FFF2-40B4-BE49-F238E27FC236}">
              <a16:creationId xmlns:a16="http://schemas.microsoft.com/office/drawing/2014/main" id="{1D915F13-D117-42A1-8F59-B0383B9BB8A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621" name="Text Box 2">
          <a:extLst>
            <a:ext uri="{FF2B5EF4-FFF2-40B4-BE49-F238E27FC236}">
              <a16:creationId xmlns:a16="http://schemas.microsoft.com/office/drawing/2014/main" id="{45D31999-DEAD-4769-AEEB-1AD82F7A85F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22" name="Text Box 1">
          <a:extLst>
            <a:ext uri="{FF2B5EF4-FFF2-40B4-BE49-F238E27FC236}">
              <a16:creationId xmlns:a16="http://schemas.microsoft.com/office/drawing/2014/main" id="{B7649CBC-0DFC-4E79-B65C-4E146E6B1A6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23" name="Text Box 2">
          <a:extLst>
            <a:ext uri="{FF2B5EF4-FFF2-40B4-BE49-F238E27FC236}">
              <a16:creationId xmlns:a16="http://schemas.microsoft.com/office/drawing/2014/main" id="{EA7706FC-6E1C-4E81-BEDF-CA9C6737DF6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624" name="Text Box 1">
          <a:extLst>
            <a:ext uri="{FF2B5EF4-FFF2-40B4-BE49-F238E27FC236}">
              <a16:creationId xmlns:a16="http://schemas.microsoft.com/office/drawing/2014/main" id="{6ED6A30F-5636-436F-9134-53868F0E152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625" name="Text Box 2">
          <a:extLst>
            <a:ext uri="{FF2B5EF4-FFF2-40B4-BE49-F238E27FC236}">
              <a16:creationId xmlns:a16="http://schemas.microsoft.com/office/drawing/2014/main" id="{D07B4364-39CB-415F-9060-3F5255F1CED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26" name="Text Box 1">
          <a:extLst>
            <a:ext uri="{FF2B5EF4-FFF2-40B4-BE49-F238E27FC236}">
              <a16:creationId xmlns:a16="http://schemas.microsoft.com/office/drawing/2014/main" id="{DE676EA1-F60E-4EB3-B653-81CEECBDC2E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27" name="Text Box 2">
          <a:extLst>
            <a:ext uri="{FF2B5EF4-FFF2-40B4-BE49-F238E27FC236}">
              <a16:creationId xmlns:a16="http://schemas.microsoft.com/office/drawing/2014/main" id="{BD3B59D7-F481-42A4-8106-0B835CEFF7C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28" name="Text Box 1">
          <a:extLst>
            <a:ext uri="{FF2B5EF4-FFF2-40B4-BE49-F238E27FC236}">
              <a16:creationId xmlns:a16="http://schemas.microsoft.com/office/drawing/2014/main" id="{648E2819-B677-46F6-B119-0BC79FEAA83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29" name="Text Box 2">
          <a:extLst>
            <a:ext uri="{FF2B5EF4-FFF2-40B4-BE49-F238E27FC236}">
              <a16:creationId xmlns:a16="http://schemas.microsoft.com/office/drawing/2014/main" id="{E824267A-39E3-444D-93BA-027FAD93307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30" name="Text Box 1">
          <a:extLst>
            <a:ext uri="{FF2B5EF4-FFF2-40B4-BE49-F238E27FC236}">
              <a16:creationId xmlns:a16="http://schemas.microsoft.com/office/drawing/2014/main" id="{597EA563-5628-4773-92DD-40DA7565429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31" name="Text Box 2">
          <a:extLst>
            <a:ext uri="{FF2B5EF4-FFF2-40B4-BE49-F238E27FC236}">
              <a16:creationId xmlns:a16="http://schemas.microsoft.com/office/drawing/2014/main" id="{2F2E9779-0CB3-4EFE-AB27-9E23E8D3F29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32" name="Text Box 1">
          <a:extLst>
            <a:ext uri="{FF2B5EF4-FFF2-40B4-BE49-F238E27FC236}">
              <a16:creationId xmlns:a16="http://schemas.microsoft.com/office/drawing/2014/main" id="{128B834B-A447-4FF1-B1E0-3B30F5FC9FD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33" name="Text Box 2">
          <a:extLst>
            <a:ext uri="{FF2B5EF4-FFF2-40B4-BE49-F238E27FC236}">
              <a16:creationId xmlns:a16="http://schemas.microsoft.com/office/drawing/2014/main" id="{15EBE5D0-7324-4FF9-B5A4-FE90F9000F4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34" name="Text Box 1">
          <a:extLst>
            <a:ext uri="{FF2B5EF4-FFF2-40B4-BE49-F238E27FC236}">
              <a16:creationId xmlns:a16="http://schemas.microsoft.com/office/drawing/2014/main" id="{27C29B4F-CC3B-49E9-A693-B825F807A4A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35" name="Text Box 2">
          <a:extLst>
            <a:ext uri="{FF2B5EF4-FFF2-40B4-BE49-F238E27FC236}">
              <a16:creationId xmlns:a16="http://schemas.microsoft.com/office/drawing/2014/main" id="{C8A3B735-EAC4-46E9-ADF1-CFF7A85C642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36" name="Text Box 1">
          <a:extLst>
            <a:ext uri="{FF2B5EF4-FFF2-40B4-BE49-F238E27FC236}">
              <a16:creationId xmlns:a16="http://schemas.microsoft.com/office/drawing/2014/main" id="{F25933B1-20B6-4E2A-93D1-000A1AC837D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37" name="Text Box 2">
          <a:extLst>
            <a:ext uri="{FF2B5EF4-FFF2-40B4-BE49-F238E27FC236}">
              <a16:creationId xmlns:a16="http://schemas.microsoft.com/office/drawing/2014/main" id="{23DA8768-EE43-4719-8B62-67C875E7A85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38" name="Text Box 1">
          <a:extLst>
            <a:ext uri="{FF2B5EF4-FFF2-40B4-BE49-F238E27FC236}">
              <a16:creationId xmlns:a16="http://schemas.microsoft.com/office/drawing/2014/main" id="{948D54B7-6279-4B2B-9BEC-865B0E0AF20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39" name="Text Box 2">
          <a:extLst>
            <a:ext uri="{FF2B5EF4-FFF2-40B4-BE49-F238E27FC236}">
              <a16:creationId xmlns:a16="http://schemas.microsoft.com/office/drawing/2014/main" id="{77D1974B-B400-42D7-8695-CEAB4B2C7E4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40" name="Text Box 1">
          <a:extLst>
            <a:ext uri="{FF2B5EF4-FFF2-40B4-BE49-F238E27FC236}">
              <a16:creationId xmlns:a16="http://schemas.microsoft.com/office/drawing/2014/main" id="{8CE779B3-17F4-4B3F-A34F-135ED91D96D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41" name="Text Box 2">
          <a:extLst>
            <a:ext uri="{FF2B5EF4-FFF2-40B4-BE49-F238E27FC236}">
              <a16:creationId xmlns:a16="http://schemas.microsoft.com/office/drawing/2014/main" id="{F3BCE3F2-1221-4D60-B3C4-1C94621FE33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42" name="Text Box 1">
          <a:extLst>
            <a:ext uri="{FF2B5EF4-FFF2-40B4-BE49-F238E27FC236}">
              <a16:creationId xmlns:a16="http://schemas.microsoft.com/office/drawing/2014/main" id="{E453D72C-327A-44EC-885D-375404D1BB3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43" name="Text Box 2">
          <a:extLst>
            <a:ext uri="{FF2B5EF4-FFF2-40B4-BE49-F238E27FC236}">
              <a16:creationId xmlns:a16="http://schemas.microsoft.com/office/drawing/2014/main" id="{2DA152E2-A3BD-4542-873A-4D95C8F0F81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44" name="Text Box 1">
          <a:extLst>
            <a:ext uri="{FF2B5EF4-FFF2-40B4-BE49-F238E27FC236}">
              <a16:creationId xmlns:a16="http://schemas.microsoft.com/office/drawing/2014/main" id="{75DFC5FE-59F8-4C01-BE45-E6236912522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45" name="Text Box 2">
          <a:extLst>
            <a:ext uri="{FF2B5EF4-FFF2-40B4-BE49-F238E27FC236}">
              <a16:creationId xmlns:a16="http://schemas.microsoft.com/office/drawing/2014/main" id="{9E75048A-7061-4317-BF96-CEB7DDE2D90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46" name="Text Box 1">
          <a:extLst>
            <a:ext uri="{FF2B5EF4-FFF2-40B4-BE49-F238E27FC236}">
              <a16:creationId xmlns:a16="http://schemas.microsoft.com/office/drawing/2014/main" id="{BD99796D-33B6-4307-ABF6-F44D1EAF945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47" name="Text Box 2">
          <a:extLst>
            <a:ext uri="{FF2B5EF4-FFF2-40B4-BE49-F238E27FC236}">
              <a16:creationId xmlns:a16="http://schemas.microsoft.com/office/drawing/2014/main" id="{7D99CF80-F6DD-4587-83ED-1535CFF4D3D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48" name="Text Box 1">
          <a:extLst>
            <a:ext uri="{FF2B5EF4-FFF2-40B4-BE49-F238E27FC236}">
              <a16:creationId xmlns:a16="http://schemas.microsoft.com/office/drawing/2014/main" id="{610A3632-3AA4-415C-8C80-A3E4FBD8334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49" name="Text Box 2">
          <a:extLst>
            <a:ext uri="{FF2B5EF4-FFF2-40B4-BE49-F238E27FC236}">
              <a16:creationId xmlns:a16="http://schemas.microsoft.com/office/drawing/2014/main" id="{7C898B26-C633-4DF5-BCCC-41BAAC0CB8A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50" name="Text Box 1">
          <a:extLst>
            <a:ext uri="{FF2B5EF4-FFF2-40B4-BE49-F238E27FC236}">
              <a16:creationId xmlns:a16="http://schemas.microsoft.com/office/drawing/2014/main" id="{64CF1142-BB5B-48B9-834B-C81AF3F89C1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51" name="Text Box 2">
          <a:extLst>
            <a:ext uri="{FF2B5EF4-FFF2-40B4-BE49-F238E27FC236}">
              <a16:creationId xmlns:a16="http://schemas.microsoft.com/office/drawing/2014/main" id="{6EFC3D67-C97C-4453-A96E-F886A407248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52" name="Text Box 1">
          <a:extLst>
            <a:ext uri="{FF2B5EF4-FFF2-40B4-BE49-F238E27FC236}">
              <a16:creationId xmlns:a16="http://schemas.microsoft.com/office/drawing/2014/main" id="{98A732B6-94B2-4951-B9FE-5FBB164932C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53" name="Text Box 2">
          <a:extLst>
            <a:ext uri="{FF2B5EF4-FFF2-40B4-BE49-F238E27FC236}">
              <a16:creationId xmlns:a16="http://schemas.microsoft.com/office/drawing/2014/main" id="{8D7C047A-221B-4C50-A55E-E2417844853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54" name="Text Box 1">
          <a:extLst>
            <a:ext uri="{FF2B5EF4-FFF2-40B4-BE49-F238E27FC236}">
              <a16:creationId xmlns:a16="http://schemas.microsoft.com/office/drawing/2014/main" id="{820CB042-FBDF-44E9-B13F-1067BF5BCE1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55" name="Text Box 2">
          <a:extLst>
            <a:ext uri="{FF2B5EF4-FFF2-40B4-BE49-F238E27FC236}">
              <a16:creationId xmlns:a16="http://schemas.microsoft.com/office/drawing/2014/main" id="{913DD361-0B50-4F92-A74E-BA3B8FFA1FC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56" name="Text Box 1">
          <a:extLst>
            <a:ext uri="{FF2B5EF4-FFF2-40B4-BE49-F238E27FC236}">
              <a16:creationId xmlns:a16="http://schemas.microsoft.com/office/drawing/2014/main" id="{C85F6BF4-5A32-4D4E-9F4D-E73823E8A3F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57" name="Text Box 2">
          <a:extLst>
            <a:ext uri="{FF2B5EF4-FFF2-40B4-BE49-F238E27FC236}">
              <a16:creationId xmlns:a16="http://schemas.microsoft.com/office/drawing/2014/main" id="{73FEEAF5-3C31-460F-952D-C4F59ED30C9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658" name="Text Box 1">
          <a:extLst>
            <a:ext uri="{FF2B5EF4-FFF2-40B4-BE49-F238E27FC236}">
              <a16:creationId xmlns:a16="http://schemas.microsoft.com/office/drawing/2014/main" id="{23DAA4C6-D3B4-4046-A449-0A44FFA72B8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659" name="Text Box 2">
          <a:extLst>
            <a:ext uri="{FF2B5EF4-FFF2-40B4-BE49-F238E27FC236}">
              <a16:creationId xmlns:a16="http://schemas.microsoft.com/office/drawing/2014/main" id="{DD3F4EF7-AC5F-46A8-945A-A81358B9457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60" name="Text Box 1">
          <a:extLst>
            <a:ext uri="{FF2B5EF4-FFF2-40B4-BE49-F238E27FC236}">
              <a16:creationId xmlns:a16="http://schemas.microsoft.com/office/drawing/2014/main" id="{7081F518-49F4-41E2-8079-94A17FDA1E1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61" name="Text Box 2">
          <a:extLst>
            <a:ext uri="{FF2B5EF4-FFF2-40B4-BE49-F238E27FC236}">
              <a16:creationId xmlns:a16="http://schemas.microsoft.com/office/drawing/2014/main" id="{720E9C4D-6C57-4155-91E0-5D2C93B746B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662" name="Text Box 1">
          <a:extLst>
            <a:ext uri="{FF2B5EF4-FFF2-40B4-BE49-F238E27FC236}">
              <a16:creationId xmlns:a16="http://schemas.microsoft.com/office/drawing/2014/main" id="{38616DC6-48F2-4D5C-9D2C-77B82DF4072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663" name="Text Box 2">
          <a:extLst>
            <a:ext uri="{FF2B5EF4-FFF2-40B4-BE49-F238E27FC236}">
              <a16:creationId xmlns:a16="http://schemas.microsoft.com/office/drawing/2014/main" id="{93F2A803-5565-408C-83FB-B09865321B3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64" name="Text Box 1">
          <a:extLst>
            <a:ext uri="{FF2B5EF4-FFF2-40B4-BE49-F238E27FC236}">
              <a16:creationId xmlns:a16="http://schemas.microsoft.com/office/drawing/2014/main" id="{76631A59-BACA-4227-9DD9-CF8D5225664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65" name="Text Box 2">
          <a:extLst>
            <a:ext uri="{FF2B5EF4-FFF2-40B4-BE49-F238E27FC236}">
              <a16:creationId xmlns:a16="http://schemas.microsoft.com/office/drawing/2014/main" id="{E506AC72-DEBF-4DDE-B292-7D8608FB1FD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66" name="Text Box 1">
          <a:extLst>
            <a:ext uri="{FF2B5EF4-FFF2-40B4-BE49-F238E27FC236}">
              <a16:creationId xmlns:a16="http://schemas.microsoft.com/office/drawing/2014/main" id="{7530AB86-81DA-4973-BB65-80FFDAF8DC5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67" name="Text Box 2">
          <a:extLst>
            <a:ext uri="{FF2B5EF4-FFF2-40B4-BE49-F238E27FC236}">
              <a16:creationId xmlns:a16="http://schemas.microsoft.com/office/drawing/2014/main" id="{22B8D824-3E42-41F3-A0CD-BC2C063E897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68" name="Text Box 1">
          <a:extLst>
            <a:ext uri="{FF2B5EF4-FFF2-40B4-BE49-F238E27FC236}">
              <a16:creationId xmlns:a16="http://schemas.microsoft.com/office/drawing/2014/main" id="{6B6647BA-B9AC-4852-A307-FD23D53A465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69" name="Text Box 2">
          <a:extLst>
            <a:ext uri="{FF2B5EF4-FFF2-40B4-BE49-F238E27FC236}">
              <a16:creationId xmlns:a16="http://schemas.microsoft.com/office/drawing/2014/main" id="{6F3E3361-12A1-43F7-94C6-5D0D0436B9A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70" name="Text Box 1">
          <a:extLst>
            <a:ext uri="{FF2B5EF4-FFF2-40B4-BE49-F238E27FC236}">
              <a16:creationId xmlns:a16="http://schemas.microsoft.com/office/drawing/2014/main" id="{8C80A0CD-B23C-4682-B68B-92403627D9C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71" name="Text Box 2">
          <a:extLst>
            <a:ext uri="{FF2B5EF4-FFF2-40B4-BE49-F238E27FC236}">
              <a16:creationId xmlns:a16="http://schemas.microsoft.com/office/drawing/2014/main" id="{92B5B86E-BF6B-4680-BABE-10CA90CC5B0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72" name="Text Box 1">
          <a:extLst>
            <a:ext uri="{FF2B5EF4-FFF2-40B4-BE49-F238E27FC236}">
              <a16:creationId xmlns:a16="http://schemas.microsoft.com/office/drawing/2014/main" id="{7EB4024C-8697-4E99-93C1-0DFF5F49046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73" name="Text Box 2">
          <a:extLst>
            <a:ext uri="{FF2B5EF4-FFF2-40B4-BE49-F238E27FC236}">
              <a16:creationId xmlns:a16="http://schemas.microsoft.com/office/drawing/2014/main" id="{AF62EA70-87A7-4224-84F7-41730864CFB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74" name="Text Box 1">
          <a:extLst>
            <a:ext uri="{FF2B5EF4-FFF2-40B4-BE49-F238E27FC236}">
              <a16:creationId xmlns:a16="http://schemas.microsoft.com/office/drawing/2014/main" id="{2B95E365-C508-46F8-B862-00B06E94016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75" name="Text Box 2">
          <a:extLst>
            <a:ext uri="{FF2B5EF4-FFF2-40B4-BE49-F238E27FC236}">
              <a16:creationId xmlns:a16="http://schemas.microsoft.com/office/drawing/2014/main" id="{293D248C-8043-45E5-B656-A32BE1F0806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76" name="Text Box 1">
          <a:extLst>
            <a:ext uri="{FF2B5EF4-FFF2-40B4-BE49-F238E27FC236}">
              <a16:creationId xmlns:a16="http://schemas.microsoft.com/office/drawing/2014/main" id="{8CD41A82-5B1D-499E-9024-EAA0AE6D1C2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77" name="Text Box 2">
          <a:extLst>
            <a:ext uri="{FF2B5EF4-FFF2-40B4-BE49-F238E27FC236}">
              <a16:creationId xmlns:a16="http://schemas.microsoft.com/office/drawing/2014/main" id="{75D8FBB0-6784-4546-86F9-0DB9C6C0A69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78" name="Text Box 1">
          <a:extLst>
            <a:ext uri="{FF2B5EF4-FFF2-40B4-BE49-F238E27FC236}">
              <a16:creationId xmlns:a16="http://schemas.microsoft.com/office/drawing/2014/main" id="{3FACBC89-DE3C-4595-AE67-14F3295F640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79" name="Text Box 2">
          <a:extLst>
            <a:ext uri="{FF2B5EF4-FFF2-40B4-BE49-F238E27FC236}">
              <a16:creationId xmlns:a16="http://schemas.microsoft.com/office/drawing/2014/main" id="{50DF147D-02D5-44D3-ADAA-CE6B31458B9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80" name="Text Box 1">
          <a:extLst>
            <a:ext uri="{FF2B5EF4-FFF2-40B4-BE49-F238E27FC236}">
              <a16:creationId xmlns:a16="http://schemas.microsoft.com/office/drawing/2014/main" id="{BEFD70E3-7E5B-4877-8254-4EED242AED7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81" name="Text Box 2">
          <a:extLst>
            <a:ext uri="{FF2B5EF4-FFF2-40B4-BE49-F238E27FC236}">
              <a16:creationId xmlns:a16="http://schemas.microsoft.com/office/drawing/2014/main" id="{817E13CD-CFE4-4282-A8E2-91642A55B0E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82" name="Text Box 1">
          <a:extLst>
            <a:ext uri="{FF2B5EF4-FFF2-40B4-BE49-F238E27FC236}">
              <a16:creationId xmlns:a16="http://schemas.microsoft.com/office/drawing/2014/main" id="{A3013AF1-132E-413E-A48D-C91E558E04A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83" name="Text Box 2">
          <a:extLst>
            <a:ext uri="{FF2B5EF4-FFF2-40B4-BE49-F238E27FC236}">
              <a16:creationId xmlns:a16="http://schemas.microsoft.com/office/drawing/2014/main" id="{B997FFC9-0C14-4B64-9F44-24E5BDCE53C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84" name="Text Box 1">
          <a:extLst>
            <a:ext uri="{FF2B5EF4-FFF2-40B4-BE49-F238E27FC236}">
              <a16:creationId xmlns:a16="http://schemas.microsoft.com/office/drawing/2014/main" id="{6B267018-7A1B-4A98-AAF9-642029E72F1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85" name="Text Box 2">
          <a:extLst>
            <a:ext uri="{FF2B5EF4-FFF2-40B4-BE49-F238E27FC236}">
              <a16:creationId xmlns:a16="http://schemas.microsoft.com/office/drawing/2014/main" id="{74E0BF71-DA19-4777-8E79-31D24984A68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686" name="Text Box 1">
          <a:extLst>
            <a:ext uri="{FF2B5EF4-FFF2-40B4-BE49-F238E27FC236}">
              <a16:creationId xmlns:a16="http://schemas.microsoft.com/office/drawing/2014/main" id="{10B237DF-660A-42FF-8293-DB69092E23F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687" name="Text Box 2">
          <a:extLst>
            <a:ext uri="{FF2B5EF4-FFF2-40B4-BE49-F238E27FC236}">
              <a16:creationId xmlns:a16="http://schemas.microsoft.com/office/drawing/2014/main" id="{9066356E-4E09-4B39-8CE2-98C0EBD7F31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688" name="Text Box 1">
          <a:extLst>
            <a:ext uri="{FF2B5EF4-FFF2-40B4-BE49-F238E27FC236}">
              <a16:creationId xmlns:a16="http://schemas.microsoft.com/office/drawing/2014/main" id="{F8E8921E-C621-4A09-9D57-9FFA5A8228B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689" name="Text Box 2">
          <a:extLst>
            <a:ext uri="{FF2B5EF4-FFF2-40B4-BE49-F238E27FC236}">
              <a16:creationId xmlns:a16="http://schemas.microsoft.com/office/drawing/2014/main" id="{96653BB0-7B48-43D6-92B6-FD30AF517F0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90" name="Text Box 1">
          <a:extLst>
            <a:ext uri="{FF2B5EF4-FFF2-40B4-BE49-F238E27FC236}">
              <a16:creationId xmlns:a16="http://schemas.microsoft.com/office/drawing/2014/main" id="{3F877540-5671-4A4A-B3B6-27C971B1437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91" name="Text Box 2">
          <a:extLst>
            <a:ext uri="{FF2B5EF4-FFF2-40B4-BE49-F238E27FC236}">
              <a16:creationId xmlns:a16="http://schemas.microsoft.com/office/drawing/2014/main" id="{E0369315-7153-42FA-8F22-40E7801DFDA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92" name="Text Box 1">
          <a:extLst>
            <a:ext uri="{FF2B5EF4-FFF2-40B4-BE49-F238E27FC236}">
              <a16:creationId xmlns:a16="http://schemas.microsoft.com/office/drawing/2014/main" id="{EB65AA5A-B779-44AE-AFDA-477511DCCD4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93" name="Text Box 2">
          <a:extLst>
            <a:ext uri="{FF2B5EF4-FFF2-40B4-BE49-F238E27FC236}">
              <a16:creationId xmlns:a16="http://schemas.microsoft.com/office/drawing/2014/main" id="{F83DBA64-BBB1-40DF-99BF-4C6438E8F20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94" name="Text Box 1">
          <a:extLst>
            <a:ext uri="{FF2B5EF4-FFF2-40B4-BE49-F238E27FC236}">
              <a16:creationId xmlns:a16="http://schemas.microsoft.com/office/drawing/2014/main" id="{D1AB11AF-E4E5-4BE0-9D49-535D0DC7194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95" name="Text Box 2">
          <a:extLst>
            <a:ext uri="{FF2B5EF4-FFF2-40B4-BE49-F238E27FC236}">
              <a16:creationId xmlns:a16="http://schemas.microsoft.com/office/drawing/2014/main" id="{377FFCE4-BE69-4912-BE57-96FB91787CD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96" name="Text Box 1">
          <a:extLst>
            <a:ext uri="{FF2B5EF4-FFF2-40B4-BE49-F238E27FC236}">
              <a16:creationId xmlns:a16="http://schemas.microsoft.com/office/drawing/2014/main" id="{94B76319-0897-42EA-8A93-5DF7DB27349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97" name="Text Box 2">
          <a:extLst>
            <a:ext uri="{FF2B5EF4-FFF2-40B4-BE49-F238E27FC236}">
              <a16:creationId xmlns:a16="http://schemas.microsoft.com/office/drawing/2014/main" id="{3AC1568F-C14C-4437-A16C-8D1427562E9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698" name="Text Box 1">
          <a:extLst>
            <a:ext uri="{FF2B5EF4-FFF2-40B4-BE49-F238E27FC236}">
              <a16:creationId xmlns:a16="http://schemas.microsoft.com/office/drawing/2014/main" id="{5EBFA3EC-B05D-4539-A299-848F25E8181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699" name="Text Box 2">
          <a:extLst>
            <a:ext uri="{FF2B5EF4-FFF2-40B4-BE49-F238E27FC236}">
              <a16:creationId xmlns:a16="http://schemas.microsoft.com/office/drawing/2014/main" id="{7FD02406-C73D-45E5-939E-B74E685A31E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700" name="Text Box 1">
          <a:extLst>
            <a:ext uri="{FF2B5EF4-FFF2-40B4-BE49-F238E27FC236}">
              <a16:creationId xmlns:a16="http://schemas.microsoft.com/office/drawing/2014/main" id="{424A630A-20CD-49F5-9C73-581F209FCB0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701" name="Text Box 2">
          <a:extLst>
            <a:ext uri="{FF2B5EF4-FFF2-40B4-BE49-F238E27FC236}">
              <a16:creationId xmlns:a16="http://schemas.microsoft.com/office/drawing/2014/main" id="{F100EA9A-BC83-46F2-9279-B5838D23CC5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02" name="Text Box 1">
          <a:extLst>
            <a:ext uri="{FF2B5EF4-FFF2-40B4-BE49-F238E27FC236}">
              <a16:creationId xmlns:a16="http://schemas.microsoft.com/office/drawing/2014/main" id="{70DDA4EE-D983-4890-929E-C58CB337283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03" name="Text Box 2">
          <a:extLst>
            <a:ext uri="{FF2B5EF4-FFF2-40B4-BE49-F238E27FC236}">
              <a16:creationId xmlns:a16="http://schemas.microsoft.com/office/drawing/2014/main" id="{C1D79E56-9D8C-440F-874D-C52B50CBEEC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04" name="Text Box 1">
          <a:extLst>
            <a:ext uri="{FF2B5EF4-FFF2-40B4-BE49-F238E27FC236}">
              <a16:creationId xmlns:a16="http://schemas.microsoft.com/office/drawing/2014/main" id="{9A6527B6-3024-4B0C-B768-4660427BC7F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05" name="Text Box 2">
          <a:extLst>
            <a:ext uri="{FF2B5EF4-FFF2-40B4-BE49-F238E27FC236}">
              <a16:creationId xmlns:a16="http://schemas.microsoft.com/office/drawing/2014/main" id="{240AACA4-05CB-4BF5-BCA2-DE2E12B8427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706" name="Text Box 1">
          <a:extLst>
            <a:ext uri="{FF2B5EF4-FFF2-40B4-BE49-F238E27FC236}">
              <a16:creationId xmlns:a16="http://schemas.microsoft.com/office/drawing/2014/main" id="{1AF05A26-3775-4FB4-8F2E-67EE283F256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707" name="Text Box 2">
          <a:extLst>
            <a:ext uri="{FF2B5EF4-FFF2-40B4-BE49-F238E27FC236}">
              <a16:creationId xmlns:a16="http://schemas.microsoft.com/office/drawing/2014/main" id="{02B0E132-2BC5-45CF-9EC4-2B8BBD5055BC}"/>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708" name="Text Box 1">
          <a:extLst>
            <a:ext uri="{FF2B5EF4-FFF2-40B4-BE49-F238E27FC236}">
              <a16:creationId xmlns:a16="http://schemas.microsoft.com/office/drawing/2014/main" id="{94EA8B17-A06E-4469-B905-9FAAA028CDE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709" name="Text Box 2">
          <a:extLst>
            <a:ext uri="{FF2B5EF4-FFF2-40B4-BE49-F238E27FC236}">
              <a16:creationId xmlns:a16="http://schemas.microsoft.com/office/drawing/2014/main" id="{E83A13C6-E282-4408-9D68-941A9F5214A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10" name="Text Box 1">
          <a:extLst>
            <a:ext uri="{FF2B5EF4-FFF2-40B4-BE49-F238E27FC236}">
              <a16:creationId xmlns:a16="http://schemas.microsoft.com/office/drawing/2014/main" id="{74F92AE6-FDBB-4449-B0C2-ACF4919275F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11" name="Text Box 2">
          <a:extLst>
            <a:ext uri="{FF2B5EF4-FFF2-40B4-BE49-F238E27FC236}">
              <a16:creationId xmlns:a16="http://schemas.microsoft.com/office/drawing/2014/main" id="{C25B8D59-606D-4CE7-BA92-EB90B6120D1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12" name="Text Box 1">
          <a:extLst>
            <a:ext uri="{FF2B5EF4-FFF2-40B4-BE49-F238E27FC236}">
              <a16:creationId xmlns:a16="http://schemas.microsoft.com/office/drawing/2014/main" id="{8D20DBBE-4E63-4494-8968-B6729F97414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13" name="Text Box 2">
          <a:extLst>
            <a:ext uri="{FF2B5EF4-FFF2-40B4-BE49-F238E27FC236}">
              <a16:creationId xmlns:a16="http://schemas.microsoft.com/office/drawing/2014/main" id="{C9035B2A-FB87-47B6-BC2D-719C55301B9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714" name="Text Box 1">
          <a:extLst>
            <a:ext uri="{FF2B5EF4-FFF2-40B4-BE49-F238E27FC236}">
              <a16:creationId xmlns:a16="http://schemas.microsoft.com/office/drawing/2014/main" id="{2F7D57D9-B577-4B75-91BD-21CC5E536FF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715" name="Text Box 2">
          <a:extLst>
            <a:ext uri="{FF2B5EF4-FFF2-40B4-BE49-F238E27FC236}">
              <a16:creationId xmlns:a16="http://schemas.microsoft.com/office/drawing/2014/main" id="{12E0C764-75DC-4031-AC7A-CA5AD1F96D4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16" name="Text Box 1">
          <a:extLst>
            <a:ext uri="{FF2B5EF4-FFF2-40B4-BE49-F238E27FC236}">
              <a16:creationId xmlns:a16="http://schemas.microsoft.com/office/drawing/2014/main" id="{90CC5CEE-6F6F-4954-BA11-B7B5E84E0DC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17" name="Text Box 2">
          <a:extLst>
            <a:ext uri="{FF2B5EF4-FFF2-40B4-BE49-F238E27FC236}">
              <a16:creationId xmlns:a16="http://schemas.microsoft.com/office/drawing/2014/main" id="{1E1BB3EC-8E44-4D9D-8BAA-6BBCE7909EE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718" name="Text Box 1">
          <a:extLst>
            <a:ext uri="{FF2B5EF4-FFF2-40B4-BE49-F238E27FC236}">
              <a16:creationId xmlns:a16="http://schemas.microsoft.com/office/drawing/2014/main" id="{1F633325-E9EC-444C-9029-859A01B0264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719" name="Text Box 2">
          <a:extLst>
            <a:ext uri="{FF2B5EF4-FFF2-40B4-BE49-F238E27FC236}">
              <a16:creationId xmlns:a16="http://schemas.microsoft.com/office/drawing/2014/main" id="{579804C9-3DD2-416E-ABF1-FBA8C05B2DAE}"/>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720" name="Text Box 1">
          <a:extLst>
            <a:ext uri="{FF2B5EF4-FFF2-40B4-BE49-F238E27FC236}">
              <a16:creationId xmlns:a16="http://schemas.microsoft.com/office/drawing/2014/main" id="{7F2F6018-9DFB-42B1-BDF5-FDFAD6307D1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721" name="Text Box 2">
          <a:extLst>
            <a:ext uri="{FF2B5EF4-FFF2-40B4-BE49-F238E27FC236}">
              <a16:creationId xmlns:a16="http://schemas.microsoft.com/office/drawing/2014/main" id="{8A79C2C8-E8BF-4ADC-97DB-004999EC2DC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22" name="Text Box 1">
          <a:extLst>
            <a:ext uri="{FF2B5EF4-FFF2-40B4-BE49-F238E27FC236}">
              <a16:creationId xmlns:a16="http://schemas.microsoft.com/office/drawing/2014/main" id="{FBB89895-6E70-4622-A27A-C8FF1D50385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23" name="Text Box 2">
          <a:extLst>
            <a:ext uri="{FF2B5EF4-FFF2-40B4-BE49-F238E27FC236}">
              <a16:creationId xmlns:a16="http://schemas.microsoft.com/office/drawing/2014/main" id="{6B83FE2F-8EAC-4B42-8765-34F795A7976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24" name="Text Box 1">
          <a:extLst>
            <a:ext uri="{FF2B5EF4-FFF2-40B4-BE49-F238E27FC236}">
              <a16:creationId xmlns:a16="http://schemas.microsoft.com/office/drawing/2014/main" id="{F4E38EF5-52EF-48D3-A747-D6CD68BBC8B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25" name="Text Box 2">
          <a:extLst>
            <a:ext uri="{FF2B5EF4-FFF2-40B4-BE49-F238E27FC236}">
              <a16:creationId xmlns:a16="http://schemas.microsoft.com/office/drawing/2014/main" id="{DD1A135E-F556-4424-B848-F07B97DF15C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26" name="Text Box 1">
          <a:extLst>
            <a:ext uri="{FF2B5EF4-FFF2-40B4-BE49-F238E27FC236}">
              <a16:creationId xmlns:a16="http://schemas.microsoft.com/office/drawing/2014/main" id="{B0FEDAEF-AE69-440C-B013-DE12FF80E3E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27" name="Text Box 2">
          <a:extLst>
            <a:ext uri="{FF2B5EF4-FFF2-40B4-BE49-F238E27FC236}">
              <a16:creationId xmlns:a16="http://schemas.microsoft.com/office/drawing/2014/main" id="{0F5E5641-2013-45BA-AF0C-D709CE190A1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728" name="Text Box 1">
          <a:extLst>
            <a:ext uri="{FF2B5EF4-FFF2-40B4-BE49-F238E27FC236}">
              <a16:creationId xmlns:a16="http://schemas.microsoft.com/office/drawing/2014/main" id="{19D29B51-AC61-4AD0-9BB4-3C2D252DDEB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729" name="Text Box 2">
          <a:extLst>
            <a:ext uri="{FF2B5EF4-FFF2-40B4-BE49-F238E27FC236}">
              <a16:creationId xmlns:a16="http://schemas.microsoft.com/office/drawing/2014/main" id="{B092BBED-8C71-4B56-8EF6-3FC7887E12A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30" name="Text Box 1">
          <a:extLst>
            <a:ext uri="{FF2B5EF4-FFF2-40B4-BE49-F238E27FC236}">
              <a16:creationId xmlns:a16="http://schemas.microsoft.com/office/drawing/2014/main" id="{423E4E08-A803-4762-9638-03BF28E9441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31" name="Text Box 2">
          <a:extLst>
            <a:ext uri="{FF2B5EF4-FFF2-40B4-BE49-F238E27FC236}">
              <a16:creationId xmlns:a16="http://schemas.microsoft.com/office/drawing/2014/main" id="{7A4DBDFB-A830-4EE4-B700-EF929A6C543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732" name="Text Box 1">
          <a:extLst>
            <a:ext uri="{FF2B5EF4-FFF2-40B4-BE49-F238E27FC236}">
              <a16:creationId xmlns:a16="http://schemas.microsoft.com/office/drawing/2014/main" id="{7CF4B718-13D3-4342-B607-EF3B1F56266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733" name="Text Box 2">
          <a:extLst>
            <a:ext uri="{FF2B5EF4-FFF2-40B4-BE49-F238E27FC236}">
              <a16:creationId xmlns:a16="http://schemas.microsoft.com/office/drawing/2014/main" id="{572D38F1-81F4-42AE-992A-8A7D4246575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34" name="Text Box 1">
          <a:extLst>
            <a:ext uri="{FF2B5EF4-FFF2-40B4-BE49-F238E27FC236}">
              <a16:creationId xmlns:a16="http://schemas.microsoft.com/office/drawing/2014/main" id="{9BA41FD5-A423-4049-8252-DE16E220341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35" name="Text Box 2">
          <a:extLst>
            <a:ext uri="{FF2B5EF4-FFF2-40B4-BE49-F238E27FC236}">
              <a16:creationId xmlns:a16="http://schemas.microsoft.com/office/drawing/2014/main" id="{C19B67E4-6061-4721-B6BF-B0EEA0C5C0F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36" name="Text Box 1">
          <a:extLst>
            <a:ext uri="{FF2B5EF4-FFF2-40B4-BE49-F238E27FC236}">
              <a16:creationId xmlns:a16="http://schemas.microsoft.com/office/drawing/2014/main" id="{C8B17E28-2B8D-473F-84F4-0AE114B96F5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37" name="Text Box 2">
          <a:extLst>
            <a:ext uri="{FF2B5EF4-FFF2-40B4-BE49-F238E27FC236}">
              <a16:creationId xmlns:a16="http://schemas.microsoft.com/office/drawing/2014/main" id="{591ABF0B-E05B-4E68-88FC-704DD8B3B21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38" name="Text Box 1">
          <a:extLst>
            <a:ext uri="{FF2B5EF4-FFF2-40B4-BE49-F238E27FC236}">
              <a16:creationId xmlns:a16="http://schemas.microsoft.com/office/drawing/2014/main" id="{40331F86-3127-4A12-89AB-FDF7F379DCF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39" name="Text Box 2">
          <a:extLst>
            <a:ext uri="{FF2B5EF4-FFF2-40B4-BE49-F238E27FC236}">
              <a16:creationId xmlns:a16="http://schemas.microsoft.com/office/drawing/2014/main" id="{9273B48C-C69C-4EE5-8EFC-67D907C1BA9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40" name="Text Box 1">
          <a:extLst>
            <a:ext uri="{FF2B5EF4-FFF2-40B4-BE49-F238E27FC236}">
              <a16:creationId xmlns:a16="http://schemas.microsoft.com/office/drawing/2014/main" id="{A13AD089-B114-4C7E-8DB0-6C92D6EB563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41" name="Text Box 2">
          <a:extLst>
            <a:ext uri="{FF2B5EF4-FFF2-40B4-BE49-F238E27FC236}">
              <a16:creationId xmlns:a16="http://schemas.microsoft.com/office/drawing/2014/main" id="{FD9BC8E2-5F4A-45F2-91A2-3DFF80E4FCA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42" name="Text Box 1">
          <a:extLst>
            <a:ext uri="{FF2B5EF4-FFF2-40B4-BE49-F238E27FC236}">
              <a16:creationId xmlns:a16="http://schemas.microsoft.com/office/drawing/2014/main" id="{D350DE11-5F6F-4251-BF00-21AA9291996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43" name="Text Box 2">
          <a:extLst>
            <a:ext uri="{FF2B5EF4-FFF2-40B4-BE49-F238E27FC236}">
              <a16:creationId xmlns:a16="http://schemas.microsoft.com/office/drawing/2014/main" id="{60C15DA2-D47B-46AC-84ED-4655C837B68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44" name="Text Box 1">
          <a:extLst>
            <a:ext uri="{FF2B5EF4-FFF2-40B4-BE49-F238E27FC236}">
              <a16:creationId xmlns:a16="http://schemas.microsoft.com/office/drawing/2014/main" id="{56A2572F-135D-4152-87EB-921028C5CCD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45" name="Text Box 2">
          <a:extLst>
            <a:ext uri="{FF2B5EF4-FFF2-40B4-BE49-F238E27FC236}">
              <a16:creationId xmlns:a16="http://schemas.microsoft.com/office/drawing/2014/main" id="{D84713F8-3638-4CFF-91A4-27C84C64C4E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46" name="Text Box 1">
          <a:extLst>
            <a:ext uri="{FF2B5EF4-FFF2-40B4-BE49-F238E27FC236}">
              <a16:creationId xmlns:a16="http://schemas.microsoft.com/office/drawing/2014/main" id="{80914874-E421-4A94-B18F-D4478B669A4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47" name="Text Box 2">
          <a:extLst>
            <a:ext uri="{FF2B5EF4-FFF2-40B4-BE49-F238E27FC236}">
              <a16:creationId xmlns:a16="http://schemas.microsoft.com/office/drawing/2014/main" id="{328F59D2-2D2B-4FFE-B04E-03B52F02EAB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48" name="Text Box 1">
          <a:extLst>
            <a:ext uri="{FF2B5EF4-FFF2-40B4-BE49-F238E27FC236}">
              <a16:creationId xmlns:a16="http://schemas.microsoft.com/office/drawing/2014/main" id="{BE5FC9CF-CB84-4D88-B2B2-D68E00B151E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49" name="Text Box 2">
          <a:extLst>
            <a:ext uri="{FF2B5EF4-FFF2-40B4-BE49-F238E27FC236}">
              <a16:creationId xmlns:a16="http://schemas.microsoft.com/office/drawing/2014/main" id="{66AFE66F-7149-447E-9C3B-9CC35CB1BBC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750" name="Text Box 2">
          <a:extLst>
            <a:ext uri="{FF2B5EF4-FFF2-40B4-BE49-F238E27FC236}">
              <a16:creationId xmlns:a16="http://schemas.microsoft.com/office/drawing/2014/main" id="{273D4211-F027-4F24-B748-01FC61BB6EFE}"/>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51" name="Text Box 1">
          <a:extLst>
            <a:ext uri="{FF2B5EF4-FFF2-40B4-BE49-F238E27FC236}">
              <a16:creationId xmlns:a16="http://schemas.microsoft.com/office/drawing/2014/main" id="{07C64A6C-E049-4E0F-8F8D-8416EFCE305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52" name="Text Box 2">
          <a:extLst>
            <a:ext uri="{FF2B5EF4-FFF2-40B4-BE49-F238E27FC236}">
              <a16:creationId xmlns:a16="http://schemas.microsoft.com/office/drawing/2014/main" id="{E95A594C-A30E-45D0-B03D-F4D207D167D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53" name="Text Box 1">
          <a:extLst>
            <a:ext uri="{FF2B5EF4-FFF2-40B4-BE49-F238E27FC236}">
              <a16:creationId xmlns:a16="http://schemas.microsoft.com/office/drawing/2014/main" id="{4E6D20F7-F366-4E8B-9A73-7303F040863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54" name="Text Box 2">
          <a:extLst>
            <a:ext uri="{FF2B5EF4-FFF2-40B4-BE49-F238E27FC236}">
              <a16:creationId xmlns:a16="http://schemas.microsoft.com/office/drawing/2014/main" id="{B18D6564-748C-443F-B62C-312615E1441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755" name="Text Box 1">
          <a:extLst>
            <a:ext uri="{FF2B5EF4-FFF2-40B4-BE49-F238E27FC236}">
              <a16:creationId xmlns:a16="http://schemas.microsoft.com/office/drawing/2014/main" id="{784889E9-D733-4DB1-9A4C-B8E2CCDBF5D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756" name="Text Box 2">
          <a:extLst>
            <a:ext uri="{FF2B5EF4-FFF2-40B4-BE49-F238E27FC236}">
              <a16:creationId xmlns:a16="http://schemas.microsoft.com/office/drawing/2014/main" id="{EC0DAA96-EB75-4FEC-9AC9-5BF544345FA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57" name="Text Box 1">
          <a:extLst>
            <a:ext uri="{FF2B5EF4-FFF2-40B4-BE49-F238E27FC236}">
              <a16:creationId xmlns:a16="http://schemas.microsoft.com/office/drawing/2014/main" id="{73B77B31-9356-4703-9346-4A982AC532D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58" name="Text Box 2">
          <a:extLst>
            <a:ext uri="{FF2B5EF4-FFF2-40B4-BE49-F238E27FC236}">
              <a16:creationId xmlns:a16="http://schemas.microsoft.com/office/drawing/2014/main" id="{9D0D8902-92B6-48DA-850B-993BF9AC77E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759" name="Text Box 2">
          <a:extLst>
            <a:ext uri="{FF2B5EF4-FFF2-40B4-BE49-F238E27FC236}">
              <a16:creationId xmlns:a16="http://schemas.microsoft.com/office/drawing/2014/main" id="{58CE0CE7-3946-4CB9-AE5C-E4DC82DB4CDE}"/>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60" name="Text Box 1">
          <a:extLst>
            <a:ext uri="{FF2B5EF4-FFF2-40B4-BE49-F238E27FC236}">
              <a16:creationId xmlns:a16="http://schemas.microsoft.com/office/drawing/2014/main" id="{C8C0E048-9B5E-4D82-8216-DEEFE807BFB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61" name="Text Box 2">
          <a:extLst>
            <a:ext uri="{FF2B5EF4-FFF2-40B4-BE49-F238E27FC236}">
              <a16:creationId xmlns:a16="http://schemas.microsoft.com/office/drawing/2014/main" id="{7FC66102-2636-40F8-ADA1-713ED59D29E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762" name="Text Box 2">
          <a:extLst>
            <a:ext uri="{FF2B5EF4-FFF2-40B4-BE49-F238E27FC236}">
              <a16:creationId xmlns:a16="http://schemas.microsoft.com/office/drawing/2014/main" id="{FA60C900-F1A7-4D2E-8D1C-614A05DDBDEA}"/>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63" name="Text Box 1">
          <a:extLst>
            <a:ext uri="{FF2B5EF4-FFF2-40B4-BE49-F238E27FC236}">
              <a16:creationId xmlns:a16="http://schemas.microsoft.com/office/drawing/2014/main" id="{8A571ADB-AD4A-4C8A-BC87-09EBE462FC2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64" name="Text Box 2">
          <a:extLst>
            <a:ext uri="{FF2B5EF4-FFF2-40B4-BE49-F238E27FC236}">
              <a16:creationId xmlns:a16="http://schemas.microsoft.com/office/drawing/2014/main" id="{DB73A42E-7582-43ED-988E-F4CB2E1C731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765" name="Text Box 2">
          <a:extLst>
            <a:ext uri="{FF2B5EF4-FFF2-40B4-BE49-F238E27FC236}">
              <a16:creationId xmlns:a16="http://schemas.microsoft.com/office/drawing/2014/main" id="{208602B5-E717-4C5A-BDDB-A40368B26108}"/>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66" name="Text Box 1">
          <a:extLst>
            <a:ext uri="{FF2B5EF4-FFF2-40B4-BE49-F238E27FC236}">
              <a16:creationId xmlns:a16="http://schemas.microsoft.com/office/drawing/2014/main" id="{72EE64C5-74C9-4AA4-913C-416C406B321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67" name="Text Box 2">
          <a:extLst>
            <a:ext uri="{FF2B5EF4-FFF2-40B4-BE49-F238E27FC236}">
              <a16:creationId xmlns:a16="http://schemas.microsoft.com/office/drawing/2014/main" id="{79AB58D9-2B35-487D-BC00-84DD7E7E4A1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768" name="Text Box 2">
          <a:extLst>
            <a:ext uri="{FF2B5EF4-FFF2-40B4-BE49-F238E27FC236}">
              <a16:creationId xmlns:a16="http://schemas.microsoft.com/office/drawing/2014/main" id="{7F2BF74A-BF2D-4FE7-A502-6583B6670E2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69" name="Text Box 1">
          <a:extLst>
            <a:ext uri="{FF2B5EF4-FFF2-40B4-BE49-F238E27FC236}">
              <a16:creationId xmlns:a16="http://schemas.microsoft.com/office/drawing/2014/main" id="{8FFDE334-98F6-4E0E-8A8B-79790975BE6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70" name="Text Box 2">
          <a:extLst>
            <a:ext uri="{FF2B5EF4-FFF2-40B4-BE49-F238E27FC236}">
              <a16:creationId xmlns:a16="http://schemas.microsoft.com/office/drawing/2014/main" id="{35226D19-786F-4146-9E64-E459BFEC040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771" name="Text Box 2">
          <a:extLst>
            <a:ext uri="{FF2B5EF4-FFF2-40B4-BE49-F238E27FC236}">
              <a16:creationId xmlns:a16="http://schemas.microsoft.com/office/drawing/2014/main" id="{7E669744-D1F1-4CB0-92B0-DE0D856D9213}"/>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72" name="Text Box 1">
          <a:extLst>
            <a:ext uri="{FF2B5EF4-FFF2-40B4-BE49-F238E27FC236}">
              <a16:creationId xmlns:a16="http://schemas.microsoft.com/office/drawing/2014/main" id="{556DB0A2-464E-4025-A631-4EF71A581F5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73" name="Text Box 2">
          <a:extLst>
            <a:ext uri="{FF2B5EF4-FFF2-40B4-BE49-F238E27FC236}">
              <a16:creationId xmlns:a16="http://schemas.microsoft.com/office/drawing/2014/main" id="{7F716A53-643D-47AB-A535-B6120391E1C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774" name="Text Box 2">
          <a:extLst>
            <a:ext uri="{FF2B5EF4-FFF2-40B4-BE49-F238E27FC236}">
              <a16:creationId xmlns:a16="http://schemas.microsoft.com/office/drawing/2014/main" id="{39D25737-CA1F-433B-9DDB-7215A81551E1}"/>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75" name="Text Box 1">
          <a:extLst>
            <a:ext uri="{FF2B5EF4-FFF2-40B4-BE49-F238E27FC236}">
              <a16:creationId xmlns:a16="http://schemas.microsoft.com/office/drawing/2014/main" id="{101D6000-9483-42C1-BA4B-EBE57B8A8A5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76" name="Text Box 2">
          <a:extLst>
            <a:ext uri="{FF2B5EF4-FFF2-40B4-BE49-F238E27FC236}">
              <a16:creationId xmlns:a16="http://schemas.microsoft.com/office/drawing/2014/main" id="{01168207-0C9D-4775-87F2-B2DF58E51DB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77" name="Text Box 1">
          <a:extLst>
            <a:ext uri="{FF2B5EF4-FFF2-40B4-BE49-F238E27FC236}">
              <a16:creationId xmlns:a16="http://schemas.microsoft.com/office/drawing/2014/main" id="{B349A694-08EE-41AC-8D43-875BA93AE59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78" name="Text Box 2">
          <a:extLst>
            <a:ext uri="{FF2B5EF4-FFF2-40B4-BE49-F238E27FC236}">
              <a16:creationId xmlns:a16="http://schemas.microsoft.com/office/drawing/2014/main" id="{D7557B85-5CDC-4C97-929B-9FEAB2D2151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79" name="Text Box 1">
          <a:extLst>
            <a:ext uri="{FF2B5EF4-FFF2-40B4-BE49-F238E27FC236}">
              <a16:creationId xmlns:a16="http://schemas.microsoft.com/office/drawing/2014/main" id="{2077F432-B36A-4290-9DF2-008765827C7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80" name="Text Box 2">
          <a:extLst>
            <a:ext uri="{FF2B5EF4-FFF2-40B4-BE49-F238E27FC236}">
              <a16:creationId xmlns:a16="http://schemas.microsoft.com/office/drawing/2014/main" id="{77F79AF8-F346-4294-91A8-B40F7D1F362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781" name="Text Box 1">
          <a:extLst>
            <a:ext uri="{FF2B5EF4-FFF2-40B4-BE49-F238E27FC236}">
              <a16:creationId xmlns:a16="http://schemas.microsoft.com/office/drawing/2014/main" id="{719E3A5D-C5A8-42F7-8E33-84BADF779F0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782" name="Text Box 2">
          <a:extLst>
            <a:ext uri="{FF2B5EF4-FFF2-40B4-BE49-F238E27FC236}">
              <a16:creationId xmlns:a16="http://schemas.microsoft.com/office/drawing/2014/main" id="{66F823E4-69CF-44BE-B562-02E92699D20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83" name="Text Box 1">
          <a:extLst>
            <a:ext uri="{FF2B5EF4-FFF2-40B4-BE49-F238E27FC236}">
              <a16:creationId xmlns:a16="http://schemas.microsoft.com/office/drawing/2014/main" id="{C6153463-9465-41D3-998F-7FD9F4DFA31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84" name="Text Box 2">
          <a:extLst>
            <a:ext uri="{FF2B5EF4-FFF2-40B4-BE49-F238E27FC236}">
              <a16:creationId xmlns:a16="http://schemas.microsoft.com/office/drawing/2014/main" id="{050D0CA8-33A4-4590-93B7-06BF4698749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785" name="Text Box 1">
          <a:extLst>
            <a:ext uri="{FF2B5EF4-FFF2-40B4-BE49-F238E27FC236}">
              <a16:creationId xmlns:a16="http://schemas.microsoft.com/office/drawing/2014/main" id="{46A0E5FE-73A5-4A63-BF3D-331CC409498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786" name="Text Box 2">
          <a:extLst>
            <a:ext uri="{FF2B5EF4-FFF2-40B4-BE49-F238E27FC236}">
              <a16:creationId xmlns:a16="http://schemas.microsoft.com/office/drawing/2014/main" id="{52CEB378-9764-4C28-BD6E-2B0986D5694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87" name="Text Box 1">
          <a:extLst>
            <a:ext uri="{FF2B5EF4-FFF2-40B4-BE49-F238E27FC236}">
              <a16:creationId xmlns:a16="http://schemas.microsoft.com/office/drawing/2014/main" id="{45F4B6F8-0F1E-42DC-8541-34ADDAAEF5E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88" name="Text Box 2">
          <a:extLst>
            <a:ext uri="{FF2B5EF4-FFF2-40B4-BE49-F238E27FC236}">
              <a16:creationId xmlns:a16="http://schemas.microsoft.com/office/drawing/2014/main" id="{DE762D04-46AA-4309-B347-F526DBF791F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89" name="Text Box 1">
          <a:extLst>
            <a:ext uri="{FF2B5EF4-FFF2-40B4-BE49-F238E27FC236}">
              <a16:creationId xmlns:a16="http://schemas.microsoft.com/office/drawing/2014/main" id="{CDF432E4-EA78-461A-B56C-8BB4D5C50EB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90" name="Text Box 2">
          <a:extLst>
            <a:ext uri="{FF2B5EF4-FFF2-40B4-BE49-F238E27FC236}">
              <a16:creationId xmlns:a16="http://schemas.microsoft.com/office/drawing/2014/main" id="{7EE8D59B-FB4C-4DB1-B380-C13068C061E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791" name="Text Box 1">
          <a:extLst>
            <a:ext uri="{FF2B5EF4-FFF2-40B4-BE49-F238E27FC236}">
              <a16:creationId xmlns:a16="http://schemas.microsoft.com/office/drawing/2014/main" id="{63EE87A6-FEC4-4854-BA63-4DE58B29417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792" name="Text Box 2">
          <a:extLst>
            <a:ext uri="{FF2B5EF4-FFF2-40B4-BE49-F238E27FC236}">
              <a16:creationId xmlns:a16="http://schemas.microsoft.com/office/drawing/2014/main" id="{9C36075E-5C78-4F1A-8954-7A1F022C3EF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793" name="Text Box 2">
          <a:extLst>
            <a:ext uri="{FF2B5EF4-FFF2-40B4-BE49-F238E27FC236}">
              <a16:creationId xmlns:a16="http://schemas.microsoft.com/office/drawing/2014/main" id="{F08290AB-5AC7-4FBF-A84F-2AD11EDC86B4}"/>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94" name="Text Box 1">
          <a:extLst>
            <a:ext uri="{FF2B5EF4-FFF2-40B4-BE49-F238E27FC236}">
              <a16:creationId xmlns:a16="http://schemas.microsoft.com/office/drawing/2014/main" id="{AF82B27B-A5A9-4866-8EDD-4893C1C634A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95" name="Text Box 2">
          <a:extLst>
            <a:ext uri="{FF2B5EF4-FFF2-40B4-BE49-F238E27FC236}">
              <a16:creationId xmlns:a16="http://schemas.microsoft.com/office/drawing/2014/main" id="{4AECA53D-BC8A-401A-94ED-43D740CDFD5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96" name="Text Box 1">
          <a:extLst>
            <a:ext uri="{FF2B5EF4-FFF2-40B4-BE49-F238E27FC236}">
              <a16:creationId xmlns:a16="http://schemas.microsoft.com/office/drawing/2014/main" id="{ECF13ADA-4DCD-490A-96C9-30AADDD83B8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97" name="Text Box 2">
          <a:extLst>
            <a:ext uri="{FF2B5EF4-FFF2-40B4-BE49-F238E27FC236}">
              <a16:creationId xmlns:a16="http://schemas.microsoft.com/office/drawing/2014/main" id="{834506FA-56F5-4D0A-9A28-4D41BF04A10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798" name="Text Box 1">
          <a:extLst>
            <a:ext uri="{FF2B5EF4-FFF2-40B4-BE49-F238E27FC236}">
              <a16:creationId xmlns:a16="http://schemas.microsoft.com/office/drawing/2014/main" id="{3BBF845B-788C-4B06-9C0B-7C25DFB90E1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799" name="Text Box 2">
          <a:extLst>
            <a:ext uri="{FF2B5EF4-FFF2-40B4-BE49-F238E27FC236}">
              <a16:creationId xmlns:a16="http://schemas.microsoft.com/office/drawing/2014/main" id="{8924EF67-8D94-45A6-AE58-31251E3E700E}"/>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00" name="Text Box 1">
          <a:extLst>
            <a:ext uri="{FF2B5EF4-FFF2-40B4-BE49-F238E27FC236}">
              <a16:creationId xmlns:a16="http://schemas.microsoft.com/office/drawing/2014/main" id="{5F8BA434-7E5C-4EBA-8715-08E1E2E99B3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01" name="Text Box 2">
          <a:extLst>
            <a:ext uri="{FF2B5EF4-FFF2-40B4-BE49-F238E27FC236}">
              <a16:creationId xmlns:a16="http://schemas.microsoft.com/office/drawing/2014/main" id="{85DAD346-EEB1-4B9A-9EFD-FD5F9BBCFBD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802" name="Text Box 2">
          <a:extLst>
            <a:ext uri="{FF2B5EF4-FFF2-40B4-BE49-F238E27FC236}">
              <a16:creationId xmlns:a16="http://schemas.microsoft.com/office/drawing/2014/main" id="{A937C07C-598F-448F-9D5B-9FF80E11A098}"/>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03" name="Text Box 1">
          <a:extLst>
            <a:ext uri="{FF2B5EF4-FFF2-40B4-BE49-F238E27FC236}">
              <a16:creationId xmlns:a16="http://schemas.microsoft.com/office/drawing/2014/main" id="{5554D18E-5209-42AE-A46B-52380219351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04" name="Text Box 2">
          <a:extLst>
            <a:ext uri="{FF2B5EF4-FFF2-40B4-BE49-F238E27FC236}">
              <a16:creationId xmlns:a16="http://schemas.microsoft.com/office/drawing/2014/main" id="{994AE6AC-19E9-4448-8D40-22782458810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805" name="Text Box 2">
          <a:extLst>
            <a:ext uri="{FF2B5EF4-FFF2-40B4-BE49-F238E27FC236}">
              <a16:creationId xmlns:a16="http://schemas.microsoft.com/office/drawing/2014/main" id="{D2027C5E-67FC-4918-8947-4449A8FC8A6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06" name="Text Box 1">
          <a:extLst>
            <a:ext uri="{FF2B5EF4-FFF2-40B4-BE49-F238E27FC236}">
              <a16:creationId xmlns:a16="http://schemas.microsoft.com/office/drawing/2014/main" id="{A23C5C22-93ED-4423-937A-583F71481DC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07" name="Text Box 2">
          <a:extLst>
            <a:ext uri="{FF2B5EF4-FFF2-40B4-BE49-F238E27FC236}">
              <a16:creationId xmlns:a16="http://schemas.microsoft.com/office/drawing/2014/main" id="{6A4DF671-E22C-4C88-B2E7-9B170E6DABD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808" name="Text Box 2">
          <a:extLst>
            <a:ext uri="{FF2B5EF4-FFF2-40B4-BE49-F238E27FC236}">
              <a16:creationId xmlns:a16="http://schemas.microsoft.com/office/drawing/2014/main" id="{666F6BAF-0027-4728-A3BB-B5431FE0217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09" name="Text Box 1">
          <a:extLst>
            <a:ext uri="{FF2B5EF4-FFF2-40B4-BE49-F238E27FC236}">
              <a16:creationId xmlns:a16="http://schemas.microsoft.com/office/drawing/2014/main" id="{4CDD7F2B-72B2-4E4E-A50B-94EA6079A3F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10" name="Text Box 2">
          <a:extLst>
            <a:ext uri="{FF2B5EF4-FFF2-40B4-BE49-F238E27FC236}">
              <a16:creationId xmlns:a16="http://schemas.microsoft.com/office/drawing/2014/main" id="{50596552-E5C0-441F-82EF-6C9618943CD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811" name="Text Box 2">
          <a:extLst>
            <a:ext uri="{FF2B5EF4-FFF2-40B4-BE49-F238E27FC236}">
              <a16:creationId xmlns:a16="http://schemas.microsoft.com/office/drawing/2014/main" id="{99ED5428-E8F1-4ED5-AA58-2F4C8EED872E}"/>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12" name="Text Box 1">
          <a:extLst>
            <a:ext uri="{FF2B5EF4-FFF2-40B4-BE49-F238E27FC236}">
              <a16:creationId xmlns:a16="http://schemas.microsoft.com/office/drawing/2014/main" id="{DD73682A-B375-44F9-9AB0-CC970945769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13" name="Text Box 2">
          <a:extLst>
            <a:ext uri="{FF2B5EF4-FFF2-40B4-BE49-F238E27FC236}">
              <a16:creationId xmlns:a16="http://schemas.microsoft.com/office/drawing/2014/main" id="{A1487B7C-92D1-4996-9146-62B2234382A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814" name="Text Box 2">
          <a:extLst>
            <a:ext uri="{FF2B5EF4-FFF2-40B4-BE49-F238E27FC236}">
              <a16:creationId xmlns:a16="http://schemas.microsoft.com/office/drawing/2014/main" id="{84265204-BC1A-4EA9-AEE7-E1973028EA20}"/>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15" name="Text Box 1">
          <a:extLst>
            <a:ext uri="{FF2B5EF4-FFF2-40B4-BE49-F238E27FC236}">
              <a16:creationId xmlns:a16="http://schemas.microsoft.com/office/drawing/2014/main" id="{600A780D-EB25-4695-81BF-E83AD026351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16" name="Text Box 2">
          <a:extLst>
            <a:ext uri="{FF2B5EF4-FFF2-40B4-BE49-F238E27FC236}">
              <a16:creationId xmlns:a16="http://schemas.microsoft.com/office/drawing/2014/main" id="{744E2D84-F899-4DDA-84AB-8EBD1DA9430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817" name="Text Box 2">
          <a:extLst>
            <a:ext uri="{FF2B5EF4-FFF2-40B4-BE49-F238E27FC236}">
              <a16:creationId xmlns:a16="http://schemas.microsoft.com/office/drawing/2014/main" id="{CA390AA4-45AA-4898-9DF4-B88CE8D5A69B}"/>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18" name="Text Box 1">
          <a:extLst>
            <a:ext uri="{FF2B5EF4-FFF2-40B4-BE49-F238E27FC236}">
              <a16:creationId xmlns:a16="http://schemas.microsoft.com/office/drawing/2014/main" id="{2D3DB87A-C1FE-4418-9527-AB2247187C4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19" name="Text Box 2">
          <a:extLst>
            <a:ext uri="{FF2B5EF4-FFF2-40B4-BE49-F238E27FC236}">
              <a16:creationId xmlns:a16="http://schemas.microsoft.com/office/drawing/2014/main" id="{32C8AFAF-3542-4392-9A0B-553B3813758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20" name="Text Box 1">
          <a:extLst>
            <a:ext uri="{FF2B5EF4-FFF2-40B4-BE49-F238E27FC236}">
              <a16:creationId xmlns:a16="http://schemas.microsoft.com/office/drawing/2014/main" id="{2A9338AE-FDA2-441E-ADF8-B16771652A2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21" name="Text Box 2">
          <a:extLst>
            <a:ext uri="{FF2B5EF4-FFF2-40B4-BE49-F238E27FC236}">
              <a16:creationId xmlns:a16="http://schemas.microsoft.com/office/drawing/2014/main" id="{9AFA3A66-6B37-47A9-BDDA-605F5EF84D8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22" name="Text Box 1">
          <a:extLst>
            <a:ext uri="{FF2B5EF4-FFF2-40B4-BE49-F238E27FC236}">
              <a16:creationId xmlns:a16="http://schemas.microsoft.com/office/drawing/2014/main" id="{6A0C963C-F3FE-4B52-864B-ADF65F0A5B4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23" name="Text Box 2">
          <a:extLst>
            <a:ext uri="{FF2B5EF4-FFF2-40B4-BE49-F238E27FC236}">
              <a16:creationId xmlns:a16="http://schemas.microsoft.com/office/drawing/2014/main" id="{4123E9BD-84D0-4B88-96E0-BDAF0A6B5C8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824" name="Text Box 1">
          <a:extLst>
            <a:ext uri="{FF2B5EF4-FFF2-40B4-BE49-F238E27FC236}">
              <a16:creationId xmlns:a16="http://schemas.microsoft.com/office/drawing/2014/main" id="{BDE6368E-4861-4770-A4CD-62E8A445298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825" name="Text Box 2">
          <a:extLst>
            <a:ext uri="{FF2B5EF4-FFF2-40B4-BE49-F238E27FC236}">
              <a16:creationId xmlns:a16="http://schemas.microsoft.com/office/drawing/2014/main" id="{AFBF8A37-A4F6-4B4A-884F-32977FB3271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26" name="Text Box 1">
          <a:extLst>
            <a:ext uri="{FF2B5EF4-FFF2-40B4-BE49-F238E27FC236}">
              <a16:creationId xmlns:a16="http://schemas.microsoft.com/office/drawing/2014/main" id="{249A9F40-0A49-49C5-8AEB-0E35B677AF6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27" name="Text Box 2">
          <a:extLst>
            <a:ext uri="{FF2B5EF4-FFF2-40B4-BE49-F238E27FC236}">
              <a16:creationId xmlns:a16="http://schemas.microsoft.com/office/drawing/2014/main" id="{E0276AEE-BB28-4E2E-8C07-646BFDAEC3A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828" name="Text Box 1">
          <a:extLst>
            <a:ext uri="{FF2B5EF4-FFF2-40B4-BE49-F238E27FC236}">
              <a16:creationId xmlns:a16="http://schemas.microsoft.com/office/drawing/2014/main" id="{1EBFAFFD-8C6B-495B-924F-8AEA9D9086B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829" name="Text Box 2">
          <a:extLst>
            <a:ext uri="{FF2B5EF4-FFF2-40B4-BE49-F238E27FC236}">
              <a16:creationId xmlns:a16="http://schemas.microsoft.com/office/drawing/2014/main" id="{72E85FEB-EFD3-4D24-A490-932AADAB52C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30" name="Text Box 1">
          <a:extLst>
            <a:ext uri="{FF2B5EF4-FFF2-40B4-BE49-F238E27FC236}">
              <a16:creationId xmlns:a16="http://schemas.microsoft.com/office/drawing/2014/main" id="{861F5F37-1BD3-4EF9-8CB7-79813C1AB98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31" name="Text Box 2">
          <a:extLst>
            <a:ext uri="{FF2B5EF4-FFF2-40B4-BE49-F238E27FC236}">
              <a16:creationId xmlns:a16="http://schemas.microsoft.com/office/drawing/2014/main" id="{31D93C75-833B-4F06-9C1A-231C2BE2B2D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32" name="Text Box 1">
          <a:extLst>
            <a:ext uri="{FF2B5EF4-FFF2-40B4-BE49-F238E27FC236}">
              <a16:creationId xmlns:a16="http://schemas.microsoft.com/office/drawing/2014/main" id="{AB8F888D-31DC-470D-9689-5B57FA0A475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33" name="Text Box 2">
          <a:extLst>
            <a:ext uri="{FF2B5EF4-FFF2-40B4-BE49-F238E27FC236}">
              <a16:creationId xmlns:a16="http://schemas.microsoft.com/office/drawing/2014/main" id="{F6930630-B815-4141-A505-1241306BE30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834" name="Text Box 1">
          <a:extLst>
            <a:ext uri="{FF2B5EF4-FFF2-40B4-BE49-F238E27FC236}">
              <a16:creationId xmlns:a16="http://schemas.microsoft.com/office/drawing/2014/main" id="{4D19EDE2-10C1-40DB-BDCB-E6A2597C17C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835" name="Text Box 2">
          <a:extLst>
            <a:ext uri="{FF2B5EF4-FFF2-40B4-BE49-F238E27FC236}">
              <a16:creationId xmlns:a16="http://schemas.microsoft.com/office/drawing/2014/main" id="{4D2375BD-67DC-4C05-9DB3-D8958B97774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36" name="Text Box 1">
          <a:extLst>
            <a:ext uri="{FF2B5EF4-FFF2-40B4-BE49-F238E27FC236}">
              <a16:creationId xmlns:a16="http://schemas.microsoft.com/office/drawing/2014/main" id="{591FCBFF-00B0-4622-B55D-9CFD3FA7545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37" name="Text Box 2">
          <a:extLst>
            <a:ext uri="{FF2B5EF4-FFF2-40B4-BE49-F238E27FC236}">
              <a16:creationId xmlns:a16="http://schemas.microsoft.com/office/drawing/2014/main" id="{F0E11093-1565-43E5-9162-146786FF1A4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38" name="Text Box 2">
          <a:extLst>
            <a:ext uri="{FF2B5EF4-FFF2-40B4-BE49-F238E27FC236}">
              <a16:creationId xmlns:a16="http://schemas.microsoft.com/office/drawing/2014/main" id="{79393640-3DE3-4ACE-8A6F-D09AA1439FE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839" name="Text Box 1">
          <a:extLst>
            <a:ext uri="{FF2B5EF4-FFF2-40B4-BE49-F238E27FC236}">
              <a16:creationId xmlns:a16="http://schemas.microsoft.com/office/drawing/2014/main" id="{C01BA50E-365B-4351-B2B3-7978C84BC9F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840" name="Text Box 2">
          <a:extLst>
            <a:ext uri="{FF2B5EF4-FFF2-40B4-BE49-F238E27FC236}">
              <a16:creationId xmlns:a16="http://schemas.microsoft.com/office/drawing/2014/main" id="{A6984062-FBCA-407C-B29E-72D4090CD9C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41" name="Text Box 1">
          <a:extLst>
            <a:ext uri="{FF2B5EF4-FFF2-40B4-BE49-F238E27FC236}">
              <a16:creationId xmlns:a16="http://schemas.microsoft.com/office/drawing/2014/main" id="{42A738B1-1E81-4145-B1B2-5CEDA10633A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42" name="Text Box 2">
          <a:extLst>
            <a:ext uri="{FF2B5EF4-FFF2-40B4-BE49-F238E27FC236}">
              <a16:creationId xmlns:a16="http://schemas.microsoft.com/office/drawing/2014/main" id="{09176E3A-C4CC-4592-BF5A-0E9C65A17D0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843" name="Text Box 1">
          <a:extLst>
            <a:ext uri="{FF2B5EF4-FFF2-40B4-BE49-F238E27FC236}">
              <a16:creationId xmlns:a16="http://schemas.microsoft.com/office/drawing/2014/main" id="{843B43DE-1E42-46CD-A163-FFEB3E2D14E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844" name="Text Box 2">
          <a:extLst>
            <a:ext uri="{FF2B5EF4-FFF2-40B4-BE49-F238E27FC236}">
              <a16:creationId xmlns:a16="http://schemas.microsoft.com/office/drawing/2014/main" id="{81B520DD-0F43-40CD-9655-36A4876B235E}"/>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845" name="Text Box 1">
          <a:extLst>
            <a:ext uri="{FF2B5EF4-FFF2-40B4-BE49-F238E27FC236}">
              <a16:creationId xmlns:a16="http://schemas.microsoft.com/office/drawing/2014/main" id="{764D56B5-198C-4941-810C-D9E03197922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846" name="Text Box 2">
          <a:extLst>
            <a:ext uri="{FF2B5EF4-FFF2-40B4-BE49-F238E27FC236}">
              <a16:creationId xmlns:a16="http://schemas.microsoft.com/office/drawing/2014/main" id="{CBCED23A-9374-4BA9-9E05-8D340BB2286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47" name="Text Box 1">
          <a:extLst>
            <a:ext uri="{FF2B5EF4-FFF2-40B4-BE49-F238E27FC236}">
              <a16:creationId xmlns:a16="http://schemas.microsoft.com/office/drawing/2014/main" id="{C68D8AC6-A18F-4B9B-B103-57365AFE1B7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48" name="Text Box 2">
          <a:extLst>
            <a:ext uri="{FF2B5EF4-FFF2-40B4-BE49-F238E27FC236}">
              <a16:creationId xmlns:a16="http://schemas.microsoft.com/office/drawing/2014/main" id="{9032E19F-5AE7-468F-BD17-FF9B6DB3166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849" name="Text Box 1">
          <a:extLst>
            <a:ext uri="{FF2B5EF4-FFF2-40B4-BE49-F238E27FC236}">
              <a16:creationId xmlns:a16="http://schemas.microsoft.com/office/drawing/2014/main" id="{01C1D53D-EFB2-4486-A384-5D855778F5C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850" name="Text Box 2">
          <a:extLst>
            <a:ext uri="{FF2B5EF4-FFF2-40B4-BE49-F238E27FC236}">
              <a16:creationId xmlns:a16="http://schemas.microsoft.com/office/drawing/2014/main" id="{E65B859F-9FFB-4A39-B1B1-3388EA3B3A78}"/>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851" name="Text Box 1">
          <a:extLst>
            <a:ext uri="{FF2B5EF4-FFF2-40B4-BE49-F238E27FC236}">
              <a16:creationId xmlns:a16="http://schemas.microsoft.com/office/drawing/2014/main" id="{07FBF9F3-52FA-4E24-9697-D73565534DD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852" name="Text Box 2">
          <a:extLst>
            <a:ext uri="{FF2B5EF4-FFF2-40B4-BE49-F238E27FC236}">
              <a16:creationId xmlns:a16="http://schemas.microsoft.com/office/drawing/2014/main" id="{5CC8EDBF-4204-4526-A1BB-4FADCB470D81}"/>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53" name="Text Box 1">
          <a:extLst>
            <a:ext uri="{FF2B5EF4-FFF2-40B4-BE49-F238E27FC236}">
              <a16:creationId xmlns:a16="http://schemas.microsoft.com/office/drawing/2014/main" id="{BA80C5EC-4E2E-4DDE-8754-EC4891BF9BD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54" name="Text Box 2">
          <a:extLst>
            <a:ext uri="{FF2B5EF4-FFF2-40B4-BE49-F238E27FC236}">
              <a16:creationId xmlns:a16="http://schemas.microsoft.com/office/drawing/2014/main" id="{F5DC814B-CD9E-4FCC-A418-E0DAB49CBBC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855" name="Text Box 1">
          <a:extLst>
            <a:ext uri="{FF2B5EF4-FFF2-40B4-BE49-F238E27FC236}">
              <a16:creationId xmlns:a16="http://schemas.microsoft.com/office/drawing/2014/main" id="{B204A82E-3DF3-4047-9B99-692593BD248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856" name="Text Box 2">
          <a:extLst>
            <a:ext uri="{FF2B5EF4-FFF2-40B4-BE49-F238E27FC236}">
              <a16:creationId xmlns:a16="http://schemas.microsoft.com/office/drawing/2014/main" id="{8A410AFF-342F-4322-96BA-71251C33D7D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857" name="Text Box 1">
          <a:extLst>
            <a:ext uri="{FF2B5EF4-FFF2-40B4-BE49-F238E27FC236}">
              <a16:creationId xmlns:a16="http://schemas.microsoft.com/office/drawing/2014/main" id="{A46A334E-D40F-4F28-B15D-250EDC65F1E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858" name="Text Box 2">
          <a:extLst>
            <a:ext uri="{FF2B5EF4-FFF2-40B4-BE49-F238E27FC236}">
              <a16:creationId xmlns:a16="http://schemas.microsoft.com/office/drawing/2014/main" id="{78C566FA-27FA-4C8F-9A98-A6C0A9302A6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59" name="Text Box 1">
          <a:extLst>
            <a:ext uri="{FF2B5EF4-FFF2-40B4-BE49-F238E27FC236}">
              <a16:creationId xmlns:a16="http://schemas.microsoft.com/office/drawing/2014/main" id="{8CFF530A-8BDB-42F8-9172-C31274444E4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60" name="Text Box 2">
          <a:extLst>
            <a:ext uri="{FF2B5EF4-FFF2-40B4-BE49-F238E27FC236}">
              <a16:creationId xmlns:a16="http://schemas.microsoft.com/office/drawing/2014/main" id="{36B66F75-2EC0-4483-9997-EBE454263AA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861" name="Text Box 2">
          <a:extLst>
            <a:ext uri="{FF2B5EF4-FFF2-40B4-BE49-F238E27FC236}">
              <a16:creationId xmlns:a16="http://schemas.microsoft.com/office/drawing/2014/main" id="{AED8C966-0B9F-4C06-9F07-2ECFD02538EB}"/>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62" name="Text Box 1">
          <a:extLst>
            <a:ext uri="{FF2B5EF4-FFF2-40B4-BE49-F238E27FC236}">
              <a16:creationId xmlns:a16="http://schemas.microsoft.com/office/drawing/2014/main" id="{0DA56461-B738-481E-BA55-2390EA77876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63" name="Text Box 2">
          <a:extLst>
            <a:ext uri="{FF2B5EF4-FFF2-40B4-BE49-F238E27FC236}">
              <a16:creationId xmlns:a16="http://schemas.microsoft.com/office/drawing/2014/main" id="{9D1BE8E1-425C-4167-9760-6E1B4996973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64" name="Text Box 1">
          <a:extLst>
            <a:ext uri="{FF2B5EF4-FFF2-40B4-BE49-F238E27FC236}">
              <a16:creationId xmlns:a16="http://schemas.microsoft.com/office/drawing/2014/main" id="{382DD8D2-E7CF-40C6-9030-CB0289B1FF0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65" name="Text Box 2">
          <a:extLst>
            <a:ext uri="{FF2B5EF4-FFF2-40B4-BE49-F238E27FC236}">
              <a16:creationId xmlns:a16="http://schemas.microsoft.com/office/drawing/2014/main" id="{D72939A0-6A11-41CF-8829-53CB38B20C0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866" name="Text Box 1">
          <a:extLst>
            <a:ext uri="{FF2B5EF4-FFF2-40B4-BE49-F238E27FC236}">
              <a16:creationId xmlns:a16="http://schemas.microsoft.com/office/drawing/2014/main" id="{6086CD05-FB7B-4ECA-877D-B990CE7FE2B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867" name="Text Box 2">
          <a:extLst>
            <a:ext uri="{FF2B5EF4-FFF2-40B4-BE49-F238E27FC236}">
              <a16:creationId xmlns:a16="http://schemas.microsoft.com/office/drawing/2014/main" id="{3EDA13D2-3C30-453B-9DC7-471382F62CC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68" name="Text Box 1">
          <a:extLst>
            <a:ext uri="{FF2B5EF4-FFF2-40B4-BE49-F238E27FC236}">
              <a16:creationId xmlns:a16="http://schemas.microsoft.com/office/drawing/2014/main" id="{04D2E897-2F33-4E44-8DAB-7A44483D17F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69" name="Text Box 2">
          <a:extLst>
            <a:ext uri="{FF2B5EF4-FFF2-40B4-BE49-F238E27FC236}">
              <a16:creationId xmlns:a16="http://schemas.microsoft.com/office/drawing/2014/main" id="{B3117539-5CA5-4EFD-80AF-EE4A0CBCB84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870" name="Text Box 2">
          <a:extLst>
            <a:ext uri="{FF2B5EF4-FFF2-40B4-BE49-F238E27FC236}">
              <a16:creationId xmlns:a16="http://schemas.microsoft.com/office/drawing/2014/main" id="{8ADB825E-C3F4-4DD5-9519-DD2636382794}"/>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71" name="Text Box 1">
          <a:extLst>
            <a:ext uri="{FF2B5EF4-FFF2-40B4-BE49-F238E27FC236}">
              <a16:creationId xmlns:a16="http://schemas.microsoft.com/office/drawing/2014/main" id="{42B4A698-6843-4083-970F-DBFE47189D5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72" name="Text Box 2">
          <a:extLst>
            <a:ext uri="{FF2B5EF4-FFF2-40B4-BE49-F238E27FC236}">
              <a16:creationId xmlns:a16="http://schemas.microsoft.com/office/drawing/2014/main" id="{AB1D7AAD-BC96-4CEC-9C3F-CF333D4B06A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873" name="Text Box 2">
          <a:extLst>
            <a:ext uri="{FF2B5EF4-FFF2-40B4-BE49-F238E27FC236}">
              <a16:creationId xmlns:a16="http://schemas.microsoft.com/office/drawing/2014/main" id="{51B23AE4-62C4-4BDC-BAC2-20C2E5F9741B}"/>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74" name="Text Box 1">
          <a:extLst>
            <a:ext uri="{FF2B5EF4-FFF2-40B4-BE49-F238E27FC236}">
              <a16:creationId xmlns:a16="http://schemas.microsoft.com/office/drawing/2014/main" id="{AB24AD9D-866F-4097-9FA5-DDB46AB2EAD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75" name="Text Box 2">
          <a:extLst>
            <a:ext uri="{FF2B5EF4-FFF2-40B4-BE49-F238E27FC236}">
              <a16:creationId xmlns:a16="http://schemas.microsoft.com/office/drawing/2014/main" id="{E58C3648-C7AA-497D-8CF8-5CD7CC9C507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876" name="Text Box 2">
          <a:extLst>
            <a:ext uri="{FF2B5EF4-FFF2-40B4-BE49-F238E27FC236}">
              <a16:creationId xmlns:a16="http://schemas.microsoft.com/office/drawing/2014/main" id="{91573D78-3D7B-40ED-916C-68BBD13089C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77" name="Text Box 1">
          <a:extLst>
            <a:ext uri="{FF2B5EF4-FFF2-40B4-BE49-F238E27FC236}">
              <a16:creationId xmlns:a16="http://schemas.microsoft.com/office/drawing/2014/main" id="{D512752C-69F7-4DBF-B101-046B8B7D9A1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78" name="Text Box 2">
          <a:extLst>
            <a:ext uri="{FF2B5EF4-FFF2-40B4-BE49-F238E27FC236}">
              <a16:creationId xmlns:a16="http://schemas.microsoft.com/office/drawing/2014/main" id="{BA951F97-7636-441C-AED9-B6C83A8F3AA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879" name="Text Box 2">
          <a:extLst>
            <a:ext uri="{FF2B5EF4-FFF2-40B4-BE49-F238E27FC236}">
              <a16:creationId xmlns:a16="http://schemas.microsoft.com/office/drawing/2014/main" id="{BCDC2C8F-7CBC-4EEB-8263-3086C8A8FC5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80" name="Text Box 1">
          <a:extLst>
            <a:ext uri="{FF2B5EF4-FFF2-40B4-BE49-F238E27FC236}">
              <a16:creationId xmlns:a16="http://schemas.microsoft.com/office/drawing/2014/main" id="{6E6960B5-90F9-490B-8C2A-DABC0D30811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81" name="Text Box 2">
          <a:extLst>
            <a:ext uri="{FF2B5EF4-FFF2-40B4-BE49-F238E27FC236}">
              <a16:creationId xmlns:a16="http://schemas.microsoft.com/office/drawing/2014/main" id="{63AEE7A1-BF7C-4892-BC16-756041F402C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882" name="Text Box 2">
          <a:extLst>
            <a:ext uri="{FF2B5EF4-FFF2-40B4-BE49-F238E27FC236}">
              <a16:creationId xmlns:a16="http://schemas.microsoft.com/office/drawing/2014/main" id="{09C699DD-5FE9-43A6-94F8-817884B3AF44}"/>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83" name="Text Box 1">
          <a:extLst>
            <a:ext uri="{FF2B5EF4-FFF2-40B4-BE49-F238E27FC236}">
              <a16:creationId xmlns:a16="http://schemas.microsoft.com/office/drawing/2014/main" id="{2B7C7F6F-E1E2-48A6-BFC1-8A64B195CF2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84" name="Text Box 2">
          <a:extLst>
            <a:ext uri="{FF2B5EF4-FFF2-40B4-BE49-F238E27FC236}">
              <a16:creationId xmlns:a16="http://schemas.microsoft.com/office/drawing/2014/main" id="{BC6BFA9D-2C23-4281-8554-8100390DBE5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885" name="Text Box 2">
          <a:extLst>
            <a:ext uri="{FF2B5EF4-FFF2-40B4-BE49-F238E27FC236}">
              <a16:creationId xmlns:a16="http://schemas.microsoft.com/office/drawing/2014/main" id="{77589954-E856-403E-93CF-DC3A10ECEBAD}"/>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86" name="Text Box 1">
          <a:extLst>
            <a:ext uri="{FF2B5EF4-FFF2-40B4-BE49-F238E27FC236}">
              <a16:creationId xmlns:a16="http://schemas.microsoft.com/office/drawing/2014/main" id="{999D5856-3E85-4308-B175-EFBE399B9AB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87" name="Text Box 2">
          <a:extLst>
            <a:ext uri="{FF2B5EF4-FFF2-40B4-BE49-F238E27FC236}">
              <a16:creationId xmlns:a16="http://schemas.microsoft.com/office/drawing/2014/main" id="{62AB7DBB-6615-42AF-961E-F34612798AE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88" name="Text Box 1">
          <a:extLst>
            <a:ext uri="{FF2B5EF4-FFF2-40B4-BE49-F238E27FC236}">
              <a16:creationId xmlns:a16="http://schemas.microsoft.com/office/drawing/2014/main" id="{A774115F-D78E-4BC2-A4F1-78D26E52C66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89" name="Text Box 2">
          <a:extLst>
            <a:ext uri="{FF2B5EF4-FFF2-40B4-BE49-F238E27FC236}">
              <a16:creationId xmlns:a16="http://schemas.microsoft.com/office/drawing/2014/main" id="{32AAFD64-C0B6-436F-9940-D3DC7078927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90" name="Text Box 1">
          <a:extLst>
            <a:ext uri="{FF2B5EF4-FFF2-40B4-BE49-F238E27FC236}">
              <a16:creationId xmlns:a16="http://schemas.microsoft.com/office/drawing/2014/main" id="{D6205D48-FD42-4F38-8E73-A329E7A91D8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91" name="Text Box 2">
          <a:extLst>
            <a:ext uri="{FF2B5EF4-FFF2-40B4-BE49-F238E27FC236}">
              <a16:creationId xmlns:a16="http://schemas.microsoft.com/office/drawing/2014/main" id="{96F2EB08-85B4-464C-83DD-CAFE9C6797D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892" name="Text Box 1">
          <a:extLst>
            <a:ext uri="{FF2B5EF4-FFF2-40B4-BE49-F238E27FC236}">
              <a16:creationId xmlns:a16="http://schemas.microsoft.com/office/drawing/2014/main" id="{21892933-5D7F-42E8-9E15-0A8F9C3F43E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893" name="Text Box 2">
          <a:extLst>
            <a:ext uri="{FF2B5EF4-FFF2-40B4-BE49-F238E27FC236}">
              <a16:creationId xmlns:a16="http://schemas.microsoft.com/office/drawing/2014/main" id="{41655C10-114F-43EB-BDC1-2128A3F7604E}"/>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94" name="Text Box 1">
          <a:extLst>
            <a:ext uri="{FF2B5EF4-FFF2-40B4-BE49-F238E27FC236}">
              <a16:creationId xmlns:a16="http://schemas.microsoft.com/office/drawing/2014/main" id="{16B2C613-A9DE-474F-84A7-343B0F9A414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95" name="Text Box 2">
          <a:extLst>
            <a:ext uri="{FF2B5EF4-FFF2-40B4-BE49-F238E27FC236}">
              <a16:creationId xmlns:a16="http://schemas.microsoft.com/office/drawing/2014/main" id="{4E203218-89B0-4403-9BBF-8DFD3D621E1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896" name="Text Box 1">
          <a:extLst>
            <a:ext uri="{FF2B5EF4-FFF2-40B4-BE49-F238E27FC236}">
              <a16:creationId xmlns:a16="http://schemas.microsoft.com/office/drawing/2014/main" id="{4D633E30-AAA8-4E5B-A325-B8A3BB56BE9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897" name="Text Box 2">
          <a:extLst>
            <a:ext uri="{FF2B5EF4-FFF2-40B4-BE49-F238E27FC236}">
              <a16:creationId xmlns:a16="http://schemas.microsoft.com/office/drawing/2014/main" id="{6398A5FB-1DD3-4DDA-A993-A0DE8746542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98" name="Text Box 2">
          <a:extLst>
            <a:ext uri="{FF2B5EF4-FFF2-40B4-BE49-F238E27FC236}">
              <a16:creationId xmlns:a16="http://schemas.microsoft.com/office/drawing/2014/main" id="{5A7149BB-64C1-417F-A930-D3202F7017F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99" name="Text Box 1">
          <a:extLst>
            <a:ext uri="{FF2B5EF4-FFF2-40B4-BE49-F238E27FC236}">
              <a16:creationId xmlns:a16="http://schemas.microsoft.com/office/drawing/2014/main" id="{4E032CA1-E0E2-4B61-8A09-4B45563D37E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00" name="Text Box 2">
          <a:extLst>
            <a:ext uri="{FF2B5EF4-FFF2-40B4-BE49-F238E27FC236}">
              <a16:creationId xmlns:a16="http://schemas.microsoft.com/office/drawing/2014/main" id="{075CC6F0-D39B-4FEF-B6CA-49EEB19F161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01" name="Text Box 1">
          <a:extLst>
            <a:ext uri="{FF2B5EF4-FFF2-40B4-BE49-F238E27FC236}">
              <a16:creationId xmlns:a16="http://schemas.microsoft.com/office/drawing/2014/main" id="{5DAEBEB1-8387-4E40-B96E-C9F9FF48150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02" name="Text Box 2">
          <a:extLst>
            <a:ext uri="{FF2B5EF4-FFF2-40B4-BE49-F238E27FC236}">
              <a16:creationId xmlns:a16="http://schemas.microsoft.com/office/drawing/2014/main" id="{7F5E6520-BD0E-47BC-9416-3D67D34A4E5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03" name="Text Box 1">
          <a:extLst>
            <a:ext uri="{FF2B5EF4-FFF2-40B4-BE49-F238E27FC236}">
              <a16:creationId xmlns:a16="http://schemas.microsoft.com/office/drawing/2014/main" id="{1CAD98CC-6487-44CB-A715-859AF9DDC9A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04" name="Text Box 2">
          <a:extLst>
            <a:ext uri="{FF2B5EF4-FFF2-40B4-BE49-F238E27FC236}">
              <a16:creationId xmlns:a16="http://schemas.microsoft.com/office/drawing/2014/main" id="{68609883-EAB2-4325-BCBB-109D16BB3B2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05" name="Text Box 2">
          <a:extLst>
            <a:ext uri="{FF2B5EF4-FFF2-40B4-BE49-F238E27FC236}">
              <a16:creationId xmlns:a16="http://schemas.microsoft.com/office/drawing/2014/main" id="{5C65A1BA-298D-486A-86F0-F18F70A0325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06" name="Text Box 1">
          <a:extLst>
            <a:ext uri="{FF2B5EF4-FFF2-40B4-BE49-F238E27FC236}">
              <a16:creationId xmlns:a16="http://schemas.microsoft.com/office/drawing/2014/main" id="{3C73B70C-4A06-4FC7-9D28-AB666F6F324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07" name="Text Box 2">
          <a:extLst>
            <a:ext uri="{FF2B5EF4-FFF2-40B4-BE49-F238E27FC236}">
              <a16:creationId xmlns:a16="http://schemas.microsoft.com/office/drawing/2014/main" id="{6A56C5F0-7F4B-4835-87F7-4AF637FDCE7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08" name="Text Box 1">
          <a:extLst>
            <a:ext uri="{FF2B5EF4-FFF2-40B4-BE49-F238E27FC236}">
              <a16:creationId xmlns:a16="http://schemas.microsoft.com/office/drawing/2014/main" id="{415E47D4-DFAE-471D-BBF2-5B2AEA196B1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09" name="Text Box 2">
          <a:extLst>
            <a:ext uri="{FF2B5EF4-FFF2-40B4-BE49-F238E27FC236}">
              <a16:creationId xmlns:a16="http://schemas.microsoft.com/office/drawing/2014/main" id="{9743EE57-63AE-4833-AE51-C61CD8739C9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10" name="Text Box 1">
          <a:extLst>
            <a:ext uri="{FF2B5EF4-FFF2-40B4-BE49-F238E27FC236}">
              <a16:creationId xmlns:a16="http://schemas.microsoft.com/office/drawing/2014/main" id="{F806D197-D521-4329-8411-EF4AA1F698F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11" name="Text Box 2">
          <a:extLst>
            <a:ext uri="{FF2B5EF4-FFF2-40B4-BE49-F238E27FC236}">
              <a16:creationId xmlns:a16="http://schemas.microsoft.com/office/drawing/2014/main" id="{ACC576E8-626B-4C0A-B892-C1624E1A5EB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12" name="Text Box 1">
          <a:extLst>
            <a:ext uri="{FF2B5EF4-FFF2-40B4-BE49-F238E27FC236}">
              <a16:creationId xmlns:a16="http://schemas.microsoft.com/office/drawing/2014/main" id="{052995DC-D1B7-48B2-9DFC-836BAD2F106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13" name="Text Box 2">
          <a:extLst>
            <a:ext uri="{FF2B5EF4-FFF2-40B4-BE49-F238E27FC236}">
              <a16:creationId xmlns:a16="http://schemas.microsoft.com/office/drawing/2014/main" id="{B813FCD3-3762-4FD7-98D9-37311BB6BA3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14" name="Text Box 1">
          <a:extLst>
            <a:ext uri="{FF2B5EF4-FFF2-40B4-BE49-F238E27FC236}">
              <a16:creationId xmlns:a16="http://schemas.microsoft.com/office/drawing/2014/main" id="{F4B7833D-1EFB-4164-BF9A-3D13AFA9DC3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15" name="Text Box 2">
          <a:extLst>
            <a:ext uri="{FF2B5EF4-FFF2-40B4-BE49-F238E27FC236}">
              <a16:creationId xmlns:a16="http://schemas.microsoft.com/office/drawing/2014/main" id="{81E7FDB9-7C83-4A2D-B143-5B10D9FEE37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16" name="Text Box 1">
          <a:extLst>
            <a:ext uri="{FF2B5EF4-FFF2-40B4-BE49-F238E27FC236}">
              <a16:creationId xmlns:a16="http://schemas.microsoft.com/office/drawing/2014/main" id="{EA726AFA-33B8-4994-8415-DDA2EB0A1ED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17" name="Text Box 2">
          <a:extLst>
            <a:ext uri="{FF2B5EF4-FFF2-40B4-BE49-F238E27FC236}">
              <a16:creationId xmlns:a16="http://schemas.microsoft.com/office/drawing/2014/main" id="{C3CA0FBC-EDC7-48AE-BC0F-08BA6FEF333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18" name="Text Box 1">
          <a:extLst>
            <a:ext uri="{FF2B5EF4-FFF2-40B4-BE49-F238E27FC236}">
              <a16:creationId xmlns:a16="http://schemas.microsoft.com/office/drawing/2014/main" id="{D3219E71-0817-4D8E-A927-8D8899089D0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19" name="Text Box 2">
          <a:extLst>
            <a:ext uri="{FF2B5EF4-FFF2-40B4-BE49-F238E27FC236}">
              <a16:creationId xmlns:a16="http://schemas.microsoft.com/office/drawing/2014/main" id="{FFBDABA8-C500-409A-BFD7-CDEE3FAAE2A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20" name="Text Box 1">
          <a:extLst>
            <a:ext uri="{FF2B5EF4-FFF2-40B4-BE49-F238E27FC236}">
              <a16:creationId xmlns:a16="http://schemas.microsoft.com/office/drawing/2014/main" id="{DC399CF6-5214-430B-B58D-99386CA35AD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21" name="Text Box 2">
          <a:extLst>
            <a:ext uri="{FF2B5EF4-FFF2-40B4-BE49-F238E27FC236}">
              <a16:creationId xmlns:a16="http://schemas.microsoft.com/office/drawing/2014/main" id="{125EB696-8ECB-4418-A202-BCEF6EF6932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22" name="Text Box 1">
          <a:extLst>
            <a:ext uri="{FF2B5EF4-FFF2-40B4-BE49-F238E27FC236}">
              <a16:creationId xmlns:a16="http://schemas.microsoft.com/office/drawing/2014/main" id="{FDE4E6B1-3F80-4D06-8111-0ABC034C884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23" name="Text Box 2">
          <a:extLst>
            <a:ext uri="{FF2B5EF4-FFF2-40B4-BE49-F238E27FC236}">
              <a16:creationId xmlns:a16="http://schemas.microsoft.com/office/drawing/2014/main" id="{2DB79DA9-25D6-4993-B684-6EC802E40FA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24" name="Text Box 1">
          <a:extLst>
            <a:ext uri="{FF2B5EF4-FFF2-40B4-BE49-F238E27FC236}">
              <a16:creationId xmlns:a16="http://schemas.microsoft.com/office/drawing/2014/main" id="{7C635896-2DAE-4574-A435-F39CED34851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25" name="Text Box 2">
          <a:extLst>
            <a:ext uri="{FF2B5EF4-FFF2-40B4-BE49-F238E27FC236}">
              <a16:creationId xmlns:a16="http://schemas.microsoft.com/office/drawing/2014/main" id="{2F41BDC0-6D18-4F8F-BEB8-36780F63034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26" name="Text Box 1">
          <a:extLst>
            <a:ext uri="{FF2B5EF4-FFF2-40B4-BE49-F238E27FC236}">
              <a16:creationId xmlns:a16="http://schemas.microsoft.com/office/drawing/2014/main" id="{6D5D3CFA-F0BC-43E8-A8A2-49445E8E5CF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27" name="Text Box 2">
          <a:extLst>
            <a:ext uri="{FF2B5EF4-FFF2-40B4-BE49-F238E27FC236}">
              <a16:creationId xmlns:a16="http://schemas.microsoft.com/office/drawing/2014/main" id="{BACCA2D5-D291-4A3F-84A4-3F7C1CCEFC6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28" name="Text Box 1">
          <a:extLst>
            <a:ext uri="{FF2B5EF4-FFF2-40B4-BE49-F238E27FC236}">
              <a16:creationId xmlns:a16="http://schemas.microsoft.com/office/drawing/2014/main" id="{EE92DC5B-84BD-41D4-A835-86ABF2C6445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29" name="Text Box 2">
          <a:extLst>
            <a:ext uri="{FF2B5EF4-FFF2-40B4-BE49-F238E27FC236}">
              <a16:creationId xmlns:a16="http://schemas.microsoft.com/office/drawing/2014/main" id="{0F554942-E394-4E3F-9B6C-F766604E181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30" name="Text Box 1">
          <a:extLst>
            <a:ext uri="{FF2B5EF4-FFF2-40B4-BE49-F238E27FC236}">
              <a16:creationId xmlns:a16="http://schemas.microsoft.com/office/drawing/2014/main" id="{9143610F-C2FE-48AC-8393-F818E3A4D63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31" name="Text Box 2">
          <a:extLst>
            <a:ext uri="{FF2B5EF4-FFF2-40B4-BE49-F238E27FC236}">
              <a16:creationId xmlns:a16="http://schemas.microsoft.com/office/drawing/2014/main" id="{A7F1D870-312C-4E0B-B21D-D82CFBC271F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32" name="Text Box 1">
          <a:extLst>
            <a:ext uri="{FF2B5EF4-FFF2-40B4-BE49-F238E27FC236}">
              <a16:creationId xmlns:a16="http://schemas.microsoft.com/office/drawing/2014/main" id="{A83425CE-A7C8-4B13-8F43-4CE70F9CE9E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33" name="Text Box 2">
          <a:extLst>
            <a:ext uri="{FF2B5EF4-FFF2-40B4-BE49-F238E27FC236}">
              <a16:creationId xmlns:a16="http://schemas.microsoft.com/office/drawing/2014/main" id="{9B39C3FE-C128-4661-9C65-27D32D17536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34" name="Text Box 1">
          <a:extLst>
            <a:ext uri="{FF2B5EF4-FFF2-40B4-BE49-F238E27FC236}">
              <a16:creationId xmlns:a16="http://schemas.microsoft.com/office/drawing/2014/main" id="{B8CCA023-1A45-4272-9391-C00CDBA4172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35" name="Text Box 2">
          <a:extLst>
            <a:ext uri="{FF2B5EF4-FFF2-40B4-BE49-F238E27FC236}">
              <a16:creationId xmlns:a16="http://schemas.microsoft.com/office/drawing/2014/main" id="{F5827B29-77CB-4776-9559-9DBA35F7598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36" name="Text Box 1">
          <a:extLst>
            <a:ext uri="{FF2B5EF4-FFF2-40B4-BE49-F238E27FC236}">
              <a16:creationId xmlns:a16="http://schemas.microsoft.com/office/drawing/2014/main" id="{D5B3AB0A-6D24-42CD-838F-61F7697A7AC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37" name="Text Box 2">
          <a:extLst>
            <a:ext uri="{FF2B5EF4-FFF2-40B4-BE49-F238E27FC236}">
              <a16:creationId xmlns:a16="http://schemas.microsoft.com/office/drawing/2014/main" id="{42B9C7FA-4045-49AF-B471-7ED0361D0F5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38" name="Text Box 1">
          <a:extLst>
            <a:ext uri="{FF2B5EF4-FFF2-40B4-BE49-F238E27FC236}">
              <a16:creationId xmlns:a16="http://schemas.microsoft.com/office/drawing/2014/main" id="{3D1B126A-C968-4B13-8193-D2F85FBB8BF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39" name="Text Box 2">
          <a:extLst>
            <a:ext uri="{FF2B5EF4-FFF2-40B4-BE49-F238E27FC236}">
              <a16:creationId xmlns:a16="http://schemas.microsoft.com/office/drawing/2014/main" id="{5EED068A-C86D-4DB7-B695-E3E8BBFBF5E8}"/>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40" name="Text Box 1">
          <a:extLst>
            <a:ext uri="{FF2B5EF4-FFF2-40B4-BE49-F238E27FC236}">
              <a16:creationId xmlns:a16="http://schemas.microsoft.com/office/drawing/2014/main" id="{2E24E37A-98DF-47EF-8479-F06718B8B3D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41" name="Text Box 2">
          <a:extLst>
            <a:ext uri="{FF2B5EF4-FFF2-40B4-BE49-F238E27FC236}">
              <a16:creationId xmlns:a16="http://schemas.microsoft.com/office/drawing/2014/main" id="{3A5A4AFF-A8AB-4183-80B2-69366DF0071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42" name="Text Box 1">
          <a:extLst>
            <a:ext uri="{FF2B5EF4-FFF2-40B4-BE49-F238E27FC236}">
              <a16:creationId xmlns:a16="http://schemas.microsoft.com/office/drawing/2014/main" id="{1E63FD48-648D-43AD-B8C9-F46B0321343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43" name="Text Box 2">
          <a:extLst>
            <a:ext uri="{FF2B5EF4-FFF2-40B4-BE49-F238E27FC236}">
              <a16:creationId xmlns:a16="http://schemas.microsoft.com/office/drawing/2014/main" id="{D1FA5707-2F22-48C0-83F4-044D0FF5281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44" name="Text Box 1">
          <a:extLst>
            <a:ext uri="{FF2B5EF4-FFF2-40B4-BE49-F238E27FC236}">
              <a16:creationId xmlns:a16="http://schemas.microsoft.com/office/drawing/2014/main" id="{F3AAD998-0FB8-46AA-BE88-81B0C9DAD77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45" name="Text Box 2">
          <a:extLst>
            <a:ext uri="{FF2B5EF4-FFF2-40B4-BE49-F238E27FC236}">
              <a16:creationId xmlns:a16="http://schemas.microsoft.com/office/drawing/2014/main" id="{74B3AFF0-FB67-4E3F-A83E-78BE5C78C24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46" name="Text Box 1">
          <a:extLst>
            <a:ext uri="{FF2B5EF4-FFF2-40B4-BE49-F238E27FC236}">
              <a16:creationId xmlns:a16="http://schemas.microsoft.com/office/drawing/2014/main" id="{5EA39966-FFAE-4BC9-B5EB-1A6BEA01EC4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47" name="Text Box 2">
          <a:extLst>
            <a:ext uri="{FF2B5EF4-FFF2-40B4-BE49-F238E27FC236}">
              <a16:creationId xmlns:a16="http://schemas.microsoft.com/office/drawing/2014/main" id="{CF22E18D-2AA3-4E9E-AB7A-E9D85707A98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48" name="Text Box 1">
          <a:extLst>
            <a:ext uri="{FF2B5EF4-FFF2-40B4-BE49-F238E27FC236}">
              <a16:creationId xmlns:a16="http://schemas.microsoft.com/office/drawing/2014/main" id="{4143ABA0-B698-41D0-8411-7761832E886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49" name="Text Box 2">
          <a:extLst>
            <a:ext uri="{FF2B5EF4-FFF2-40B4-BE49-F238E27FC236}">
              <a16:creationId xmlns:a16="http://schemas.microsoft.com/office/drawing/2014/main" id="{7E373779-B331-443D-92CB-96F02EF328E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50" name="Text Box 1">
          <a:extLst>
            <a:ext uri="{FF2B5EF4-FFF2-40B4-BE49-F238E27FC236}">
              <a16:creationId xmlns:a16="http://schemas.microsoft.com/office/drawing/2014/main" id="{7BED7120-5732-4F11-9B27-8D58076ED94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51" name="Text Box 2">
          <a:extLst>
            <a:ext uri="{FF2B5EF4-FFF2-40B4-BE49-F238E27FC236}">
              <a16:creationId xmlns:a16="http://schemas.microsoft.com/office/drawing/2014/main" id="{8D937BB2-3EDE-44E3-8309-EDF0E37FBEB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52" name="Text Box 1">
          <a:extLst>
            <a:ext uri="{FF2B5EF4-FFF2-40B4-BE49-F238E27FC236}">
              <a16:creationId xmlns:a16="http://schemas.microsoft.com/office/drawing/2014/main" id="{3F2CA15D-3DA9-4062-AF60-A459756B4CE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53" name="Text Box 2">
          <a:extLst>
            <a:ext uri="{FF2B5EF4-FFF2-40B4-BE49-F238E27FC236}">
              <a16:creationId xmlns:a16="http://schemas.microsoft.com/office/drawing/2014/main" id="{230EBFF7-3529-4F58-829F-AE6065D472E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54" name="Text Box 1">
          <a:extLst>
            <a:ext uri="{FF2B5EF4-FFF2-40B4-BE49-F238E27FC236}">
              <a16:creationId xmlns:a16="http://schemas.microsoft.com/office/drawing/2014/main" id="{5708D772-0D53-44BA-87F9-B0285AA5F9C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55" name="Text Box 2">
          <a:extLst>
            <a:ext uri="{FF2B5EF4-FFF2-40B4-BE49-F238E27FC236}">
              <a16:creationId xmlns:a16="http://schemas.microsoft.com/office/drawing/2014/main" id="{DE9AD8F3-A9BB-4D4A-BF38-18F869FDD97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56" name="Text Box 1">
          <a:extLst>
            <a:ext uri="{FF2B5EF4-FFF2-40B4-BE49-F238E27FC236}">
              <a16:creationId xmlns:a16="http://schemas.microsoft.com/office/drawing/2014/main" id="{1E8BA831-75F0-4FBE-A306-95369733754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57" name="Text Box 2">
          <a:extLst>
            <a:ext uri="{FF2B5EF4-FFF2-40B4-BE49-F238E27FC236}">
              <a16:creationId xmlns:a16="http://schemas.microsoft.com/office/drawing/2014/main" id="{C292DB4A-AA53-4807-B384-F5DD21C05D78}"/>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58" name="Text Box 1">
          <a:extLst>
            <a:ext uri="{FF2B5EF4-FFF2-40B4-BE49-F238E27FC236}">
              <a16:creationId xmlns:a16="http://schemas.microsoft.com/office/drawing/2014/main" id="{ACB56DDD-5513-4CD6-BA3F-84DF58E95D0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59" name="Text Box 2">
          <a:extLst>
            <a:ext uri="{FF2B5EF4-FFF2-40B4-BE49-F238E27FC236}">
              <a16:creationId xmlns:a16="http://schemas.microsoft.com/office/drawing/2014/main" id="{0DD28FCD-6C50-4956-B0C5-0E5C5DC33FD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60" name="Text Box 1">
          <a:extLst>
            <a:ext uri="{FF2B5EF4-FFF2-40B4-BE49-F238E27FC236}">
              <a16:creationId xmlns:a16="http://schemas.microsoft.com/office/drawing/2014/main" id="{5C2CE2AE-2D30-44A4-8BEA-C3347CC819E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61" name="Text Box 2">
          <a:extLst>
            <a:ext uri="{FF2B5EF4-FFF2-40B4-BE49-F238E27FC236}">
              <a16:creationId xmlns:a16="http://schemas.microsoft.com/office/drawing/2014/main" id="{34595873-DE39-4166-B6D2-0D45FA49F4EC}"/>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62" name="Text Box 1">
          <a:extLst>
            <a:ext uri="{FF2B5EF4-FFF2-40B4-BE49-F238E27FC236}">
              <a16:creationId xmlns:a16="http://schemas.microsoft.com/office/drawing/2014/main" id="{1D796A4E-5966-4D54-BC80-A74F9F5C8B3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63" name="Text Box 2">
          <a:extLst>
            <a:ext uri="{FF2B5EF4-FFF2-40B4-BE49-F238E27FC236}">
              <a16:creationId xmlns:a16="http://schemas.microsoft.com/office/drawing/2014/main" id="{A54ECE85-EC34-4179-A58A-EA1403CE866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64" name="Text Box 1">
          <a:extLst>
            <a:ext uri="{FF2B5EF4-FFF2-40B4-BE49-F238E27FC236}">
              <a16:creationId xmlns:a16="http://schemas.microsoft.com/office/drawing/2014/main" id="{34A10BAD-5A69-49F4-8C2C-46F1901A4C7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65" name="Text Box 2">
          <a:extLst>
            <a:ext uri="{FF2B5EF4-FFF2-40B4-BE49-F238E27FC236}">
              <a16:creationId xmlns:a16="http://schemas.microsoft.com/office/drawing/2014/main" id="{E65FA24F-0A66-45C9-9D32-EB7D6117962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66" name="Text Box 1">
          <a:extLst>
            <a:ext uri="{FF2B5EF4-FFF2-40B4-BE49-F238E27FC236}">
              <a16:creationId xmlns:a16="http://schemas.microsoft.com/office/drawing/2014/main" id="{33F97BCA-DE9A-4008-8C33-470FCA0F892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67" name="Text Box 2">
          <a:extLst>
            <a:ext uri="{FF2B5EF4-FFF2-40B4-BE49-F238E27FC236}">
              <a16:creationId xmlns:a16="http://schemas.microsoft.com/office/drawing/2014/main" id="{47214408-B3BD-4E93-B4CC-2BD2A07661C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68" name="Text Box 1">
          <a:extLst>
            <a:ext uri="{FF2B5EF4-FFF2-40B4-BE49-F238E27FC236}">
              <a16:creationId xmlns:a16="http://schemas.microsoft.com/office/drawing/2014/main" id="{E8B39E9B-B83C-4430-B59B-F94863D7B13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69" name="Text Box 2">
          <a:extLst>
            <a:ext uri="{FF2B5EF4-FFF2-40B4-BE49-F238E27FC236}">
              <a16:creationId xmlns:a16="http://schemas.microsoft.com/office/drawing/2014/main" id="{0F25063A-4F85-4D07-A6D6-699505CE588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70" name="Text Box 1">
          <a:extLst>
            <a:ext uri="{FF2B5EF4-FFF2-40B4-BE49-F238E27FC236}">
              <a16:creationId xmlns:a16="http://schemas.microsoft.com/office/drawing/2014/main" id="{1DB2C97F-CCEC-4F9B-A99C-D73C900E21E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71" name="Text Box 2">
          <a:extLst>
            <a:ext uri="{FF2B5EF4-FFF2-40B4-BE49-F238E27FC236}">
              <a16:creationId xmlns:a16="http://schemas.microsoft.com/office/drawing/2014/main" id="{65CC657D-CA2D-4AD7-B9C2-CD0E3D2BA74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72" name="Text Box 1">
          <a:extLst>
            <a:ext uri="{FF2B5EF4-FFF2-40B4-BE49-F238E27FC236}">
              <a16:creationId xmlns:a16="http://schemas.microsoft.com/office/drawing/2014/main" id="{CF3A3B07-8180-424F-AF39-02DB1420EC0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73" name="Text Box 2">
          <a:extLst>
            <a:ext uri="{FF2B5EF4-FFF2-40B4-BE49-F238E27FC236}">
              <a16:creationId xmlns:a16="http://schemas.microsoft.com/office/drawing/2014/main" id="{5DBA54BF-B7BE-4A1A-A7A2-61134BEAA3B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74" name="Text Box 1">
          <a:extLst>
            <a:ext uri="{FF2B5EF4-FFF2-40B4-BE49-F238E27FC236}">
              <a16:creationId xmlns:a16="http://schemas.microsoft.com/office/drawing/2014/main" id="{D0C17D59-0729-4447-8B11-31B2AC8AFAA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75" name="Text Box 2">
          <a:extLst>
            <a:ext uri="{FF2B5EF4-FFF2-40B4-BE49-F238E27FC236}">
              <a16:creationId xmlns:a16="http://schemas.microsoft.com/office/drawing/2014/main" id="{F1103402-9950-40F1-9371-388969CE411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76" name="Text Box 1">
          <a:extLst>
            <a:ext uri="{FF2B5EF4-FFF2-40B4-BE49-F238E27FC236}">
              <a16:creationId xmlns:a16="http://schemas.microsoft.com/office/drawing/2014/main" id="{D3C25065-4EBD-4234-B600-88DD8D9307B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77" name="Text Box 2">
          <a:extLst>
            <a:ext uri="{FF2B5EF4-FFF2-40B4-BE49-F238E27FC236}">
              <a16:creationId xmlns:a16="http://schemas.microsoft.com/office/drawing/2014/main" id="{11205B31-4025-498D-B23A-B6894369519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78" name="Text Box 1">
          <a:extLst>
            <a:ext uri="{FF2B5EF4-FFF2-40B4-BE49-F238E27FC236}">
              <a16:creationId xmlns:a16="http://schemas.microsoft.com/office/drawing/2014/main" id="{554BC95B-9CD5-480D-8EC9-B90B384D0A2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79" name="Text Box 2">
          <a:extLst>
            <a:ext uri="{FF2B5EF4-FFF2-40B4-BE49-F238E27FC236}">
              <a16:creationId xmlns:a16="http://schemas.microsoft.com/office/drawing/2014/main" id="{C6DF2212-AD65-4D62-BC29-43BF4339318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80" name="Text Box 1">
          <a:extLst>
            <a:ext uri="{FF2B5EF4-FFF2-40B4-BE49-F238E27FC236}">
              <a16:creationId xmlns:a16="http://schemas.microsoft.com/office/drawing/2014/main" id="{F0C58F2A-85E9-443E-809D-B8D2F08E343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81" name="Text Box 2">
          <a:extLst>
            <a:ext uri="{FF2B5EF4-FFF2-40B4-BE49-F238E27FC236}">
              <a16:creationId xmlns:a16="http://schemas.microsoft.com/office/drawing/2014/main" id="{C4684A65-88AF-4638-9717-7F10DEAEC38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82" name="Text Box 1">
          <a:extLst>
            <a:ext uri="{FF2B5EF4-FFF2-40B4-BE49-F238E27FC236}">
              <a16:creationId xmlns:a16="http://schemas.microsoft.com/office/drawing/2014/main" id="{1CC10A8D-CBE4-4900-BC4F-FAD25899FAF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83" name="Text Box 2">
          <a:extLst>
            <a:ext uri="{FF2B5EF4-FFF2-40B4-BE49-F238E27FC236}">
              <a16:creationId xmlns:a16="http://schemas.microsoft.com/office/drawing/2014/main" id="{8A42415A-7E8F-4C70-B3CA-3C6DD94FB71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84" name="Text Box 1">
          <a:extLst>
            <a:ext uri="{FF2B5EF4-FFF2-40B4-BE49-F238E27FC236}">
              <a16:creationId xmlns:a16="http://schemas.microsoft.com/office/drawing/2014/main" id="{6414CE67-618E-4531-9697-01ED9C0A8EA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85" name="Text Box 2">
          <a:extLst>
            <a:ext uri="{FF2B5EF4-FFF2-40B4-BE49-F238E27FC236}">
              <a16:creationId xmlns:a16="http://schemas.microsoft.com/office/drawing/2014/main" id="{6157D965-723D-48BA-A715-707F7288218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86" name="Text Box 1">
          <a:extLst>
            <a:ext uri="{FF2B5EF4-FFF2-40B4-BE49-F238E27FC236}">
              <a16:creationId xmlns:a16="http://schemas.microsoft.com/office/drawing/2014/main" id="{7D65875B-7757-46B4-BF0A-9F8AC90C0D4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87" name="Text Box 2">
          <a:extLst>
            <a:ext uri="{FF2B5EF4-FFF2-40B4-BE49-F238E27FC236}">
              <a16:creationId xmlns:a16="http://schemas.microsoft.com/office/drawing/2014/main" id="{A496CAB2-6A0F-4B8B-B3C2-B357DF4D197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88" name="Text Box 1">
          <a:extLst>
            <a:ext uri="{FF2B5EF4-FFF2-40B4-BE49-F238E27FC236}">
              <a16:creationId xmlns:a16="http://schemas.microsoft.com/office/drawing/2014/main" id="{ECDB0C5A-EA79-4638-8AD1-CC51B436F8F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89" name="Text Box 2">
          <a:extLst>
            <a:ext uri="{FF2B5EF4-FFF2-40B4-BE49-F238E27FC236}">
              <a16:creationId xmlns:a16="http://schemas.microsoft.com/office/drawing/2014/main" id="{71070F90-0DE4-48F9-8ABF-9C7011AF8FF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90" name="Text Box 1">
          <a:extLst>
            <a:ext uri="{FF2B5EF4-FFF2-40B4-BE49-F238E27FC236}">
              <a16:creationId xmlns:a16="http://schemas.microsoft.com/office/drawing/2014/main" id="{8F876C72-6F4A-4667-8A02-54D3C31E3A4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91" name="Text Box 2">
          <a:extLst>
            <a:ext uri="{FF2B5EF4-FFF2-40B4-BE49-F238E27FC236}">
              <a16:creationId xmlns:a16="http://schemas.microsoft.com/office/drawing/2014/main" id="{E5C8A658-7AA5-4C10-ACA3-DDF2B6A08B6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92" name="Text Box 1">
          <a:extLst>
            <a:ext uri="{FF2B5EF4-FFF2-40B4-BE49-F238E27FC236}">
              <a16:creationId xmlns:a16="http://schemas.microsoft.com/office/drawing/2014/main" id="{A0894202-B580-459B-A136-F16C6597546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93" name="Text Box 2">
          <a:extLst>
            <a:ext uri="{FF2B5EF4-FFF2-40B4-BE49-F238E27FC236}">
              <a16:creationId xmlns:a16="http://schemas.microsoft.com/office/drawing/2014/main" id="{65AC33AF-BDAB-407A-8992-DCFCFC60AD4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94" name="Text Box 1">
          <a:extLst>
            <a:ext uri="{FF2B5EF4-FFF2-40B4-BE49-F238E27FC236}">
              <a16:creationId xmlns:a16="http://schemas.microsoft.com/office/drawing/2014/main" id="{BAB2FB89-574C-4295-B5C1-E1EA3B41F70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95" name="Text Box 2">
          <a:extLst>
            <a:ext uri="{FF2B5EF4-FFF2-40B4-BE49-F238E27FC236}">
              <a16:creationId xmlns:a16="http://schemas.microsoft.com/office/drawing/2014/main" id="{3DAECE6C-33B4-4011-BBBB-B107B83BAFF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96" name="Text Box 1">
          <a:extLst>
            <a:ext uri="{FF2B5EF4-FFF2-40B4-BE49-F238E27FC236}">
              <a16:creationId xmlns:a16="http://schemas.microsoft.com/office/drawing/2014/main" id="{EA85E899-E850-405A-9B1D-FF3B5A328D2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97" name="Text Box 2">
          <a:extLst>
            <a:ext uri="{FF2B5EF4-FFF2-40B4-BE49-F238E27FC236}">
              <a16:creationId xmlns:a16="http://schemas.microsoft.com/office/drawing/2014/main" id="{221FEAAA-5387-4509-B94B-46D1E900510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98" name="Text Box 1">
          <a:extLst>
            <a:ext uri="{FF2B5EF4-FFF2-40B4-BE49-F238E27FC236}">
              <a16:creationId xmlns:a16="http://schemas.microsoft.com/office/drawing/2014/main" id="{47115769-AACF-46A1-A6EB-2BFD6CAB4DA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99" name="Text Box 2">
          <a:extLst>
            <a:ext uri="{FF2B5EF4-FFF2-40B4-BE49-F238E27FC236}">
              <a16:creationId xmlns:a16="http://schemas.microsoft.com/office/drawing/2014/main" id="{9B9736C9-AC55-4068-AB58-0E331DC36FA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00" name="Text Box 1">
          <a:extLst>
            <a:ext uri="{FF2B5EF4-FFF2-40B4-BE49-F238E27FC236}">
              <a16:creationId xmlns:a16="http://schemas.microsoft.com/office/drawing/2014/main" id="{287EB2B2-9EE9-49BD-957F-42806D954D1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01" name="Text Box 2">
          <a:extLst>
            <a:ext uri="{FF2B5EF4-FFF2-40B4-BE49-F238E27FC236}">
              <a16:creationId xmlns:a16="http://schemas.microsoft.com/office/drawing/2014/main" id="{BE83BE37-068C-4766-8857-C8B611C52F9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02" name="Text Box 1">
          <a:extLst>
            <a:ext uri="{FF2B5EF4-FFF2-40B4-BE49-F238E27FC236}">
              <a16:creationId xmlns:a16="http://schemas.microsoft.com/office/drawing/2014/main" id="{FA087257-7D01-4FA4-A7CD-2FA49ED3F84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03" name="Text Box 2">
          <a:extLst>
            <a:ext uri="{FF2B5EF4-FFF2-40B4-BE49-F238E27FC236}">
              <a16:creationId xmlns:a16="http://schemas.microsoft.com/office/drawing/2014/main" id="{86DBE73C-56BE-4F61-8B60-7A8839CF8E0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04" name="Text Box 1">
          <a:extLst>
            <a:ext uri="{FF2B5EF4-FFF2-40B4-BE49-F238E27FC236}">
              <a16:creationId xmlns:a16="http://schemas.microsoft.com/office/drawing/2014/main" id="{2DD958D1-8DA4-44CC-81AB-EDCEF7B1C2C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05" name="Text Box 2">
          <a:extLst>
            <a:ext uri="{FF2B5EF4-FFF2-40B4-BE49-F238E27FC236}">
              <a16:creationId xmlns:a16="http://schemas.microsoft.com/office/drawing/2014/main" id="{C62F9A1B-EE33-427F-AD5F-BEE618FB1DC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06" name="Text Box 1">
          <a:extLst>
            <a:ext uri="{FF2B5EF4-FFF2-40B4-BE49-F238E27FC236}">
              <a16:creationId xmlns:a16="http://schemas.microsoft.com/office/drawing/2014/main" id="{D9CC2DDB-51A4-42BF-BE3E-BF73005F1D9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07" name="Text Box 2">
          <a:extLst>
            <a:ext uri="{FF2B5EF4-FFF2-40B4-BE49-F238E27FC236}">
              <a16:creationId xmlns:a16="http://schemas.microsoft.com/office/drawing/2014/main" id="{71C585D4-CF4A-41FA-B4BA-4026412FABA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08" name="Text Box 1">
          <a:extLst>
            <a:ext uri="{FF2B5EF4-FFF2-40B4-BE49-F238E27FC236}">
              <a16:creationId xmlns:a16="http://schemas.microsoft.com/office/drawing/2014/main" id="{D889A2C5-7639-4DAD-BC8E-A1C79E2AA1C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09" name="Text Box 2">
          <a:extLst>
            <a:ext uri="{FF2B5EF4-FFF2-40B4-BE49-F238E27FC236}">
              <a16:creationId xmlns:a16="http://schemas.microsoft.com/office/drawing/2014/main" id="{F63CECDC-C0E1-4EEB-9B2D-BFA3079F070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10" name="Text Box 1">
          <a:extLst>
            <a:ext uri="{FF2B5EF4-FFF2-40B4-BE49-F238E27FC236}">
              <a16:creationId xmlns:a16="http://schemas.microsoft.com/office/drawing/2014/main" id="{2413D7EA-9626-4624-A44C-EC84DD8A164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11" name="Text Box 2">
          <a:extLst>
            <a:ext uri="{FF2B5EF4-FFF2-40B4-BE49-F238E27FC236}">
              <a16:creationId xmlns:a16="http://schemas.microsoft.com/office/drawing/2014/main" id="{B0CD5DBB-FFFF-422F-A153-FB1E42CD0C2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12" name="Text Box 1">
          <a:extLst>
            <a:ext uri="{FF2B5EF4-FFF2-40B4-BE49-F238E27FC236}">
              <a16:creationId xmlns:a16="http://schemas.microsoft.com/office/drawing/2014/main" id="{CD337A9F-E736-45D6-888E-9CD296140F3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13" name="Text Box 2">
          <a:extLst>
            <a:ext uri="{FF2B5EF4-FFF2-40B4-BE49-F238E27FC236}">
              <a16:creationId xmlns:a16="http://schemas.microsoft.com/office/drawing/2014/main" id="{F0F1A489-48EC-4CA2-8E0D-3AB08F2F29F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14" name="Text Box 1">
          <a:extLst>
            <a:ext uri="{FF2B5EF4-FFF2-40B4-BE49-F238E27FC236}">
              <a16:creationId xmlns:a16="http://schemas.microsoft.com/office/drawing/2014/main" id="{1375401F-6C21-4498-BE44-79D9E0EB342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15" name="Text Box 2">
          <a:extLst>
            <a:ext uri="{FF2B5EF4-FFF2-40B4-BE49-F238E27FC236}">
              <a16:creationId xmlns:a16="http://schemas.microsoft.com/office/drawing/2014/main" id="{78FD97AC-843F-405E-BA1C-DF4DA766C09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16" name="Text Box 1">
          <a:extLst>
            <a:ext uri="{FF2B5EF4-FFF2-40B4-BE49-F238E27FC236}">
              <a16:creationId xmlns:a16="http://schemas.microsoft.com/office/drawing/2014/main" id="{7DD00958-96F1-466D-9E20-318005A3FCE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17" name="Text Box 2">
          <a:extLst>
            <a:ext uri="{FF2B5EF4-FFF2-40B4-BE49-F238E27FC236}">
              <a16:creationId xmlns:a16="http://schemas.microsoft.com/office/drawing/2014/main" id="{ADDF281C-C70A-441F-A095-113102E48D2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18" name="Text Box 1">
          <a:extLst>
            <a:ext uri="{FF2B5EF4-FFF2-40B4-BE49-F238E27FC236}">
              <a16:creationId xmlns:a16="http://schemas.microsoft.com/office/drawing/2014/main" id="{9A46BACA-961D-4061-B5D4-CEDD9C21D85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19" name="Text Box 2">
          <a:extLst>
            <a:ext uri="{FF2B5EF4-FFF2-40B4-BE49-F238E27FC236}">
              <a16:creationId xmlns:a16="http://schemas.microsoft.com/office/drawing/2014/main" id="{027C3E84-70AB-49CF-A5FA-560ED32EF98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20" name="Text Box 1">
          <a:extLst>
            <a:ext uri="{FF2B5EF4-FFF2-40B4-BE49-F238E27FC236}">
              <a16:creationId xmlns:a16="http://schemas.microsoft.com/office/drawing/2014/main" id="{562D331A-6E78-43FB-835D-B0A128C45B7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21" name="Text Box 2">
          <a:extLst>
            <a:ext uri="{FF2B5EF4-FFF2-40B4-BE49-F238E27FC236}">
              <a16:creationId xmlns:a16="http://schemas.microsoft.com/office/drawing/2014/main" id="{1F19472E-4B46-4E61-8633-AB61908A61A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022" name="Text Box 1">
          <a:extLst>
            <a:ext uri="{FF2B5EF4-FFF2-40B4-BE49-F238E27FC236}">
              <a16:creationId xmlns:a16="http://schemas.microsoft.com/office/drawing/2014/main" id="{B78936A2-3492-49A9-AB4A-3EF26972C74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023" name="Text Box 2">
          <a:extLst>
            <a:ext uri="{FF2B5EF4-FFF2-40B4-BE49-F238E27FC236}">
              <a16:creationId xmlns:a16="http://schemas.microsoft.com/office/drawing/2014/main" id="{016A370C-E4DD-479D-B6EF-EA6DD19F7E7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024" name="Text Box 1">
          <a:extLst>
            <a:ext uri="{FF2B5EF4-FFF2-40B4-BE49-F238E27FC236}">
              <a16:creationId xmlns:a16="http://schemas.microsoft.com/office/drawing/2014/main" id="{4BB087E8-F7DB-4B74-A858-C099349426B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025" name="Text Box 2">
          <a:extLst>
            <a:ext uri="{FF2B5EF4-FFF2-40B4-BE49-F238E27FC236}">
              <a16:creationId xmlns:a16="http://schemas.microsoft.com/office/drawing/2014/main" id="{8BE607B1-EC6B-4A9B-9140-95E98D12862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26" name="Text Box 1">
          <a:extLst>
            <a:ext uri="{FF2B5EF4-FFF2-40B4-BE49-F238E27FC236}">
              <a16:creationId xmlns:a16="http://schemas.microsoft.com/office/drawing/2014/main" id="{F5FC0960-C74F-4C81-93A9-DD00481F342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27" name="Text Box 2">
          <a:extLst>
            <a:ext uri="{FF2B5EF4-FFF2-40B4-BE49-F238E27FC236}">
              <a16:creationId xmlns:a16="http://schemas.microsoft.com/office/drawing/2014/main" id="{08630632-B6AD-4D61-B128-9C75543BB7A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28" name="Text Box 1">
          <a:extLst>
            <a:ext uri="{FF2B5EF4-FFF2-40B4-BE49-F238E27FC236}">
              <a16:creationId xmlns:a16="http://schemas.microsoft.com/office/drawing/2014/main" id="{5F29E1B7-CCC4-4387-B421-D3C24050F12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29" name="Text Box 2">
          <a:extLst>
            <a:ext uri="{FF2B5EF4-FFF2-40B4-BE49-F238E27FC236}">
              <a16:creationId xmlns:a16="http://schemas.microsoft.com/office/drawing/2014/main" id="{34421479-CC18-4E01-BB6B-88A033DB863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30" name="Text Box 1">
          <a:extLst>
            <a:ext uri="{FF2B5EF4-FFF2-40B4-BE49-F238E27FC236}">
              <a16:creationId xmlns:a16="http://schemas.microsoft.com/office/drawing/2014/main" id="{73A76B55-5602-4460-AB08-F033044E476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31" name="Text Box 2">
          <a:extLst>
            <a:ext uri="{FF2B5EF4-FFF2-40B4-BE49-F238E27FC236}">
              <a16:creationId xmlns:a16="http://schemas.microsoft.com/office/drawing/2014/main" id="{CA5D53BE-7CF9-4AEF-947C-0691E2F5617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32" name="Text Box 1">
          <a:extLst>
            <a:ext uri="{FF2B5EF4-FFF2-40B4-BE49-F238E27FC236}">
              <a16:creationId xmlns:a16="http://schemas.microsoft.com/office/drawing/2014/main" id="{AE0F36A5-5F82-4833-A347-61199A8373A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33" name="Text Box 2">
          <a:extLst>
            <a:ext uri="{FF2B5EF4-FFF2-40B4-BE49-F238E27FC236}">
              <a16:creationId xmlns:a16="http://schemas.microsoft.com/office/drawing/2014/main" id="{72D8C861-D790-403A-BDB8-150F5C838A3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034" name="Text Box 1">
          <a:extLst>
            <a:ext uri="{FF2B5EF4-FFF2-40B4-BE49-F238E27FC236}">
              <a16:creationId xmlns:a16="http://schemas.microsoft.com/office/drawing/2014/main" id="{1F7D23E4-BB95-45A5-A18B-5236CE771F3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035" name="Text Box 2">
          <a:extLst>
            <a:ext uri="{FF2B5EF4-FFF2-40B4-BE49-F238E27FC236}">
              <a16:creationId xmlns:a16="http://schemas.microsoft.com/office/drawing/2014/main" id="{FEE65729-0611-4731-8231-9F0D5FFFBAA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036" name="Text Box 1">
          <a:extLst>
            <a:ext uri="{FF2B5EF4-FFF2-40B4-BE49-F238E27FC236}">
              <a16:creationId xmlns:a16="http://schemas.microsoft.com/office/drawing/2014/main" id="{D9A48228-FB83-49AA-BEAA-42CB1A595D8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037" name="Text Box 2">
          <a:extLst>
            <a:ext uri="{FF2B5EF4-FFF2-40B4-BE49-F238E27FC236}">
              <a16:creationId xmlns:a16="http://schemas.microsoft.com/office/drawing/2014/main" id="{4C8F6E9D-813E-4324-B00B-4D24353C86E1}"/>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38" name="Text Box 1">
          <a:extLst>
            <a:ext uri="{FF2B5EF4-FFF2-40B4-BE49-F238E27FC236}">
              <a16:creationId xmlns:a16="http://schemas.microsoft.com/office/drawing/2014/main" id="{527BA7BC-4B43-4842-8719-2C286D74335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39" name="Text Box 2">
          <a:extLst>
            <a:ext uri="{FF2B5EF4-FFF2-40B4-BE49-F238E27FC236}">
              <a16:creationId xmlns:a16="http://schemas.microsoft.com/office/drawing/2014/main" id="{35E91334-0CC4-4D3C-AD59-D32A254FD32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40" name="Text Box 1">
          <a:extLst>
            <a:ext uri="{FF2B5EF4-FFF2-40B4-BE49-F238E27FC236}">
              <a16:creationId xmlns:a16="http://schemas.microsoft.com/office/drawing/2014/main" id="{D78CE245-B742-495A-A769-40FA824D1EA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41" name="Text Box 2">
          <a:extLst>
            <a:ext uri="{FF2B5EF4-FFF2-40B4-BE49-F238E27FC236}">
              <a16:creationId xmlns:a16="http://schemas.microsoft.com/office/drawing/2014/main" id="{5FA16B9B-30A9-4284-BEE7-42CE6045B9E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042" name="Text Box 1">
          <a:extLst>
            <a:ext uri="{FF2B5EF4-FFF2-40B4-BE49-F238E27FC236}">
              <a16:creationId xmlns:a16="http://schemas.microsoft.com/office/drawing/2014/main" id="{BE84DE89-835D-4A5F-A644-2042F4E1E38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043" name="Text Box 2">
          <a:extLst>
            <a:ext uri="{FF2B5EF4-FFF2-40B4-BE49-F238E27FC236}">
              <a16:creationId xmlns:a16="http://schemas.microsoft.com/office/drawing/2014/main" id="{F9BEF6D6-AF1F-4F8B-BA4A-9F3601E9B61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044" name="Text Box 1">
          <a:extLst>
            <a:ext uri="{FF2B5EF4-FFF2-40B4-BE49-F238E27FC236}">
              <a16:creationId xmlns:a16="http://schemas.microsoft.com/office/drawing/2014/main" id="{75C82AE6-69F3-495E-9790-BD23483152C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045" name="Text Box 2">
          <a:extLst>
            <a:ext uri="{FF2B5EF4-FFF2-40B4-BE49-F238E27FC236}">
              <a16:creationId xmlns:a16="http://schemas.microsoft.com/office/drawing/2014/main" id="{3DA00D3D-695D-4E9A-BBE9-FB2C74F2544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46" name="Text Box 1">
          <a:extLst>
            <a:ext uri="{FF2B5EF4-FFF2-40B4-BE49-F238E27FC236}">
              <a16:creationId xmlns:a16="http://schemas.microsoft.com/office/drawing/2014/main" id="{A518B1FA-98CF-4447-AAAE-0F801E4F6A9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47" name="Text Box 2">
          <a:extLst>
            <a:ext uri="{FF2B5EF4-FFF2-40B4-BE49-F238E27FC236}">
              <a16:creationId xmlns:a16="http://schemas.microsoft.com/office/drawing/2014/main" id="{AF090D9C-5516-4AB4-BA0E-63D3B715495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48" name="Text Box 1">
          <a:extLst>
            <a:ext uri="{FF2B5EF4-FFF2-40B4-BE49-F238E27FC236}">
              <a16:creationId xmlns:a16="http://schemas.microsoft.com/office/drawing/2014/main" id="{2F59C46B-D74D-4D78-B993-D9CC9075393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49" name="Text Box 2">
          <a:extLst>
            <a:ext uri="{FF2B5EF4-FFF2-40B4-BE49-F238E27FC236}">
              <a16:creationId xmlns:a16="http://schemas.microsoft.com/office/drawing/2014/main" id="{71DEB3E7-AF26-4213-8AF3-AAFFDCE4370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050" name="Text Box 1">
          <a:extLst>
            <a:ext uri="{FF2B5EF4-FFF2-40B4-BE49-F238E27FC236}">
              <a16:creationId xmlns:a16="http://schemas.microsoft.com/office/drawing/2014/main" id="{2B3BD2C6-5437-411C-BE74-ECFB5AA5FA8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051" name="Text Box 2">
          <a:extLst>
            <a:ext uri="{FF2B5EF4-FFF2-40B4-BE49-F238E27FC236}">
              <a16:creationId xmlns:a16="http://schemas.microsoft.com/office/drawing/2014/main" id="{77E9409A-7DC2-4694-B904-ECC115686B4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52" name="Text Box 1">
          <a:extLst>
            <a:ext uri="{FF2B5EF4-FFF2-40B4-BE49-F238E27FC236}">
              <a16:creationId xmlns:a16="http://schemas.microsoft.com/office/drawing/2014/main" id="{84187C01-C9A6-45C9-9CE1-4DB48A37FA5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53" name="Text Box 2">
          <a:extLst>
            <a:ext uri="{FF2B5EF4-FFF2-40B4-BE49-F238E27FC236}">
              <a16:creationId xmlns:a16="http://schemas.microsoft.com/office/drawing/2014/main" id="{F9B54699-74B2-4048-AA1E-A7FFD093A17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054" name="Text Box 1">
          <a:extLst>
            <a:ext uri="{FF2B5EF4-FFF2-40B4-BE49-F238E27FC236}">
              <a16:creationId xmlns:a16="http://schemas.microsoft.com/office/drawing/2014/main" id="{2D7ECA9F-3185-41F7-B6F2-FAB5370FFB1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055" name="Text Box 2">
          <a:extLst>
            <a:ext uri="{FF2B5EF4-FFF2-40B4-BE49-F238E27FC236}">
              <a16:creationId xmlns:a16="http://schemas.microsoft.com/office/drawing/2014/main" id="{760246B4-9447-49A6-96A7-13546D487F0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056" name="Text Box 1">
          <a:extLst>
            <a:ext uri="{FF2B5EF4-FFF2-40B4-BE49-F238E27FC236}">
              <a16:creationId xmlns:a16="http://schemas.microsoft.com/office/drawing/2014/main" id="{9F0B09E9-6AEE-4F7D-B9E3-5A96C2703BB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057" name="Text Box 2">
          <a:extLst>
            <a:ext uri="{FF2B5EF4-FFF2-40B4-BE49-F238E27FC236}">
              <a16:creationId xmlns:a16="http://schemas.microsoft.com/office/drawing/2014/main" id="{F8E7A345-6245-48E1-B625-028075DC359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58" name="Text Box 1">
          <a:extLst>
            <a:ext uri="{FF2B5EF4-FFF2-40B4-BE49-F238E27FC236}">
              <a16:creationId xmlns:a16="http://schemas.microsoft.com/office/drawing/2014/main" id="{6E322AA3-3E80-451C-984B-A11AC13B1B5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59" name="Text Box 2">
          <a:extLst>
            <a:ext uri="{FF2B5EF4-FFF2-40B4-BE49-F238E27FC236}">
              <a16:creationId xmlns:a16="http://schemas.microsoft.com/office/drawing/2014/main" id="{B84D568C-120F-42C5-9C1C-3B22FC424BE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60" name="Text Box 1">
          <a:extLst>
            <a:ext uri="{FF2B5EF4-FFF2-40B4-BE49-F238E27FC236}">
              <a16:creationId xmlns:a16="http://schemas.microsoft.com/office/drawing/2014/main" id="{2EBAD4D5-C474-4DAF-BF32-0E9267C9031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61" name="Text Box 2">
          <a:extLst>
            <a:ext uri="{FF2B5EF4-FFF2-40B4-BE49-F238E27FC236}">
              <a16:creationId xmlns:a16="http://schemas.microsoft.com/office/drawing/2014/main" id="{E4FBEDF5-E0BB-4E4C-9602-65E9C7FA724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62" name="Text Box 1">
          <a:extLst>
            <a:ext uri="{FF2B5EF4-FFF2-40B4-BE49-F238E27FC236}">
              <a16:creationId xmlns:a16="http://schemas.microsoft.com/office/drawing/2014/main" id="{8A1D6B58-0C5D-4E63-A03C-DCB1305A61A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63" name="Text Box 2">
          <a:extLst>
            <a:ext uri="{FF2B5EF4-FFF2-40B4-BE49-F238E27FC236}">
              <a16:creationId xmlns:a16="http://schemas.microsoft.com/office/drawing/2014/main" id="{A484CBD7-30C7-4975-8B27-6EB0338D2AA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064" name="Text Box 1">
          <a:extLst>
            <a:ext uri="{FF2B5EF4-FFF2-40B4-BE49-F238E27FC236}">
              <a16:creationId xmlns:a16="http://schemas.microsoft.com/office/drawing/2014/main" id="{D7ACF74E-8344-4754-80DF-E619254410C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065" name="Text Box 2">
          <a:extLst>
            <a:ext uri="{FF2B5EF4-FFF2-40B4-BE49-F238E27FC236}">
              <a16:creationId xmlns:a16="http://schemas.microsoft.com/office/drawing/2014/main" id="{9106A796-FCB5-4864-A8E1-8AFB77B0D6A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66" name="Text Box 1">
          <a:extLst>
            <a:ext uri="{FF2B5EF4-FFF2-40B4-BE49-F238E27FC236}">
              <a16:creationId xmlns:a16="http://schemas.microsoft.com/office/drawing/2014/main" id="{9E2C456A-77A8-478A-B5B3-CE525F98613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67" name="Text Box 2">
          <a:extLst>
            <a:ext uri="{FF2B5EF4-FFF2-40B4-BE49-F238E27FC236}">
              <a16:creationId xmlns:a16="http://schemas.microsoft.com/office/drawing/2014/main" id="{982F2356-0430-4916-BC8F-193EF218CAC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068" name="Text Box 1">
          <a:extLst>
            <a:ext uri="{FF2B5EF4-FFF2-40B4-BE49-F238E27FC236}">
              <a16:creationId xmlns:a16="http://schemas.microsoft.com/office/drawing/2014/main" id="{DF6B5B00-B9C9-49AB-B9D0-EDA65CB6B45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069" name="Text Box 2">
          <a:extLst>
            <a:ext uri="{FF2B5EF4-FFF2-40B4-BE49-F238E27FC236}">
              <a16:creationId xmlns:a16="http://schemas.microsoft.com/office/drawing/2014/main" id="{2D458C3E-0487-4D0A-A6FF-1628852750FC}"/>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70" name="Text Box 1">
          <a:extLst>
            <a:ext uri="{FF2B5EF4-FFF2-40B4-BE49-F238E27FC236}">
              <a16:creationId xmlns:a16="http://schemas.microsoft.com/office/drawing/2014/main" id="{721878E4-B447-41F5-BB46-DE678355740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71" name="Text Box 2">
          <a:extLst>
            <a:ext uri="{FF2B5EF4-FFF2-40B4-BE49-F238E27FC236}">
              <a16:creationId xmlns:a16="http://schemas.microsoft.com/office/drawing/2014/main" id="{95405297-FEB3-48B6-BB02-7CCF7EA5F63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72" name="Text Box 1">
          <a:extLst>
            <a:ext uri="{FF2B5EF4-FFF2-40B4-BE49-F238E27FC236}">
              <a16:creationId xmlns:a16="http://schemas.microsoft.com/office/drawing/2014/main" id="{2B70E722-24C4-4598-B65D-4B369613348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73" name="Text Box 2">
          <a:extLst>
            <a:ext uri="{FF2B5EF4-FFF2-40B4-BE49-F238E27FC236}">
              <a16:creationId xmlns:a16="http://schemas.microsoft.com/office/drawing/2014/main" id="{F0C09054-0C65-4685-BD32-D6222D0D0A7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74" name="Text Box 1">
          <a:extLst>
            <a:ext uri="{FF2B5EF4-FFF2-40B4-BE49-F238E27FC236}">
              <a16:creationId xmlns:a16="http://schemas.microsoft.com/office/drawing/2014/main" id="{3273C598-53FD-414C-9792-D75FDA61D91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75" name="Text Box 2">
          <a:extLst>
            <a:ext uri="{FF2B5EF4-FFF2-40B4-BE49-F238E27FC236}">
              <a16:creationId xmlns:a16="http://schemas.microsoft.com/office/drawing/2014/main" id="{35BD592C-A75B-493B-B58E-44878EF72B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76" name="Text Box 1">
          <a:extLst>
            <a:ext uri="{FF2B5EF4-FFF2-40B4-BE49-F238E27FC236}">
              <a16:creationId xmlns:a16="http://schemas.microsoft.com/office/drawing/2014/main" id="{D23EB9D5-32F6-4811-AC9E-E79682FEF07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77" name="Text Box 2">
          <a:extLst>
            <a:ext uri="{FF2B5EF4-FFF2-40B4-BE49-F238E27FC236}">
              <a16:creationId xmlns:a16="http://schemas.microsoft.com/office/drawing/2014/main" id="{EAA1EF15-B138-4A5F-B748-3404D69790B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78" name="Text Box 1">
          <a:extLst>
            <a:ext uri="{FF2B5EF4-FFF2-40B4-BE49-F238E27FC236}">
              <a16:creationId xmlns:a16="http://schemas.microsoft.com/office/drawing/2014/main" id="{17976A12-8635-4983-902A-B5732BACBCD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79" name="Text Box 2">
          <a:extLst>
            <a:ext uri="{FF2B5EF4-FFF2-40B4-BE49-F238E27FC236}">
              <a16:creationId xmlns:a16="http://schemas.microsoft.com/office/drawing/2014/main" id="{93366BE0-C095-475A-9510-26548819616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80" name="Text Box 1">
          <a:extLst>
            <a:ext uri="{FF2B5EF4-FFF2-40B4-BE49-F238E27FC236}">
              <a16:creationId xmlns:a16="http://schemas.microsoft.com/office/drawing/2014/main" id="{311512D0-3CC8-4E4D-8DA0-10E0DF3B00C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81" name="Text Box 2">
          <a:extLst>
            <a:ext uri="{FF2B5EF4-FFF2-40B4-BE49-F238E27FC236}">
              <a16:creationId xmlns:a16="http://schemas.microsoft.com/office/drawing/2014/main" id="{8698AFDB-3B61-4EA5-BF9C-421371640EB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82" name="Text Box 1">
          <a:extLst>
            <a:ext uri="{FF2B5EF4-FFF2-40B4-BE49-F238E27FC236}">
              <a16:creationId xmlns:a16="http://schemas.microsoft.com/office/drawing/2014/main" id="{F9290865-2DF2-41CD-9492-2F80BE31F70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83" name="Text Box 2">
          <a:extLst>
            <a:ext uri="{FF2B5EF4-FFF2-40B4-BE49-F238E27FC236}">
              <a16:creationId xmlns:a16="http://schemas.microsoft.com/office/drawing/2014/main" id="{0B34DA57-1F61-4DD9-88B3-A2A09474547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84" name="Text Box 1">
          <a:extLst>
            <a:ext uri="{FF2B5EF4-FFF2-40B4-BE49-F238E27FC236}">
              <a16:creationId xmlns:a16="http://schemas.microsoft.com/office/drawing/2014/main" id="{02A5AAC2-F789-4E1C-830B-017266B44DA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85" name="Text Box 2">
          <a:extLst>
            <a:ext uri="{FF2B5EF4-FFF2-40B4-BE49-F238E27FC236}">
              <a16:creationId xmlns:a16="http://schemas.microsoft.com/office/drawing/2014/main" id="{8B98D55B-3B7A-45AE-8B79-083EA5DC903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086" name="Text Box 2">
          <a:extLst>
            <a:ext uri="{FF2B5EF4-FFF2-40B4-BE49-F238E27FC236}">
              <a16:creationId xmlns:a16="http://schemas.microsoft.com/office/drawing/2014/main" id="{E97BBB1C-F124-4EA1-990D-7326A769A663}"/>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87" name="Text Box 1">
          <a:extLst>
            <a:ext uri="{FF2B5EF4-FFF2-40B4-BE49-F238E27FC236}">
              <a16:creationId xmlns:a16="http://schemas.microsoft.com/office/drawing/2014/main" id="{2636DB36-89B0-48AA-A386-E06925CFAEB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88" name="Text Box 2">
          <a:extLst>
            <a:ext uri="{FF2B5EF4-FFF2-40B4-BE49-F238E27FC236}">
              <a16:creationId xmlns:a16="http://schemas.microsoft.com/office/drawing/2014/main" id="{5C5F69B4-32DC-4B9E-A73D-0131822E794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89" name="Text Box 1">
          <a:extLst>
            <a:ext uri="{FF2B5EF4-FFF2-40B4-BE49-F238E27FC236}">
              <a16:creationId xmlns:a16="http://schemas.microsoft.com/office/drawing/2014/main" id="{7E009B3C-4468-4972-86A8-31F1DE1CA08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90" name="Text Box 2">
          <a:extLst>
            <a:ext uri="{FF2B5EF4-FFF2-40B4-BE49-F238E27FC236}">
              <a16:creationId xmlns:a16="http://schemas.microsoft.com/office/drawing/2014/main" id="{6B9A94DD-36C9-41FE-9308-53F79909193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091" name="Text Box 1">
          <a:extLst>
            <a:ext uri="{FF2B5EF4-FFF2-40B4-BE49-F238E27FC236}">
              <a16:creationId xmlns:a16="http://schemas.microsoft.com/office/drawing/2014/main" id="{2D4E57B2-A062-4271-B39D-36097630517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092" name="Text Box 2">
          <a:extLst>
            <a:ext uri="{FF2B5EF4-FFF2-40B4-BE49-F238E27FC236}">
              <a16:creationId xmlns:a16="http://schemas.microsoft.com/office/drawing/2014/main" id="{95A3725C-359C-4EDC-A4B4-76B941D2303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93" name="Text Box 1">
          <a:extLst>
            <a:ext uri="{FF2B5EF4-FFF2-40B4-BE49-F238E27FC236}">
              <a16:creationId xmlns:a16="http://schemas.microsoft.com/office/drawing/2014/main" id="{64038F66-D088-4A27-B340-FCF49B18655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94" name="Text Box 2">
          <a:extLst>
            <a:ext uri="{FF2B5EF4-FFF2-40B4-BE49-F238E27FC236}">
              <a16:creationId xmlns:a16="http://schemas.microsoft.com/office/drawing/2014/main" id="{EEBBC424-0B1F-4474-8D06-DCEC87578A7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095" name="Text Box 2">
          <a:extLst>
            <a:ext uri="{FF2B5EF4-FFF2-40B4-BE49-F238E27FC236}">
              <a16:creationId xmlns:a16="http://schemas.microsoft.com/office/drawing/2014/main" id="{E2C090A8-FF39-4907-B15C-B2D5DC26932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96" name="Text Box 1">
          <a:extLst>
            <a:ext uri="{FF2B5EF4-FFF2-40B4-BE49-F238E27FC236}">
              <a16:creationId xmlns:a16="http://schemas.microsoft.com/office/drawing/2014/main" id="{E603FBBE-10B8-4675-BBE6-FE1339A971C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97" name="Text Box 2">
          <a:extLst>
            <a:ext uri="{FF2B5EF4-FFF2-40B4-BE49-F238E27FC236}">
              <a16:creationId xmlns:a16="http://schemas.microsoft.com/office/drawing/2014/main" id="{AE2C9F02-4BDA-45AD-8A59-1B733C18D81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098" name="Text Box 2">
          <a:extLst>
            <a:ext uri="{FF2B5EF4-FFF2-40B4-BE49-F238E27FC236}">
              <a16:creationId xmlns:a16="http://schemas.microsoft.com/office/drawing/2014/main" id="{8E9C2209-46B5-4E35-A028-23F70BA7769B}"/>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99" name="Text Box 1">
          <a:extLst>
            <a:ext uri="{FF2B5EF4-FFF2-40B4-BE49-F238E27FC236}">
              <a16:creationId xmlns:a16="http://schemas.microsoft.com/office/drawing/2014/main" id="{3F21041D-2059-421B-B80C-553EA39B726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00" name="Text Box 2">
          <a:extLst>
            <a:ext uri="{FF2B5EF4-FFF2-40B4-BE49-F238E27FC236}">
              <a16:creationId xmlns:a16="http://schemas.microsoft.com/office/drawing/2014/main" id="{E5F8FAFD-DF65-400B-B044-4EFFE010F67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101" name="Text Box 2">
          <a:extLst>
            <a:ext uri="{FF2B5EF4-FFF2-40B4-BE49-F238E27FC236}">
              <a16:creationId xmlns:a16="http://schemas.microsoft.com/office/drawing/2014/main" id="{1BBEC0FA-A4C7-4732-87A1-8D8DA2B371B6}"/>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02" name="Text Box 1">
          <a:extLst>
            <a:ext uri="{FF2B5EF4-FFF2-40B4-BE49-F238E27FC236}">
              <a16:creationId xmlns:a16="http://schemas.microsoft.com/office/drawing/2014/main" id="{B38DFE2E-58DA-4BE9-998C-69BCF4551EC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03" name="Text Box 2">
          <a:extLst>
            <a:ext uri="{FF2B5EF4-FFF2-40B4-BE49-F238E27FC236}">
              <a16:creationId xmlns:a16="http://schemas.microsoft.com/office/drawing/2014/main" id="{9B560CC6-C29A-41EB-91F2-87DF87B167C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104" name="Text Box 2">
          <a:extLst>
            <a:ext uri="{FF2B5EF4-FFF2-40B4-BE49-F238E27FC236}">
              <a16:creationId xmlns:a16="http://schemas.microsoft.com/office/drawing/2014/main" id="{A5A34621-9A4F-46FE-AC8E-CAE2915AF02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05" name="Text Box 1">
          <a:extLst>
            <a:ext uri="{FF2B5EF4-FFF2-40B4-BE49-F238E27FC236}">
              <a16:creationId xmlns:a16="http://schemas.microsoft.com/office/drawing/2014/main" id="{D791AE37-A68D-43E8-8DCB-9F9CEB5B094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06" name="Text Box 2">
          <a:extLst>
            <a:ext uri="{FF2B5EF4-FFF2-40B4-BE49-F238E27FC236}">
              <a16:creationId xmlns:a16="http://schemas.microsoft.com/office/drawing/2014/main" id="{EB9FB8C6-2872-4236-A936-0194C3755A9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107" name="Text Box 2">
          <a:extLst>
            <a:ext uri="{FF2B5EF4-FFF2-40B4-BE49-F238E27FC236}">
              <a16:creationId xmlns:a16="http://schemas.microsoft.com/office/drawing/2014/main" id="{64B36F91-CDAA-4192-9755-C041F41DF3C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08" name="Text Box 1">
          <a:extLst>
            <a:ext uri="{FF2B5EF4-FFF2-40B4-BE49-F238E27FC236}">
              <a16:creationId xmlns:a16="http://schemas.microsoft.com/office/drawing/2014/main" id="{2F9013B3-4141-4B69-90CD-8CF464BDD65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09" name="Text Box 2">
          <a:extLst>
            <a:ext uri="{FF2B5EF4-FFF2-40B4-BE49-F238E27FC236}">
              <a16:creationId xmlns:a16="http://schemas.microsoft.com/office/drawing/2014/main" id="{C5CD087D-94BD-4AF9-B471-4798F8400E0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110" name="Text Box 2">
          <a:extLst>
            <a:ext uri="{FF2B5EF4-FFF2-40B4-BE49-F238E27FC236}">
              <a16:creationId xmlns:a16="http://schemas.microsoft.com/office/drawing/2014/main" id="{AB963E0A-3F9F-4C9F-BF84-5D26999DEC0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11" name="Text Box 1">
          <a:extLst>
            <a:ext uri="{FF2B5EF4-FFF2-40B4-BE49-F238E27FC236}">
              <a16:creationId xmlns:a16="http://schemas.microsoft.com/office/drawing/2014/main" id="{90D4F504-6200-446B-8605-4BBEADCB296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12" name="Text Box 2">
          <a:extLst>
            <a:ext uri="{FF2B5EF4-FFF2-40B4-BE49-F238E27FC236}">
              <a16:creationId xmlns:a16="http://schemas.microsoft.com/office/drawing/2014/main" id="{34420D40-41D3-4D35-935D-22959D89A71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13" name="Text Box 1">
          <a:extLst>
            <a:ext uri="{FF2B5EF4-FFF2-40B4-BE49-F238E27FC236}">
              <a16:creationId xmlns:a16="http://schemas.microsoft.com/office/drawing/2014/main" id="{095EB71D-1D92-4E1D-9BBE-D9AAF3339BB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14" name="Text Box 2">
          <a:extLst>
            <a:ext uri="{FF2B5EF4-FFF2-40B4-BE49-F238E27FC236}">
              <a16:creationId xmlns:a16="http://schemas.microsoft.com/office/drawing/2014/main" id="{3649297A-2E05-407A-B089-96FC3C246EB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15" name="Text Box 1">
          <a:extLst>
            <a:ext uri="{FF2B5EF4-FFF2-40B4-BE49-F238E27FC236}">
              <a16:creationId xmlns:a16="http://schemas.microsoft.com/office/drawing/2014/main" id="{8379A9CC-53E3-4011-8D9B-B153251500B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16" name="Text Box 2">
          <a:extLst>
            <a:ext uri="{FF2B5EF4-FFF2-40B4-BE49-F238E27FC236}">
              <a16:creationId xmlns:a16="http://schemas.microsoft.com/office/drawing/2014/main" id="{C0B2E31E-550B-4ABF-A812-1CB84648270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17" name="Text Box 1">
          <a:extLst>
            <a:ext uri="{FF2B5EF4-FFF2-40B4-BE49-F238E27FC236}">
              <a16:creationId xmlns:a16="http://schemas.microsoft.com/office/drawing/2014/main" id="{A0A3F186-19A5-404C-B810-F3BF11491D1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18" name="Text Box 2">
          <a:extLst>
            <a:ext uri="{FF2B5EF4-FFF2-40B4-BE49-F238E27FC236}">
              <a16:creationId xmlns:a16="http://schemas.microsoft.com/office/drawing/2014/main" id="{5A4E2901-3B10-43EB-B64A-A136868D515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19" name="Text Box 1">
          <a:extLst>
            <a:ext uri="{FF2B5EF4-FFF2-40B4-BE49-F238E27FC236}">
              <a16:creationId xmlns:a16="http://schemas.microsoft.com/office/drawing/2014/main" id="{ADA7E004-310C-4BDA-BBA2-D1BB820F5A3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20" name="Text Box 2">
          <a:extLst>
            <a:ext uri="{FF2B5EF4-FFF2-40B4-BE49-F238E27FC236}">
              <a16:creationId xmlns:a16="http://schemas.microsoft.com/office/drawing/2014/main" id="{81438071-1D1D-4D1C-8450-56800FBB7EB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21" name="Text Box 1">
          <a:extLst>
            <a:ext uri="{FF2B5EF4-FFF2-40B4-BE49-F238E27FC236}">
              <a16:creationId xmlns:a16="http://schemas.microsoft.com/office/drawing/2014/main" id="{81075E42-8E7F-41D0-9250-473F12FF09B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22" name="Text Box 2">
          <a:extLst>
            <a:ext uri="{FF2B5EF4-FFF2-40B4-BE49-F238E27FC236}">
              <a16:creationId xmlns:a16="http://schemas.microsoft.com/office/drawing/2014/main" id="{7E602B40-5834-4CBD-8E00-633779D06F4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23" name="Text Box 1">
          <a:extLst>
            <a:ext uri="{FF2B5EF4-FFF2-40B4-BE49-F238E27FC236}">
              <a16:creationId xmlns:a16="http://schemas.microsoft.com/office/drawing/2014/main" id="{6E5953DA-8321-4B09-A2C4-E9026E38710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24" name="Text Box 2">
          <a:extLst>
            <a:ext uri="{FF2B5EF4-FFF2-40B4-BE49-F238E27FC236}">
              <a16:creationId xmlns:a16="http://schemas.microsoft.com/office/drawing/2014/main" id="{F4F820B4-FC03-4544-86E8-C69B9BB766B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25" name="Text Box 1">
          <a:extLst>
            <a:ext uri="{FF2B5EF4-FFF2-40B4-BE49-F238E27FC236}">
              <a16:creationId xmlns:a16="http://schemas.microsoft.com/office/drawing/2014/main" id="{C21A8367-5995-421D-8FA9-2A097206B50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26" name="Text Box 2">
          <a:extLst>
            <a:ext uri="{FF2B5EF4-FFF2-40B4-BE49-F238E27FC236}">
              <a16:creationId xmlns:a16="http://schemas.microsoft.com/office/drawing/2014/main" id="{A051AFE3-C031-4912-952D-D606AD35065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27" name="Text Box 1">
          <a:extLst>
            <a:ext uri="{FF2B5EF4-FFF2-40B4-BE49-F238E27FC236}">
              <a16:creationId xmlns:a16="http://schemas.microsoft.com/office/drawing/2014/main" id="{83981E82-D198-4D84-BFBB-3F813300A33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28" name="Text Box 2">
          <a:extLst>
            <a:ext uri="{FF2B5EF4-FFF2-40B4-BE49-F238E27FC236}">
              <a16:creationId xmlns:a16="http://schemas.microsoft.com/office/drawing/2014/main" id="{A03169F8-3E2F-4BC1-A162-8C77B5CF42C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129" name="Text Box 2">
          <a:extLst>
            <a:ext uri="{FF2B5EF4-FFF2-40B4-BE49-F238E27FC236}">
              <a16:creationId xmlns:a16="http://schemas.microsoft.com/office/drawing/2014/main" id="{ECED8FE2-A33B-40A0-A66F-116C443395D0}"/>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30" name="Text Box 1">
          <a:extLst>
            <a:ext uri="{FF2B5EF4-FFF2-40B4-BE49-F238E27FC236}">
              <a16:creationId xmlns:a16="http://schemas.microsoft.com/office/drawing/2014/main" id="{1BA4B466-32BF-4D15-83E3-745FD925A92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31" name="Text Box 2">
          <a:extLst>
            <a:ext uri="{FF2B5EF4-FFF2-40B4-BE49-F238E27FC236}">
              <a16:creationId xmlns:a16="http://schemas.microsoft.com/office/drawing/2014/main" id="{3909C624-18F5-4335-A72A-26E878B3873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32" name="Text Box 1">
          <a:extLst>
            <a:ext uri="{FF2B5EF4-FFF2-40B4-BE49-F238E27FC236}">
              <a16:creationId xmlns:a16="http://schemas.microsoft.com/office/drawing/2014/main" id="{AB680D3C-C48C-48BF-AFB4-431DA4FE2DB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33" name="Text Box 2">
          <a:extLst>
            <a:ext uri="{FF2B5EF4-FFF2-40B4-BE49-F238E27FC236}">
              <a16:creationId xmlns:a16="http://schemas.microsoft.com/office/drawing/2014/main" id="{84D59542-BA65-415D-9384-A98B8A75D34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34" name="Text Box 1">
          <a:extLst>
            <a:ext uri="{FF2B5EF4-FFF2-40B4-BE49-F238E27FC236}">
              <a16:creationId xmlns:a16="http://schemas.microsoft.com/office/drawing/2014/main" id="{475D37EB-0C2F-48FC-A6A3-2BF37F91E0B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35" name="Text Box 2">
          <a:extLst>
            <a:ext uri="{FF2B5EF4-FFF2-40B4-BE49-F238E27FC236}">
              <a16:creationId xmlns:a16="http://schemas.microsoft.com/office/drawing/2014/main" id="{E4F89227-BFA9-49AC-BAED-700F50E79A7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36" name="Text Box 1">
          <a:extLst>
            <a:ext uri="{FF2B5EF4-FFF2-40B4-BE49-F238E27FC236}">
              <a16:creationId xmlns:a16="http://schemas.microsoft.com/office/drawing/2014/main" id="{43B233D7-449A-466E-B4F7-95C9727E0F9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37" name="Text Box 2">
          <a:extLst>
            <a:ext uri="{FF2B5EF4-FFF2-40B4-BE49-F238E27FC236}">
              <a16:creationId xmlns:a16="http://schemas.microsoft.com/office/drawing/2014/main" id="{7DDAC465-FF6B-48F8-85BE-72249E698B5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138" name="Text Box 2">
          <a:extLst>
            <a:ext uri="{FF2B5EF4-FFF2-40B4-BE49-F238E27FC236}">
              <a16:creationId xmlns:a16="http://schemas.microsoft.com/office/drawing/2014/main" id="{17A0FB32-D81E-4FFD-A978-94A89119C4D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39" name="Text Box 1">
          <a:extLst>
            <a:ext uri="{FF2B5EF4-FFF2-40B4-BE49-F238E27FC236}">
              <a16:creationId xmlns:a16="http://schemas.microsoft.com/office/drawing/2014/main" id="{E838A656-7046-4A64-B6DB-34389C6CBD0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40" name="Text Box 2">
          <a:extLst>
            <a:ext uri="{FF2B5EF4-FFF2-40B4-BE49-F238E27FC236}">
              <a16:creationId xmlns:a16="http://schemas.microsoft.com/office/drawing/2014/main" id="{5C9F6CBC-E753-42AC-A316-D7EF4136535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141" name="Text Box 2">
          <a:extLst>
            <a:ext uri="{FF2B5EF4-FFF2-40B4-BE49-F238E27FC236}">
              <a16:creationId xmlns:a16="http://schemas.microsoft.com/office/drawing/2014/main" id="{2E419DD0-329A-4128-8239-ECC2B5314F7D}"/>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42" name="Text Box 1">
          <a:extLst>
            <a:ext uri="{FF2B5EF4-FFF2-40B4-BE49-F238E27FC236}">
              <a16:creationId xmlns:a16="http://schemas.microsoft.com/office/drawing/2014/main" id="{EEDBFE99-F481-4981-A79F-83892EBCA4E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43" name="Text Box 2">
          <a:extLst>
            <a:ext uri="{FF2B5EF4-FFF2-40B4-BE49-F238E27FC236}">
              <a16:creationId xmlns:a16="http://schemas.microsoft.com/office/drawing/2014/main" id="{A35FCAAA-0844-4D54-B99D-2884C60B963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144" name="Text Box 2">
          <a:extLst>
            <a:ext uri="{FF2B5EF4-FFF2-40B4-BE49-F238E27FC236}">
              <a16:creationId xmlns:a16="http://schemas.microsoft.com/office/drawing/2014/main" id="{A9B54C30-0284-4BE6-89D4-E59FFA22C401}"/>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45" name="Text Box 1">
          <a:extLst>
            <a:ext uri="{FF2B5EF4-FFF2-40B4-BE49-F238E27FC236}">
              <a16:creationId xmlns:a16="http://schemas.microsoft.com/office/drawing/2014/main" id="{8864F987-38E4-4DD6-86D5-DE4226E9955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46" name="Text Box 2">
          <a:extLst>
            <a:ext uri="{FF2B5EF4-FFF2-40B4-BE49-F238E27FC236}">
              <a16:creationId xmlns:a16="http://schemas.microsoft.com/office/drawing/2014/main" id="{36892F16-D48C-4A2E-BB70-BA061784747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147" name="Text Box 2">
          <a:extLst>
            <a:ext uri="{FF2B5EF4-FFF2-40B4-BE49-F238E27FC236}">
              <a16:creationId xmlns:a16="http://schemas.microsoft.com/office/drawing/2014/main" id="{2041D014-8420-402E-AC52-2DD0E4AE245F}"/>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48" name="Text Box 1">
          <a:extLst>
            <a:ext uri="{FF2B5EF4-FFF2-40B4-BE49-F238E27FC236}">
              <a16:creationId xmlns:a16="http://schemas.microsoft.com/office/drawing/2014/main" id="{54D3C919-CE8E-4468-9CA4-B890ED5C0DB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49" name="Text Box 2">
          <a:extLst>
            <a:ext uri="{FF2B5EF4-FFF2-40B4-BE49-F238E27FC236}">
              <a16:creationId xmlns:a16="http://schemas.microsoft.com/office/drawing/2014/main" id="{4797AD52-8F57-4EAC-9903-B049E3E2D41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150" name="Text Box 2">
          <a:extLst>
            <a:ext uri="{FF2B5EF4-FFF2-40B4-BE49-F238E27FC236}">
              <a16:creationId xmlns:a16="http://schemas.microsoft.com/office/drawing/2014/main" id="{79C6FB1D-980B-4138-BADE-891EEBBEF85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51" name="Text Box 1">
          <a:extLst>
            <a:ext uri="{FF2B5EF4-FFF2-40B4-BE49-F238E27FC236}">
              <a16:creationId xmlns:a16="http://schemas.microsoft.com/office/drawing/2014/main" id="{A6C9BFF4-418A-4AAD-BE86-18AE9553061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52" name="Text Box 2">
          <a:extLst>
            <a:ext uri="{FF2B5EF4-FFF2-40B4-BE49-F238E27FC236}">
              <a16:creationId xmlns:a16="http://schemas.microsoft.com/office/drawing/2014/main" id="{CEF9DC2F-9599-430B-B8FF-23B5E876A7B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153" name="Text Box 2">
          <a:extLst>
            <a:ext uri="{FF2B5EF4-FFF2-40B4-BE49-F238E27FC236}">
              <a16:creationId xmlns:a16="http://schemas.microsoft.com/office/drawing/2014/main" id="{3848255A-2C0B-4C5E-A33F-E0BDD96D88F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54" name="Text Box 1">
          <a:extLst>
            <a:ext uri="{FF2B5EF4-FFF2-40B4-BE49-F238E27FC236}">
              <a16:creationId xmlns:a16="http://schemas.microsoft.com/office/drawing/2014/main" id="{B0A4F396-134A-42FB-AF33-65E8C886925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55" name="Text Box 2">
          <a:extLst>
            <a:ext uri="{FF2B5EF4-FFF2-40B4-BE49-F238E27FC236}">
              <a16:creationId xmlns:a16="http://schemas.microsoft.com/office/drawing/2014/main" id="{C064945E-8E62-4721-BF17-F028FE1B241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56" name="Text Box 1">
          <a:extLst>
            <a:ext uri="{FF2B5EF4-FFF2-40B4-BE49-F238E27FC236}">
              <a16:creationId xmlns:a16="http://schemas.microsoft.com/office/drawing/2014/main" id="{6B1CE471-DA36-4ED9-B3F7-8687F86ABEA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57" name="Text Box 2">
          <a:extLst>
            <a:ext uri="{FF2B5EF4-FFF2-40B4-BE49-F238E27FC236}">
              <a16:creationId xmlns:a16="http://schemas.microsoft.com/office/drawing/2014/main" id="{C0863C3E-18D6-439D-8456-4CAAB2D6455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58" name="Text Box 1">
          <a:extLst>
            <a:ext uri="{FF2B5EF4-FFF2-40B4-BE49-F238E27FC236}">
              <a16:creationId xmlns:a16="http://schemas.microsoft.com/office/drawing/2014/main" id="{CAC2F709-778B-4E9D-B2CE-A8D3598A358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59" name="Text Box 2">
          <a:extLst>
            <a:ext uri="{FF2B5EF4-FFF2-40B4-BE49-F238E27FC236}">
              <a16:creationId xmlns:a16="http://schemas.microsoft.com/office/drawing/2014/main" id="{1E8258CB-6C04-4FA3-89FF-13E82803FA9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60" name="Text Box 1">
          <a:extLst>
            <a:ext uri="{FF2B5EF4-FFF2-40B4-BE49-F238E27FC236}">
              <a16:creationId xmlns:a16="http://schemas.microsoft.com/office/drawing/2014/main" id="{8B4A2553-117B-4ACF-B3AA-8CFFA5119F6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61" name="Text Box 2">
          <a:extLst>
            <a:ext uri="{FF2B5EF4-FFF2-40B4-BE49-F238E27FC236}">
              <a16:creationId xmlns:a16="http://schemas.microsoft.com/office/drawing/2014/main" id="{9ADCE176-F1AC-4CEA-9780-FF53E9C25B5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62" name="Text Box 1">
          <a:extLst>
            <a:ext uri="{FF2B5EF4-FFF2-40B4-BE49-F238E27FC236}">
              <a16:creationId xmlns:a16="http://schemas.microsoft.com/office/drawing/2014/main" id="{D0D05785-97F7-42A6-B002-EB56EC186FB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63" name="Text Box 2">
          <a:extLst>
            <a:ext uri="{FF2B5EF4-FFF2-40B4-BE49-F238E27FC236}">
              <a16:creationId xmlns:a16="http://schemas.microsoft.com/office/drawing/2014/main" id="{B3FB185E-4B4B-4657-9682-90C0C203D41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64" name="Text Box 1">
          <a:extLst>
            <a:ext uri="{FF2B5EF4-FFF2-40B4-BE49-F238E27FC236}">
              <a16:creationId xmlns:a16="http://schemas.microsoft.com/office/drawing/2014/main" id="{717EE561-84CB-453D-B32D-2E85AF37F34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65" name="Text Box 2">
          <a:extLst>
            <a:ext uri="{FF2B5EF4-FFF2-40B4-BE49-F238E27FC236}">
              <a16:creationId xmlns:a16="http://schemas.microsoft.com/office/drawing/2014/main" id="{48A0EF9F-2265-4359-96C8-DAD8F6F2E24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66" name="Text Box 1">
          <a:extLst>
            <a:ext uri="{FF2B5EF4-FFF2-40B4-BE49-F238E27FC236}">
              <a16:creationId xmlns:a16="http://schemas.microsoft.com/office/drawing/2014/main" id="{1D5B4C75-71EA-4BAC-81A0-7321B6D8A0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67" name="Text Box 2">
          <a:extLst>
            <a:ext uri="{FF2B5EF4-FFF2-40B4-BE49-F238E27FC236}">
              <a16:creationId xmlns:a16="http://schemas.microsoft.com/office/drawing/2014/main" id="{9E64BE94-B6B7-4821-9F76-D0546BE484A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68" name="Text Box 1">
          <a:extLst>
            <a:ext uri="{FF2B5EF4-FFF2-40B4-BE49-F238E27FC236}">
              <a16:creationId xmlns:a16="http://schemas.microsoft.com/office/drawing/2014/main" id="{6A91884F-B600-4F3E-B2E1-C339252D68F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69" name="Text Box 2">
          <a:extLst>
            <a:ext uri="{FF2B5EF4-FFF2-40B4-BE49-F238E27FC236}">
              <a16:creationId xmlns:a16="http://schemas.microsoft.com/office/drawing/2014/main" id="{C10AE1C7-02B5-4FC4-8307-F4CB6C1D0D8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70" name="Text Box 1">
          <a:extLst>
            <a:ext uri="{FF2B5EF4-FFF2-40B4-BE49-F238E27FC236}">
              <a16:creationId xmlns:a16="http://schemas.microsoft.com/office/drawing/2014/main" id="{DC6BBA84-C0AE-4A0B-BCDA-96070258043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71" name="Text Box 2">
          <a:extLst>
            <a:ext uri="{FF2B5EF4-FFF2-40B4-BE49-F238E27FC236}">
              <a16:creationId xmlns:a16="http://schemas.microsoft.com/office/drawing/2014/main" id="{2CBF3730-6AC3-47A0-B4F7-76B00660A63E}"/>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72" name="Text Box 1">
          <a:extLst>
            <a:ext uri="{FF2B5EF4-FFF2-40B4-BE49-F238E27FC236}">
              <a16:creationId xmlns:a16="http://schemas.microsoft.com/office/drawing/2014/main" id="{45DB8B75-3D1F-4577-8B14-DD210A5E6D9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73" name="Text Box 2">
          <a:extLst>
            <a:ext uri="{FF2B5EF4-FFF2-40B4-BE49-F238E27FC236}">
              <a16:creationId xmlns:a16="http://schemas.microsoft.com/office/drawing/2014/main" id="{6724D0DE-E291-40FC-A52D-BE67A4DA311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74" name="Text Box 2">
          <a:extLst>
            <a:ext uri="{FF2B5EF4-FFF2-40B4-BE49-F238E27FC236}">
              <a16:creationId xmlns:a16="http://schemas.microsoft.com/office/drawing/2014/main" id="{8C6EAC8B-3D7A-46CA-A8B5-D648235CD55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75" name="Text Box 1">
          <a:extLst>
            <a:ext uri="{FF2B5EF4-FFF2-40B4-BE49-F238E27FC236}">
              <a16:creationId xmlns:a16="http://schemas.microsoft.com/office/drawing/2014/main" id="{89A34951-E36C-4BC7-B8C1-D08A78A1E4B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76" name="Text Box 2">
          <a:extLst>
            <a:ext uri="{FF2B5EF4-FFF2-40B4-BE49-F238E27FC236}">
              <a16:creationId xmlns:a16="http://schemas.microsoft.com/office/drawing/2014/main" id="{2017846B-CCCE-4065-B8D5-11C3378B815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77" name="Text Box 1">
          <a:extLst>
            <a:ext uri="{FF2B5EF4-FFF2-40B4-BE49-F238E27FC236}">
              <a16:creationId xmlns:a16="http://schemas.microsoft.com/office/drawing/2014/main" id="{501D62A7-D9B3-4FEB-BBD5-55EBC210A23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78" name="Text Box 2">
          <a:extLst>
            <a:ext uri="{FF2B5EF4-FFF2-40B4-BE49-F238E27FC236}">
              <a16:creationId xmlns:a16="http://schemas.microsoft.com/office/drawing/2014/main" id="{804F2E95-5B8C-4995-8651-D9BDA40A969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79" name="Text Box 1">
          <a:extLst>
            <a:ext uri="{FF2B5EF4-FFF2-40B4-BE49-F238E27FC236}">
              <a16:creationId xmlns:a16="http://schemas.microsoft.com/office/drawing/2014/main" id="{CF20A398-792A-473D-8558-E819BA45407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80" name="Text Box 2">
          <a:extLst>
            <a:ext uri="{FF2B5EF4-FFF2-40B4-BE49-F238E27FC236}">
              <a16:creationId xmlns:a16="http://schemas.microsoft.com/office/drawing/2014/main" id="{0FBF94DC-C13E-4C76-8AC2-49767AF608F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81" name="Text Box 1">
          <a:extLst>
            <a:ext uri="{FF2B5EF4-FFF2-40B4-BE49-F238E27FC236}">
              <a16:creationId xmlns:a16="http://schemas.microsoft.com/office/drawing/2014/main" id="{8DD7FC89-D983-4151-BAAF-39C595F73B2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82" name="Text Box 2">
          <a:extLst>
            <a:ext uri="{FF2B5EF4-FFF2-40B4-BE49-F238E27FC236}">
              <a16:creationId xmlns:a16="http://schemas.microsoft.com/office/drawing/2014/main" id="{78E3DA86-2B8B-403A-9C03-AE97928EF0B1}"/>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83" name="Text Box 1">
          <a:extLst>
            <a:ext uri="{FF2B5EF4-FFF2-40B4-BE49-F238E27FC236}">
              <a16:creationId xmlns:a16="http://schemas.microsoft.com/office/drawing/2014/main" id="{632BB6A5-FBE2-44AB-88F3-C8F9DFD8CB8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84" name="Text Box 2">
          <a:extLst>
            <a:ext uri="{FF2B5EF4-FFF2-40B4-BE49-F238E27FC236}">
              <a16:creationId xmlns:a16="http://schemas.microsoft.com/office/drawing/2014/main" id="{D910B760-C7F7-4021-8CF6-A3268FEAD9D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85" name="Text Box 1">
          <a:extLst>
            <a:ext uri="{FF2B5EF4-FFF2-40B4-BE49-F238E27FC236}">
              <a16:creationId xmlns:a16="http://schemas.microsoft.com/office/drawing/2014/main" id="{EEAD5929-907D-4BD5-A1A8-A178C6768C5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86" name="Text Box 2">
          <a:extLst>
            <a:ext uri="{FF2B5EF4-FFF2-40B4-BE49-F238E27FC236}">
              <a16:creationId xmlns:a16="http://schemas.microsoft.com/office/drawing/2014/main" id="{3F4A4EFB-35A5-4C38-9A2C-300CD107938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87" name="Text Box 1">
          <a:extLst>
            <a:ext uri="{FF2B5EF4-FFF2-40B4-BE49-F238E27FC236}">
              <a16:creationId xmlns:a16="http://schemas.microsoft.com/office/drawing/2014/main" id="{A5CF3BA2-AEA2-4BE3-97E9-12E14AB581A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88" name="Text Box 2">
          <a:extLst>
            <a:ext uri="{FF2B5EF4-FFF2-40B4-BE49-F238E27FC236}">
              <a16:creationId xmlns:a16="http://schemas.microsoft.com/office/drawing/2014/main" id="{E207D5B7-B7D2-4BEB-BCC9-30A9AAC8B7B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89" name="Text Box 1">
          <a:extLst>
            <a:ext uri="{FF2B5EF4-FFF2-40B4-BE49-F238E27FC236}">
              <a16:creationId xmlns:a16="http://schemas.microsoft.com/office/drawing/2014/main" id="{8BF941BB-64D9-4634-A8D3-DC73C8F6BB9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90" name="Text Box 2">
          <a:extLst>
            <a:ext uri="{FF2B5EF4-FFF2-40B4-BE49-F238E27FC236}">
              <a16:creationId xmlns:a16="http://schemas.microsoft.com/office/drawing/2014/main" id="{AD9ACC2C-6C05-497D-8311-22D03EF180B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91" name="Text Box 1">
          <a:extLst>
            <a:ext uri="{FF2B5EF4-FFF2-40B4-BE49-F238E27FC236}">
              <a16:creationId xmlns:a16="http://schemas.microsoft.com/office/drawing/2014/main" id="{E28B2FFD-AA9A-47F8-B685-28548805587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92" name="Text Box 2">
          <a:extLst>
            <a:ext uri="{FF2B5EF4-FFF2-40B4-BE49-F238E27FC236}">
              <a16:creationId xmlns:a16="http://schemas.microsoft.com/office/drawing/2014/main" id="{DB0927B6-C4C7-4D78-8782-7B832D67BC6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93" name="Text Box 1">
          <a:extLst>
            <a:ext uri="{FF2B5EF4-FFF2-40B4-BE49-F238E27FC236}">
              <a16:creationId xmlns:a16="http://schemas.microsoft.com/office/drawing/2014/main" id="{AB2C3F9A-5EC3-457B-A7F0-85770995C82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94" name="Text Box 2">
          <a:extLst>
            <a:ext uri="{FF2B5EF4-FFF2-40B4-BE49-F238E27FC236}">
              <a16:creationId xmlns:a16="http://schemas.microsoft.com/office/drawing/2014/main" id="{4CB0AF38-E607-4315-A12E-ABC0400DC28C}"/>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95" name="Text Box 1">
          <a:extLst>
            <a:ext uri="{FF2B5EF4-FFF2-40B4-BE49-F238E27FC236}">
              <a16:creationId xmlns:a16="http://schemas.microsoft.com/office/drawing/2014/main" id="{D7500C89-FACA-4109-A5D5-DD1AB48910E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96" name="Text Box 2">
          <a:extLst>
            <a:ext uri="{FF2B5EF4-FFF2-40B4-BE49-F238E27FC236}">
              <a16:creationId xmlns:a16="http://schemas.microsoft.com/office/drawing/2014/main" id="{355089AE-F652-480F-AF81-EC2A18F61B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197" name="Text Box 2">
          <a:extLst>
            <a:ext uri="{FF2B5EF4-FFF2-40B4-BE49-F238E27FC236}">
              <a16:creationId xmlns:a16="http://schemas.microsoft.com/office/drawing/2014/main" id="{34EA72F4-29AA-46E4-A69D-7EB0BEC5EE3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98" name="Text Box 1">
          <a:extLst>
            <a:ext uri="{FF2B5EF4-FFF2-40B4-BE49-F238E27FC236}">
              <a16:creationId xmlns:a16="http://schemas.microsoft.com/office/drawing/2014/main" id="{29A84D97-9FCF-46FF-8EC7-E563D8436C3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99" name="Text Box 2">
          <a:extLst>
            <a:ext uri="{FF2B5EF4-FFF2-40B4-BE49-F238E27FC236}">
              <a16:creationId xmlns:a16="http://schemas.microsoft.com/office/drawing/2014/main" id="{6C89C043-9A68-4D88-9FC2-DC21BBE07FC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00" name="Text Box 1">
          <a:extLst>
            <a:ext uri="{FF2B5EF4-FFF2-40B4-BE49-F238E27FC236}">
              <a16:creationId xmlns:a16="http://schemas.microsoft.com/office/drawing/2014/main" id="{4C65A63E-DF66-4E25-A244-F1BF5A56252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01" name="Text Box 2">
          <a:extLst>
            <a:ext uri="{FF2B5EF4-FFF2-40B4-BE49-F238E27FC236}">
              <a16:creationId xmlns:a16="http://schemas.microsoft.com/office/drawing/2014/main" id="{57B7FAC6-1C28-46ED-8A01-6511E8C6C62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02" name="Text Box 1">
          <a:extLst>
            <a:ext uri="{FF2B5EF4-FFF2-40B4-BE49-F238E27FC236}">
              <a16:creationId xmlns:a16="http://schemas.microsoft.com/office/drawing/2014/main" id="{6A3475BB-1F42-4577-B56C-FEFAFF93BD2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03" name="Text Box 2">
          <a:extLst>
            <a:ext uri="{FF2B5EF4-FFF2-40B4-BE49-F238E27FC236}">
              <a16:creationId xmlns:a16="http://schemas.microsoft.com/office/drawing/2014/main" id="{53D310E5-3DEB-40AB-9CCA-20F76AD9EC1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04" name="Text Box 1">
          <a:extLst>
            <a:ext uri="{FF2B5EF4-FFF2-40B4-BE49-F238E27FC236}">
              <a16:creationId xmlns:a16="http://schemas.microsoft.com/office/drawing/2014/main" id="{83C637C5-98B4-4116-8D68-47E8943834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05" name="Text Box 2">
          <a:extLst>
            <a:ext uri="{FF2B5EF4-FFF2-40B4-BE49-F238E27FC236}">
              <a16:creationId xmlns:a16="http://schemas.microsoft.com/office/drawing/2014/main" id="{55CB3A8C-86E1-483E-B871-E8AD51F2EA9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206" name="Text Box 2">
          <a:extLst>
            <a:ext uri="{FF2B5EF4-FFF2-40B4-BE49-F238E27FC236}">
              <a16:creationId xmlns:a16="http://schemas.microsoft.com/office/drawing/2014/main" id="{01E30E8E-3454-45CD-B55E-4EEC8D0F675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07" name="Text Box 1">
          <a:extLst>
            <a:ext uri="{FF2B5EF4-FFF2-40B4-BE49-F238E27FC236}">
              <a16:creationId xmlns:a16="http://schemas.microsoft.com/office/drawing/2014/main" id="{431D4C0E-50B6-4DC5-9744-A8D08BC8F73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08" name="Text Box 2">
          <a:extLst>
            <a:ext uri="{FF2B5EF4-FFF2-40B4-BE49-F238E27FC236}">
              <a16:creationId xmlns:a16="http://schemas.microsoft.com/office/drawing/2014/main" id="{B743DF57-2464-479C-B2AF-30E7AE4B6E3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209" name="Text Box 2">
          <a:extLst>
            <a:ext uri="{FF2B5EF4-FFF2-40B4-BE49-F238E27FC236}">
              <a16:creationId xmlns:a16="http://schemas.microsoft.com/office/drawing/2014/main" id="{B9853CBA-7856-4A3C-8420-2CDF76A9DE7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10" name="Text Box 1">
          <a:extLst>
            <a:ext uri="{FF2B5EF4-FFF2-40B4-BE49-F238E27FC236}">
              <a16:creationId xmlns:a16="http://schemas.microsoft.com/office/drawing/2014/main" id="{4E3850F6-B888-4CC5-BC04-9F55C5E3443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11" name="Text Box 2">
          <a:extLst>
            <a:ext uri="{FF2B5EF4-FFF2-40B4-BE49-F238E27FC236}">
              <a16:creationId xmlns:a16="http://schemas.microsoft.com/office/drawing/2014/main" id="{7CE089B8-7B98-4C5F-A6CF-09AFE2CA9AA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212" name="Text Box 2">
          <a:extLst>
            <a:ext uri="{FF2B5EF4-FFF2-40B4-BE49-F238E27FC236}">
              <a16:creationId xmlns:a16="http://schemas.microsoft.com/office/drawing/2014/main" id="{BE707310-C651-43F1-9D58-1AC2E3BFFCDF}"/>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13" name="Text Box 1">
          <a:extLst>
            <a:ext uri="{FF2B5EF4-FFF2-40B4-BE49-F238E27FC236}">
              <a16:creationId xmlns:a16="http://schemas.microsoft.com/office/drawing/2014/main" id="{6D29AABF-5D01-4E00-8026-5200739A8EF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14" name="Text Box 2">
          <a:extLst>
            <a:ext uri="{FF2B5EF4-FFF2-40B4-BE49-F238E27FC236}">
              <a16:creationId xmlns:a16="http://schemas.microsoft.com/office/drawing/2014/main" id="{0B841FB6-9742-45EA-B7EC-A0337407D2B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215" name="Text Box 2">
          <a:extLst>
            <a:ext uri="{FF2B5EF4-FFF2-40B4-BE49-F238E27FC236}">
              <a16:creationId xmlns:a16="http://schemas.microsoft.com/office/drawing/2014/main" id="{0A172B43-AE2A-43E0-8269-263F871BBAC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16" name="Text Box 1">
          <a:extLst>
            <a:ext uri="{FF2B5EF4-FFF2-40B4-BE49-F238E27FC236}">
              <a16:creationId xmlns:a16="http://schemas.microsoft.com/office/drawing/2014/main" id="{F142E213-8350-46C4-B3A6-906A11E2CC7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17" name="Text Box 2">
          <a:extLst>
            <a:ext uri="{FF2B5EF4-FFF2-40B4-BE49-F238E27FC236}">
              <a16:creationId xmlns:a16="http://schemas.microsoft.com/office/drawing/2014/main" id="{5C407878-270D-4914-B3E3-2666F646E48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218" name="Text Box 2">
          <a:extLst>
            <a:ext uri="{FF2B5EF4-FFF2-40B4-BE49-F238E27FC236}">
              <a16:creationId xmlns:a16="http://schemas.microsoft.com/office/drawing/2014/main" id="{F2FEA538-4815-4BAD-9E49-7AA9FF554B73}"/>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19" name="Text Box 1">
          <a:extLst>
            <a:ext uri="{FF2B5EF4-FFF2-40B4-BE49-F238E27FC236}">
              <a16:creationId xmlns:a16="http://schemas.microsoft.com/office/drawing/2014/main" id="{A4C23C09-966F-4B1D-8DFD-6698A782266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20" name="Text Box 2">
          <a:extLst>
            <a:ext uri="{FF2B5EF4-FFF2-40B4-BE49-F238E27FC236}">
              <a16:creationId xmlns:a16="http://schemas.microsoft.com/office/drawing/2014/main" id="{E818AC73-D5FA-44D7-A37A-911410DF8B4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221" name="Text Box 2">
          <a:extLst>
            <a:ext uri="{FF2B5EF4-FFF2-40B4-BE49-F238E27FC236}">
              <a16:creationId xmlns:a16="http://schemas.microsoft.com/office/drawing/2014/main" id="{0E8D3D08-30A0-4258-A43B-6FEB1B8A328D}"/>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22" name="Text Box 1">
          <a:extLst>
            <a:ext uri="{FF2B5EF4-FFF2-40B4-BE49-F238E27FC236}">
              <a16:creationId xmlns:a16="http://schemas.microsoft.com/office/drawing/2014/main" id="{42D7ED05-F653-4D75-94A4-4D916BFA593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23" name="Text Box 2">
          <a:extLst>
            <a:ext uri="{FF2B5EF4-FFF2-40B4-BE49-F238E27FC236}">
              <a16:creationId xmlns:a16="http://schemas.microsoft.com/office/drawing/2014/main" id="{1C271000-BDC7-4E35-8100-F32E7321BFF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24" name="Text Box 1">
          <a:extLst>
            <a:ext uri="{FF2B5EF4-FFF2-40B4-BE49-F238E27FC236}">
              <a16:creationId xmlns:a16="http://schemas.microsoft.com/office/drawing/2014/main" id="{20FAC6D4-0A36-4220-9030-DA27759FC95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25" name="Text Box 2">
          <a:extLst>
            <a:ext uri="{FF2B5EF4-FFF2-40B4-BE49-F238E27FC236}">
              <a16:creationId xmlns:a16="http://schemas.microsoft.com/office/drawing/2014/main" id="{7F08DB07-63F3-4141-8D0B-57DF4638183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26" name="Text Box 1">
          <a:extLst>
            <a:ext uri="{FF2B5EF4-FFF2-40B4-BE49-F238E27FC236}">
              <a16:creationId xmlns:a16="http://schemas.microsoft.com/office/drawing/2014/main" id="{44843D52-9C10-4E0B-B18D-ADB4D3BA864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27" name="Text Box 2">
          <a:extLst>
            <a:ext uri="{FF2B5EF4-FFF2-40B4-BE49-F238E27FC236}">
              <a16:creationId xmlns:a16="http://schemas.microsoft.com/office/drawing/2014/main" id="{C72FA7C2-93BE-4DF4-82FB-FD3E1BE349A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28" name="Text Box 1">
          <a:extLst>
            <a:ext uri="{FF2B5EF4-FFF2-40B4-BE49-F238E27FC236}">
              <a16:creationId xmlns:a16="http://schemas.microsoft.com/office/drawing/2014/main" id="{980BC2D3-C5CB-4B26-9C2B-B5CA6E17994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29" name="Text Box 2">
          <a:extLst>
            <a:ext uri="{FF2B5EF4-FFF2-40B4-BE49-F238E27FC236}">
              <a16:creationId xmlns:a16="http://schemas.microsoft.com/office/drawing/2014/main" id="{2BC65D77-EF97-452B-9B92-C1409410BE1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30" name="Text Box 1">
          <a:extLst>
            <a:ext uri="{FF2B5EF4-FFF2-40B4-BE49-F238E27FC236}">
              <a16:creationId xmlns:a16="http://schemas.microsoft.com/office/drawing/2014/main" id="{F8EE50A0-5851-41B1-BBD0-C0DEF0EEF04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31" name="Text Box 2">
          <a:extLst>
            <a:ext uri="{FF2B5EF4-FFF2-40B4-BE49-F238E27FC236}">
              <a16:creationId xmlns:a16="http://schemas.microsoft.com/office/drawing/2014/main" id="{AE9F2B65-5DD4-410A-925B-16F33D4713F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32" name="Text Box 1">
          <a:extLst>
            <a:ext uri="{FF2B5EF4-FFF2-40B4-BE49-F238E27FC236}">
              <a16:creationId xmlns:a16="http://schemas.microsoft.com/office/drawing/2014/main" id="{CB7BF7F3-AB90-4B8C-9DFB-1B2C66FF1EC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33" name="Text Box 2">
          <a:extLst>
            <a:ext uri="{FF2B5EF4-FFF2-40B4-BE49-F238E27FC236}">
              <a16:creationId xmlns:a16="http://schemas.microsoft.com/office/drawing/2014/main" id="{51EE505D-BCD2-4CC3-9B53-759E17F725E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34" name="Text Box 2">
          <a:extLst>
            <a:ext uri="{FF2B5EF4-FFF2-40B4-BE49-F238E27FC236}">
              <a16:creationId xmlns:a16="http://schemas.microsoft.com/office/drawing/2014/main" id="{F95F1D6C-69FB-4ABD-80AD-D3D21727533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35" name="Text Box 1">
          <a:extLst>
            <a:ext uri="{FF2B5EF4-FFF2-40B4-BE49-F238E27FC236}">
              <a16:creationId xmlns:a16="http://schemas.microsoft.com/office/drawing/2014/main" id="{CFCE808B-0D6B-42AA-8C11-602C9F18647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36" name="Text Box 2">
          <a:extLst>
            <a:ext uri="{FF2B5EF4-FFF2-40B4-BE49-F238E27FC236}">
              <a16:creationId xmlns:a16="http://schemas.microsoft.com/office/drawing/2014/main" id="{ED84BC68-D190-4A40-9212-2A626C1F8A6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37" name="Text Box 1">
          <a:extLst>
            <a:ext uri="{FF2B5EF4-FFF2-40B4-BE49-F238E27FC236}">
              <a16:creationId xmlns:a16="http://schemas.microsoft.com/office/drawing/2014/main" id="{C8D0203D-C06C-466A-B17A-75CD457E29E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38" name="Text Box 2">
          <a:extLst>
            <a:ext uri="{FF2B5EF4-FFF2-40B4-BE49-F238E27FC236}">
              <a16:creationId xmlns:a16="http://schemas.microsoft.com/office/drawing/2014/main" id="{1BA59C44-DBEA-40F8-8AF8-05BDAC9A714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39" name="Text Box 1">
          <a:extLst>
            <a:ext uri="{FF2B5EF4-FFF2-40B4-BE49-F238E27FC236}">
              <a16:creationId xmlns:a16="http://schemas.microsoft.com/office/drawing/2014/main" id="{12984668-BCE4-4DFA-8B6E-35AA9F9DB9A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40" name="Text Box 2">
          <a:extLst>
            <a:ext uri="{FF2B5EF4-FFF2-40B4-BE49-F238E27FC236}">
              <a16:creationId xmlns:a16="http://schemas.microsoft.com/office/drawing/2014/main" id="{3E62D741-CCEC-40CB-BD4C-1FCC5B5DE9B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41" name="Text Box 2">
          <a:extLst>
            <a:ext uri="{FF2B5EF4-FFF2-40B4-BE49-F238E27FC236}">
              <a16:creationId xmlns:a16="http://schemas.microsoft.com/office/drawing/2014/main" id="{612D8674-DD61-444E-810E-9097763E8CC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42" name="Text Box 1">
          <a:extLst>
            <a:ext uri="{FF2B5EF4-FFF2-40B4-BE49-F238E27FC236}">
              <a16:creationId xmlns:a16="http://schemas.microsoft.com/office/drawing/2014/main" id="{72225767-06AA-4F39-95DE-1D325E750D3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43" name="Text Box 2">
          <a:extLst>
            <a:ext uri="{FF2B5EF4-FFF2-40B4-BE49-F238E27FC236}">
              <a16:creationId xmlns:a16="http://schemas.microsoft.com/office/drawing/2014/main" id="{313036FE-37F0-4AA5-9965-E72230EC24D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44" name="Text Box 1">
          <a:extLst>
            <a:ext uri="{FF2B5EF4-FFF2-40B4-BE49-F238E27FC236}">
              <a16:creationId xmlns:a16="http://schemas.microsoft.com/office/drawing/2014/main" id="{CC6C5D22-C049-4E72-992A-0315CEFF3E0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45" name="Text Box 2">
          <a:extLst>
            <a:ext uri="{FF2B5EF4-FFF2-40B4-BE49-F238E27FC236}">
              <a16:creationId xmlns:a16="http://schemas.microsoft.com/office/drawing/2014/main" id="{87501A63-AF77-467A-9863-1E30572F55B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46" name="Text Box 1">
          <a:extLst>
            <a:ext uri="{FF2B5EF4-FFF2-40B4-BE49-F238E27FC236}">
              <a16:creationId xmlns:a16="http://schemas.microsoft.com/office/drawing/2014/main" id="{2F30079E-BBFF-4836-8BAC-535E4856DC9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47" name="Text Box 2">
          <a:extLst>
            <a:ext uri="{FF2B5EF4-FFF2-40B4-BE49-F238E27FC236}">
              <a16:creationId xmlns:a16="http://schemas.microsoft.com/office/drawing/2014/main" id="{1F44F198-A9FD-4E6F-B6A8-EFABD01A476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48" name="Text Box 1">
          <a:extLst>
            <a:ext uri="{FF2B5EF4-FFF2-40B4-BE49-F238E27FC236}">
              <a16:creationId xmlns:a16="http://schemas.microsoft.com/office/drawing/2014/main" id="{F709C3E6-D2E2-4573-9E29-E4589566C6D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49" name="Text Box 2">
          <a:extLst>
            <a:ext uri="{FF2B5EF4-FFF2-40B4-BE49-F238E27FC236}">
              <a16:creationId xmlns:a16="http://schemas.microsoft.com/office/drawing/2014/main" id="{4AD7C050-5B3E-4B8A-BB69-3F469903F00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50" name="Text Box 1">
          <a:extLst>
            <a:ext uri="{FF2B5EF4-FFF2-40B4-BE49-F238E27FC236}">
              <a16:creationId xmlns:a16="http://schemas.microsoft.com/office/drawing/2014/main" id="{76AB4FB7-485E-48E9-906C-75A0FE19E37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51" name="Text Box 2">
          <a:extLst>
            <a:ext uri="{FF2B5EF4-FFF2-40B4-BE49-F238E27FC236}">
              <a16:creationId xmlns:a16="http://schemas.microsoft.com/office/drawing/2014/main" id="{1720258E-3237-4B2B-B4A8-634BD1F270F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52" name="Text Box 1">
          <a:extLst>
            <a:ext uri="{FF2B5EF4-FFF2-40B4-BE49-F238E27FC236}">
              <a16:creationId xmlns:a16="http://schemas.microsoft.com/office/drawing/2014/main" id="{19327BDC-B560-4DC3-B5A6-342B7C140D5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53" name="Text Box 2">
          <a:extLst>
            <a:ext uri="{FF2B5EF4-FFF2-40B4-BE49-F238E27FC236}">
              <a16:creationId xmlns:a16="http://schemas.microsoft.com/office/drawing/2014/main" id="{1240989F-60D5-4C8E-ADBA-77D7206BA2A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54" name="Text Box 1">
          <a:extLst>
            <a:ext uri="{FF2B5EF4-FFF2-40B4-BE49-F238E27FC236}">
              <a16:creationId xmlns:a16="http://schemas.microsoft.com/office/drawing/2014/main" id="{D4EB5B58-1450-4D81-9EAF-C7FC5D46E56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55" name="Text Box 2">
          <a:extLst>
            <a:ext uri="{FF2B5EF4-FFF2-40B4-BE49-F238E27FC236}">
              <a16:creationId xmlns:a16="http://schemas.microsoft.com/office/drawing/2014/main" id="{9979FD46-0BF3-45C6-A765-4D2DC60B661C}"/>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56" name="Text Box 1">
          <a:extLst>
            <a:ext uri="{FF2B5EF4-FFF2-40B4-BE49-F238E27FC236}">
              <a16:creationId xmlns:a16="http://schemas.microsoft.com/office/drawing/2014/main" id="{7C58340B-D18E-4FE3-A452-19F887A16C1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57" name="Text Box 2">
          <a:extLst>
            <a:ext uri="{FF2B5EF4-FFF2-40B4-BE49-F238E27FC236}">
              <a16:creationId xmlns:a16="http://schemas.microsoft.com/office/drawing/2014/main" id="{8C1DCC3E-4B34-469F-8A98-3C455B00984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58" name="Text Box 1">
          <a:extLst>
            <a:ext uri="{FF2B5EF4-FFF2-40B4-BE49-F238E27FC236}">
              <a16:creationId xmlns:a16="http://schemas.microsoft.com/office/drawing/2014/main" id="{EDE7FED1-B6C4-4D14-AE7B-8AB35C63C92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59" name="Text Box 2">
          <a:extLst>
            <a:ext uri="{FF2B5EF4-FFF2-40B4-BE49-F238E27FC236}">
              <a16:creationId xmlns:a16="http://schemas.microsoft.com/office/drawing/2014/main" id="{73CD26AD-9E14-4B9B-A7AF-C938C7D6460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60" name="Text Box 1">
          <a:extLst>
            <a:ext uri="{FF2B5EF4-FFF2-40B4-BE49-F238E27FC236}">
              <a16:creationId xmlns:a16="http://schemas.microsoft.com/office/drawing/2014/main" id="{6E80DF6B-3115-46E1-89D4-597E79F776C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61" name="Text Box 2">
          <a:extLst>
            <a:ext uri="{FF2B5EF4-FFF2-40B4-BE49-F238E27FC236}">
              <a16:creationId xmlns:a16="http://schemas.microsoft.com/office/drawing/2014/main" id="{21F61502-04A3-4794-A29D-1CD6A716B78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62" name="Text Box 1">
          <a:extLst>
            <a:ext uri="{FF2B5EF4-FFF2-40B4-BE49-F238E27FC236}">
              <a16:creationId xmlns:a16="http://schemas.microsoft.com/office/drawing/2014/main" id="{D8FBDF91-ACFF-43A3-919F-B56E1EF2133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63" name="Text Box 2">
          <a:extLst>
            <a:ext uri="{FF2B5EF4-FFF2-40B4-BE49-F238E27FC236}">
              <a16:creationId xmlns:a16="http://schemas.microsoft.com/office/drawing/2014/main" id="{E313D143-5FF1-42B4-AC60-B1F619D73EC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64" name="Text Box 1">
          <a:extLst>
            <a:ext uri="{FF2B5EF4-FFF2-40B4-BE49-F238E27FC236}">
              <a16:creationId xmlns:a16="http://schemas.microsoft.com/office/drawing/2014/main" id="{6F598911-BDDA-44D6-80E3-D22644FCA27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65" name="Text Box 2">
          <a:extLst>
            <a:ext uri="{FF2B5EF4-FFF2-40B4-BE49-F238E27FC236}">
              <a16:creationId xmlns:a16="http://schemas.microsoft.com/office/drawing/2014/main" id="{BF186387-2DDD-44D3-85A6-A1B6703FBAA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66" name="Text Box 1">
          <a:extLst>
            <a:ext uri="{FF2B5EF4-FFF2-40B4-BE49-F238E27FC236}">
              <a16:creationId xmlns:a16="http://schemas.microsoft.com/office/drawing/2014/main" id="{1E8A91F2-89DD-4A5B-8DF1-AD0F6EA0457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67" name="Text Box 2">
          <a:extLst>
            <a:ext uri="{FF2B5EF4-FFF2-40B4-BE49-F238E27FC236}">
              <a16:creationId xmlns:a16="http://schemas.microsoft.com/office/drawing/2014/main" id="{C092069B-FD17-4154-96AD-7DC76648765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68" name="Text Box 1">
          <a:extLst>
            <a:ext uri="{FF2B5EF4-FFF2-40B4-BE49-F238E27FC236}">
              <a16:creationId xmlns:a16="http://schemas.microsoft.com/office/drawing/2014/main" id="{186617C8-A655-4C58-A241-AF6497DF42D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69" name="Text Box 2">
          <a:extLst>
            <a:ext uri="{FF2B5EF4-FFF2-40B4-BE49-F238E27FC236}">
              <a16:creationId xmlns:a16="http://schemas.microsoft.com/office/drawing/2014/main" id="{8972AF16-BD74-4D2F-AD95-C5D27713AAB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70" name="Text Box 1">
          <a:extLst>
            <a:ext uri="{FF2B5EF4-FFF2-40B4-BE49-F238E27FC236}">
              <a16:creationId xmlns:a16="http://schemas.microsoft.com/office/drawing/2014/main" id="{567D9C51-AFEB-4AD5-ADC8-7CCF3A2D61A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71" name="Text Box 2">
          <a:extLst>
            <a:ext uri="{FF2B5EF4-FFF2-40B4-BE49-F238E27FC236}">
              <a16:creationId xmlns:a16="http://schemas.microsoft.com/office/drawing/2014/main" id="{2E158E9D-D84C-4487-8F64-FE342CAD0C5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72" name="Text Box 1">
          <a:extLst>
            <a:ext uri="{FF2B5EF4-FFF2-40B4-BE49-F238E27FC236}">
              <a16:creationId xmlns:a16="http://schemas.microsoft.com/office/drawing/2014/main" id="{CEE9B73A-7E97-4F82-98B9-545C0296785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73" name="Text Box 2">
          <a:extLst>
            <a:ext uri="{FF2B5EF4-FFF2-40B4-BE49-F238E27FC236}">
              <a16:creationId xmlns:a16="http://schemas.microsoft.com/office/drawing/2014/main" id="{C7167684-E830-43D7-92EE-C41A73B69D5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74" name="Text Box 1">
          <a:extLst>
            <a:ext uri="{FF2B5EF4-FFF2-40B4-BE49-F238E27FC236}">
              <a16:creationId xmlns:a16="http://schemas.microsoft.com/office/drawing/2014/main" id="{B8408A97-D9AB-4367-8323-E99E157DB29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75" name="Text Box 2">
          <a:extLst>
            <a:ext uri="{FF2B5EF4-FFF2-40B4-BE49-F238E27FC236}">
              <a16:creationId xmlns:a16="http://schemas.microsoft.com/office/drawing/2014/main" id="{0A85CC0F-860A-44B2-A234-936A47C1EDF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76" name="Text Box 1">
          <a:extLst>
            <a:ext uri="{FF2B5EF4-FFF2-40B4-BE49-F238E27FC236}">
              <a16:creationId xmlns:a16="http://schemas.microsoft.com/office/drawing/2014/main" id="{26CA55B7-814C-4745-9983-1709201459D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77" name="Text Box 2">
          <a:extLst>
            <a:ext uri="{FF2B5EF4-FFF2-40B4-BE49-F238E27FC236}">
              <a16:creationId xmlns:a16="http://schemas.microsoft.com/office/drawing/2014/main" id="{509167E4-F37E-4905-86D3-F65E82295D8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78" name="Text Box 1">
          <a:extLst>
            <a:ext uri="{FF2B5EF4-FFF2-40B4-BE49-F238E27FC236}">
              <a16:creationId xmlns:a16="http://schemas.microsoft.com/office/drawing/2014/main" id="{AE157C67-72EF-4344-95E9-167DD8C2FAB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79" name="Text Box 2">
          <a:extLst>
            <a:ext uri="{FF2B5EF4-FFF2-40B4-BE49-F238E27FC236}">
              <a16:creationId xmlns:a16="http://schemas.microsoft.com/office/drawing/2014/main" id="{570072A2-2616-4911-BA2E-30D9DBD0939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80" name="Text Box 1">
          <a:extLst>
            <a:ext uri="{FF2B5EF4-FFF2-40B4-BE49-F238E27FC236}">
              <a16:creationId xmlns:a16="http://schemas.microsoft.com/office/drawing/2014/main" id="{2127FA6B-2803-4A90-9090-FF63195E7FA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81" name="Text Box 2">
          <a:extLst>
            <a:ext uri="{FF2B5EF4-FFF2-40B4-BE49-F238E27FC236}">
              <a16:creationId xmlns:a16="http://schemas.microsoft.com/office/drawing/2014/main" id="{64E2D384-E774-4A90-9CE8-DECA44EEBA3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82" name="Text Box 1">
          <a:extLst>
            <a:ext uri="{FF2B5EF4-FFF2-40B4-BE49-F238E27FC236}">
              <a16:creationId xmlns:a16="http://schemas.microsoft.com/office/drawing/2014/main" id="{630EDF68-EA36-428B-9FC4-F3A8D290B67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83" name="Text Box 2">
          <a:extLst>
            <a:ext uri="{FF2B5EF4-FFF2-40B4-BE49-F238E27FC236}">
              <a16:creationId xmlns:a16="http://schemas.microsoft.com/office/drawing/2014/main" id="{43BA41FF-EB4E-494B-BBF2-7D95815EA41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84" name="Text Box 1">
          <a:extLst>
            <a:ext uri="{FF2B5EF4-FFF2-40B4-BE49-F238E27FC236}">
              <a16:creationId xmlns:a16="http://schemas.microsoft.com/office/drawing/2014/main" id="{9CBDFA06-9E67-4766-BDF4-017C48F3674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85" name="Text Box 2">
          <a:extLst>
            <a:ext uri="{FF2B5EF4-FFF2-40B4-BE49-F238E27FC236}">
              <a16:creationId xmlns:a16="http://schemas.microsoft.com/office/drawing/2014/main" id="{A48FE9DA-A7E4-4295-8669-2E8D97243E1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86" name="Text Box 1">
          <a:extLst>
            <a:ext uri="{FF2B5EF4-FFF2-40B4-BE49-F238E27FC236}">
              <a16:creationId xmlns:a16="http://schemas.microsoft.com/office/drawing/2014/main" id="{BB4C3C65-784D-45FC-A9AB-47152101AA3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87" name="Text Box 2">
          <a:extLst>
            <a:ext uri="{FF2B5EF4-FFF2-40B4-BE49-F238E27FC236}">
              <a16:creationId xmlns:a16="http://schemas.microsoft.com/office/drawing/2014/main" id="{E577FFC4-E4E8-442C-8D74-0F9DA9519C5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88" name="Text Box 1">
          <a:extLst>
            <a:ext uri="{FF2B5EF4-FFF2-40B4-BE49-F238E27FC236}">
              <a16:creationId xmlns:a16="http://schemas.microsoft.com/office/drawing/2014/main" id="{089E4B91-B6F3-47A0-B993-8D1B1A8FA9E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89" name="Text Box 2">
          <a:extLst>
            <a:ext uri="{FF2B5EF4-FFF2-40B4-BE49-F238E27FC236}">
              <a16:creationId xmlns:a16="http://schemas.microsoft.com/office/drawing/2014/main" id="{1FE68B41-F595-4A70-96D8-01201EF954F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90" name="Text Box 1">
          <a:extLst>
            <a:ext uri="{FF2B5EF4-FFF2-40B4-BE49-F238E27FC236}">
              <a16:creationId xmlns:a16="http://schemas.microsoft.com/office/drawing/2014/main" id="{86E22ACA-7297-4269-A6DA-26D27E5B326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91" name="Text Box 2">
          <a:extLst>
            <a:ext uri="{FF2B5EF4-FFF2-40B4-BE49-F238E27FC236}">
              <a16:creationId xmlns:a16="http://schemas.microsoft.com/office/drawing/2014/main" id="{09FD7F8C-7013-426B-8BB7-2D30BC54549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92" name="Text Box 1">
          <a:extLst>
            <a:ext uri="{FF2B5EF4-FFF2-40B4-BE49-F238E27FC236}">
              <a16:creationId xmlns:a16="http://schemas.microsoft.com/office/drawing/2014/main" id="{C56FD787-7165-4858-AD8F-F2DC504D43E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93" name="Text Box 2">
          <a:extLst>
            <a:ext uri="{FF2B5EF4-FFF2-40B4-BE49-F238E27FC236}">
              <a16:creationId xmlns:a16="http://schemas.microsoft.com/office/drawing/2014/main" id="{1E98CEE1-BA9E-458D-BBFD-95D48CA169B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94" name="Text Box 1">
          <a:extLst>
            <a:ext uri="{FF2B5EF4-FFF2-40B4-BE49-F238E27FC236}">
              <a16:creationId xmlns:a16="http://schemas.microsoft.com/office/drawing/2014/main" id="{4D8DD381-3E92-4A1A-A26D-C7D575E49C3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95" name="Text Box 2">
          <a:extLst>
            <a:ext uri="{FF2B5EF4-FFF2-40B4-BE49-F238E27FC236}">
              <a16:creationId xmlns:a16="http://schemas.microsoft.com/office/drawing/2014/main" id="{5F8A7F5D-6187-4CC5-B885-626EA76AD0E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96" name="Text Box 1">
          <a:extLst>
            <a:ext uri="{FF2B5EF4-FFF2-40B4-BE49-F238E27FC236}">
              <a16:creationId xmlns:a16="http://schemas.microsoft.com/office/drawing/2014/main" id="{68D4D68B-DB85-4A63-B934-932594E103E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98" name="Text Box 1">
          <a:extLst>
            <a:ext uri="{FF2B5EF4-FFF2-40B4-BE49-F238E27FC236}">
              <a16:creationId xmlns:a16="http://schemas.microsoft.com/office/drawing/2014/main" id="{2EFFD4EA-CA8A-47EE-ACA6-BA6BE0A3448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99" name="Text Box 2">
          <a:extLst>
            <a:ext uri="{FF2B5EF4-FFF2-40B4-BE49-F238E27FC236}">
              <a16:creationId xmlns:a16="http://schemas.microsoft.com/office/drawing/2014/main" id="{3DC7ABEB-663A-4393-9D92-50B1672D8B7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00" name="Text Box 1">
          <a:extLst>
            <a:ext uri="{FF2B5EF4-FFF2-40B4-BE49-F238E27FC236}">
              <a16:creationId xmlns:a16="http://schemas.microsoft.com/office/drawing/2014/main" id="{81E92F6D-76D9-4966-AAFF-86F1D08AAFB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01" name="Text Box 2">
          <a:extLst>
            <a:ext uri="{FF2B5EF4-FFF2-40B4-BE49-F238E27FC236}">
              <a16:creationId xmlns:a16="http://schemas.microsoft.com/office/drawing/2014/main" id="{F742BB73-61F6-4DDB-B0B9-27C38FC2385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02" name="Text Box 1">
          <a:extLst>
            <a:ext uri="{FF2B5EF4-FFF2-40B4-BE49-F238E27FC236}">
              <a16:creationId xmlns:a16="http://schemas.microsoft.com/office/drawing/2014/main" id="{4E7E2FF1-2580-404E-BF66-4BFD1DBEEDB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03" name="Text Box 2">
          <a:extLst>
            <a:ext uri="{FF2B5EF4-FFF2-40B4-BE49-F238E27FC236}">
              <a16:creationId xmlns:a16="http://schemas.microsoft.com/office/drawing/2014/main" id="{5AD85EC7-6BE3-4EFC-A367-63CF700D48B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04" name="Text Box 1">
          <a:extLst>
            <a:ext uri="{FF2B5EF4-FFF2-40B4-BE49-F238E27FC236}">
              <a16:creationId xmlns:a16="http://schemas.microsoft.com/office/drawing/2014/main" id="{9CC59246-A0CC-4086-8EEE-8FCF5E08C1E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05" name="Text Box 2">
          <a:extLst>
            <a:ext uri="{FF2B5EF4-FFF2-40B4-BE49-F238E27FC236}">
              <a16:creationId xmlns:a16="http://schemas.microsoft.com/office/drawing/2014/main" id="{F0D5A56E-915B-4441-B7A8-5283DBB3828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06" name="Text Box 1">
          <a:extLst>
            <a:ext uri="{FF2B5EF4-FFF2-40B4-BE49-F238E27FC236}">
              <a16:creationId xmlns:a16="http://schemas.microsoft.com/office/drawing/2014/main" id="{B9BEEB61-EE82-4C0A-9AD6-E73808E6059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07" name="Text Box 2">
          <a:extLst>
            <a:ext uri="{FF2B5EF4-FFF2-40B4-BE49-F238E27FC236}">
              <a16:creationId xmlns:a16="http://schemas.microsoft.com/office/drawing/2014/main" id="{24820E0B-A8CE-4ED4-9E8A-F7B7152C4CA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08" name="Text Box 1">
          <a:extLst>
            <a:ext uri="{FF2B5EF4-FFF2-40B4-BE49-F238E27FC236}">
              <a16:creationId xmlns:a16="http://schemas.microsoft.com/office/drawing/2014/main" id="{BB044DBD-0DE2-485B-BDE3-53188C6617E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09" name="Text Box 2">
          <a:extLst>
            <a:ext uri="{FF2B5EF4-FFF2-40B4-BE49-F238E27FC236}">
              <a16:creationId xmlns:a16="http://schemas.microsoft.com/office/drawing/2014/main" id="{FE64D86B-B127-4E6B-A7A8-62D0AD1FC84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10" name="Text Box 1">
          <a:extLst>
            <a:ext uri="{FF2B5EF4-FFF2-40B4-BE49-F238E27FC236}">
              <a16:creationId xmlns:a16="http://schemas.microsoft.com/office/drawing/2014/main" id="{E06B6C0D-145D-4711-B055-ACC39BF295F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11" name="Text Box 2">
          <a:extLst>
            <a:ext uri="{FF2B5EF4-FFF2-40B4-BE49-F238E27FC236}">
              <a16:creationId xmlns:a16="http://schemas.microsoft.com/office/drawing/2014/main" id="{4AA2C373-B63A-4356-8585-30397EED5B9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12" name="Text Box 1">
          <a:extLst>
            <a:ext uri="{FF2B5EF4-FFF2-40B4-BE49-F238E27FC236}">
              <a16:creationId xmlns:a16="http://schemas.microsoft.com/office/drawing/2014/main" id="{8A05F6C8-2302-49F3-B903-0231E942B8C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13" name="Text Box 2">
          <a:extLst>
            <a:ext uri="{FF2B5EF4-FFF2-40B4-BE49-F238E27FC236}">
              <a16:creationId xmlns:a16="http://schemas.microsoft.com/office/drawing/2014/main" id="{2C6684FB-C3AB-494D-B01E-D97164B5506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14" name="Text Box 1">
          <a:extLst>
            <a:ext uri="{FF2B5EF4-FFF2-40B4-BE49-F238E27FC236}">
              <a16:creationId xmlns:a16="http://schemas.microsoft.com/office/drawing/2014/main" id="{23AF2402-D4EA-4C1D-8F34-7ADBE4DDD9B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15" name="Text Box 2">
          <a:extLst>
            <a:ext uri="{FF2B5EF4-FFF2-40B4-BE49-F238E27FC236}">
              <a16:creationId xmlns:a16="http://schemas.microsoft.com/office/drawing/2014/main" id="{B01CA1A0-EC67-432D-A847-5AF518970CE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16" name="Text Box 1">
          <a:extLst>
            <a:ext uri="{FF2B5EF4-FFF2-40B4-BE49-F238E27FC236}">
              <a16:creationId xmlns:a16="http://schemas.microsoft.com/office/drawing/2014/main" id="{1FE4B28D-747E-4311-BBD6-9E7DAAEAF4B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17" name="Text Box 2">
          <a:extLst>
            <a:ext uri="{FF2B5EF4-FFF2-40B4-BE49-F238E27FC236}">
              <a16:creationId xmlns:a16="http://schemas.microsoft.com/office/drawing/2014/main" id="{409F0220-6367-48E7-80E4-E96B5DED20C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18" name="Text Box 1">
          <a:extLst>
            <a:ext uri="{FF2B5EF4-FFF2-40B4-BE49-F238E27FC236}">
              <a16:creationId xmlns:a16="http://schemas.microsoft.com/office/drawing/2014/main" id="{9637BF4C-E527-4A87-BB76-950EDFBCF10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19" name="Text Box 2">
          <a:extLst>
            <a:ext uri="{FF2B5EF4-FFF2-40B4-BE49-F238E27FC236}">
              <a16:creationId xmlns:a16="http://schemas.microsoft.com/office/drawing/2014/main" id="{95CA214F-A671-4140-B490-119A5039AF3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20" name="Text Box 1">
          <a:extLst>
            <a:ext uri="{FF2B5EF4-FFF2-40B4-BE49-F238E27FC236}">
              <a16:creationId xmlns:a16="http://schemas.microsoft.com/office/drawing/2014/main" id="{98670F5E-1E54-471E-9A51-1885145A5FD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21" name="Text Box 2">
          <a:extLst>
            <a:ext uri="{FF2B5EF4-FFF2-40B4-BE49-F238E27FC236}">
              <a16:creationId xmlns:a16="http://schemas.microsoft.com/office/drawing/2014/main" id="{AC718327-B787-4505-9B39-34F32694DF3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22" name="Text Box 1">
          <a:extLst>
            <a:ext uri="{FF2B5EF4-FFF2-40B4-BE49-F238E27FC236}">
              <a16:creationId xmlns:a16="http://schemas.microsoft.com/office/drawing/2014/main" id="{6DAAE7AF-F784-47CB-9C04-42DBAAAA28F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23" name="Text Box 2">
          <a:extLst>
            <a:ext uri="{FF2B5EF4-FFF2-40B4-BE49-F238E27FC236}">
              <a16:creationId xmlns:a16="http://schemas.microsoft.com/office/drawing/2014/main" id="{0B624E8C-F8DF-4DD7-8413-1BA1FD77FA2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24" name="Text Box 1">
          <a:extLst>
            <a:ext uri="{FF2B5EF4-FFF2-40B4-BE49-F238E27FC236}">
              <a16:creationId xmlns:a16="http://schemas.microsoft.com/office/drawing/2014/main" id="{F70D7D10-553F-48BD-9540-CCBDC9C192D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25" name="Text Box 2">
          <a:extLst>
            <a:ext uri="{FF2B5EF4-FFF2-40B4-BE49-F238E27FC236}">
              <a16:creationId xmlns:a16="http://schemas.microsoft.com/office/drawing/2014/main" id="{815E6715-7D7D-48FD-BCF1-8D8A1A4E7A6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26" name="Text Box 1">
          <a:extLst>
            <a:ext uri="{FF2B5EF4-FFF2-40B4-BE49-F238E27FC236}">
              <a16:creationId xmlns:a16="http://schemas.microsoft.com/office/drawing/2014/main" id="{B24B7221-0D26-483D-B938-2A67530FE7C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27" name="Text Box 2">
          <a:extLst>
            <a:ext uri="{FF2B5EF4-FFF2-40B4-BE49-F238E27FC236}">
              <a16:creationId xmlns:a16="http://schemas.microsoft.com/office/drawing/2014/main" id="{289FAA69-991B-4726-89A3-F3452906C1E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28" name="Text Box 1">
          <a:extLst>
            <a:ext uri="{FF2B5EF4-FFF2-40B4-BE49-F238E27FC236}">
              <a16:creationId xmlns:a16="http://schemas.microsoft.com/office/drawing/2014/main" id="{3377E957-85A3-4156-B0EF-85D00C21B55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29" name="Text Box 2">
          <a:extLst>
            <a:ext uri="{FF2B5EF4-FFF2-40B4-BE49-F238E27FC236}">
              <a16:creationId xmlns:a16="http://schemas.microsoft.com/office/drawing/2014/main" id="{0CE52DFA-0C03-4AD2-9BFB-7141B3FA66F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330" name="Text Box 1">
          <a:extLst>
            <a:ext uri="{FF2B5EF4-FFF2-40B4-BE49-F238E27FC236}">
              <a16:creationId xmlns:a16="http://schemas.microsoft.com/office/drawing/2014/main" id="{81444250-6662-4F09-9459-BB2DD6D8193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32" name="Text Box 1">
          <a:extLst>
            <a:ext uri="{FF2B5EF4-FFF2-40B4-BE49-F238E27FC236}">
              <a16:creationId xmlns:a16="http://schemas.microsoft.com/office/drawing/2014/main" id="{724B231F-73DB-436E-81B4-BA51E5E0BD7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33" name="Text Box 2">
          <a:extLst>
            <a:ext uri="{FF2B5EF4-FFF2-40B4-BE49-F238E27FC236}">
              <a16:creationId xmlns:a16="http://schemas.microsoft.com/office/drawing/2014/main" id="{1DD8BDCC-2A5F-4EEB-87AB-3F2D9ED53AE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334" name="Text Box 1">
          <a:extLst>
            <a:ext uri="{FF2B5EF4-FFF2-40B4-BE49-F238E27FC236}">
              <a16:creationId xmlns:a16="http://schemas.microsoft.com/office/drawing/2014/main" id="{FA049979-5585-41A5-81DA-D402687D943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36" name="Text Box 1">
          <a:extLst>
            <a:ext uri="{FF2B5EF4-FFF2-40B4-BE49-F238E27FC236}">
              <a16:creationId xmlns:a16="http://schemas.microsoft.com/office/drawing/2014/main" id="{954C62FF-915E-4E74-A775-52DDBAADD93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37" name="Text Box 2">
          <a:extLst>
            <a:ext uri="{FF2B5EF4-FFF2-40B4-BE49-F238E27FC236}">
              <a16:creationId xmlns:a16="http://schemas.microsoft.com/office/drawing/2014/main" id="{F72DC896-95AB-4352-B948-F9D2CFB05CC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38" name="Text Box 1">
          <a:extLst>
            <a:ext uri="{FF2B5EF4-FFF2-40B4-BE49-F238E27FC236}">
              <a16:creationId xmlns:a16="http://schemas.microsoft.com/office/drawing/2014/main" id="{6A319A66-8822-4B46-8B82-9AC8DB9D297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39" name="Text Box 2">
          <a:extLst>
            <a:ext uri="{FF2B5EF4-FFF2-40B4-BE49-F238E27FC236}">
              <a16:creationId xmlns:a16="http://schemas.microsoft.com/office/drawing/2014/main" id="{7634CEEA-117E-40B2-A5D3-FC48691306B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40" name="Text Box 1">
          <a:extLst>
            <a:ext uri="{FF2B5EF4-FFF2-40B4-BE49-F238E27FC236}">
              <a16:creationId xmlns:a16="http://schemas.microsoft.com/office/drawing/2014/main" id="{515ADD66-A580-49C4-88B3-A90F0CB1102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41" name="Text Box 2">
          <a:extLst>
            <a:ext uri="{FF2B5EF4-FFF2-40B4-BE49-F238E27FC236}">
              <a16:creationId xmlns:a16="http://schemas.microsoft.com/office/drawing/2014/main" id="{752AB85B-AE06-4E55-BDB9-F13774DC7ED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42" name="Text Box 1">
          <a:extLst>
            <a:ext uri="{FF2B5EF4-FFF2-40B4-BE49-F238E27FC236}">
              <a16:creationId xmlns:a16="http://schemas.microsoft.com/office/drawing/2014/main" id="{83FB01C9-7014-40C2-B931-7F4B16F75C8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43" name="Text Box 2">
          <a:extLst>
            <a:ext uri="{FF2B5EF4-FFF2-40B4-BE49-F238E27FC236}">
              <a16:creationId xmlns:a16="http://schemas.microsoft.com/office/drawing/2014/main" id="{2ED9C3B4-107B-47BA-B410-454D7D38DF1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44" name="Text Box 1">
          <a:extLst>
            <a:ext uri="{FF2B5EF4-FFF2-40B4-BE49-F238E27FC236}">
              <a16:creationId xmlns:a16="http://schemas.microsoft.com/office/drawing/2014/main" id="{8804E6DA-CCE2-408B-B34A-48FA9244868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45" name="Text Box 2">
          <a:extLst>
            <a:ext uri="{FF2B5EF4-FFF2-40B4-BE49-F238E27FC236}">
              <a16:creationId xmlns:a16="http://schemas.microsoft.com/office/drawing/2014/main" id="{797E3A89-0944-46BA-96E8-AFE9B64E514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46" name="Text Box 1">
          <a:extLst>
            <a:ext uri="{FF2B5EF4-FFF2-40B4-BE49-F238E27FC236}">
              <a16:creationId xmlns:a16="http://schemas.microsoft.com/office/drawing/2014/main" id="{BF242330-3BFB-4CDD-B0E6-3A54E802E1C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47" name="Text Box 2">
          <a:extLst>
            <a:ext uri="{FF2B5EF4-FFF2-40B4-BE49-F238E27FC236}">
              <a16:creationId xmlns:a16="http://schemas.microsoft.com/office/drawing/2014/main" id="{B227B927-D588-40F5-8D60-24E2FE672B6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48" name="Text Box 1">
          <a:extLst>
            <a:ext uri="{FF2B5EF4-FFF2-40B4-BE49-F238E27FC236}">
              <a16:creationId xmlns:a16="http://schemas.microsoft.com/office/drawing/2014/main" id="{E2D2827F-E8E2-4502-AA7A-3472F16DABA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49" name="Text Box 2">
          <a:extLst>
            <a:ext uri="{FF2B5EF4-FFF2-40B4-BE49-F238E27FC236}">
              <a16:creationId xmlns:a16="http://schemas.microsoft.com/office/drawing/2014/main" id="{93DB37FF-AFD8-4438-845F-7F33B52163C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50" name="Text Box 1">
          <a:extLst>
            <a:ext uri="{FF2B5EF4-FFF2-40B4-BE49-F238E27FC236}">
              <a16:creationId xmlns:a16="http://schemas.microsoft.com/office/drawing/2014/main" id="{F23AEF0D-DF5B-4459-AA52-E7854067478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51" name="Text Box 2">
          <a:extLst>
            <a:ext uri="{FF2B5EF4-FFF2-40B4-BE49-F238E27FC236}">
              <a16:creationId xmlns:a16="http://schemas.microsoft.com/office/drawing/2014/main" id="{D33BEBF3-97F7-4DF4-BF36-ABC066E71CD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52" name="Text Box 1">
          <a:extLst>
            <a:ext uri="{FF2B5EF4-FFF2-40B4-BE49-F238E27FC236}">
              <a16:creationId xmlns:a16="http://schemas.microsoft.com/office/drawing/2014/main" id="{6BCB2A87-C34D-4987-96AF-CB73580D197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53" name="Text Box 2">
          <a:extLst>
            <a:ext uri="{FF2B5EF4-FFF2-40B4-BE49-F238E27FC236}">
              <a16:creationId xmlns:a16="http://schemas.microsoft.com/office/drawing/2014/main" id="{F6A2AFA6-65FE-4711-8DED-78782F5B426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54" name="Text Box 1">
          <a:extLst>
            <a:ext uri="{FF2B5EF4-FFF2-40B4-BE49-F238E27FC236}">
              <a16:creationId xmlns:a16="http://schemas.microsoft.com/office/drawing/2014/main" id="{E6E4CD48-1DFF-4896-9A8A-719FD1035B6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55" name="Text Box 2">
          <a:extLst>
            <a:ext uri="{FF2B5EF4-FFF2-40B4-BE49-F238E27FC236}">
              <a16:creationId xmlns:a16="http://schemas.microsoft.com/office/drawing/2014/main" id="{02B3BFAA-8575-4B22-B09B-C1BEF09BB51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56" name="Text Box 1">
          <a:extLst>
            <a:ext uri="{FF2B5EF4-FFF2-40B4-BE49-F238E27FC236}">
              <a16:creationId xmlns:a16="http://schemas.microsoft.com/office/drawing/2014/main" id="{F0CF32C8-3B14-489F-A16E-92F69974458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57" name="Text Box 2">
          <a:extLst>
            <a:ext uri="{FF2B5EF4-FFF2-40B4-BE49-F238E27FC236}">
              <a16:creationId xmlns:a16="http://schemas.microsoft.com/office/drawing/2014/main" id="{8D7BDE91-81BF-45F2-B1CF-2372EF1CB73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358" name="Text Box 1">
          <a:extLst>
            <a:ext uri="{FF2B5EF4-FFF2-40B4-BE49-F238E27FC236}">
              <a16:creationId xmlns:a16="http://schemas.microsoft.com/office/drawing/2014/main" id="{52814D97-3072-428B-8EA0-FFBB5E3DF37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360" name="Text Box 1">
          <a:extLst>
            <a:ext uri="{FF2B5EF4-FFF2-40B4-BE49-F238E27FC236}">
              <a16:creationId xmlns:a16="http://schemas.microsoft.com/office/drawing/2014/main" id="{F5024D59-7E32-4F8F-BB4F-0FE7E31A820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62" name="Text Box 1">
          <a:extLst>
            <a:ext uri="{FF2B5EF4-FFF2-40B4-BE49-F238E27FC236}">
              <a16:creationId xmlns:a16="http://schemas.microsoft.com/office/drawing/2014/main" id="{88D2979B-A133-4A75-ABF3-480D4A53AF4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63" name="Text Box 2">
          <a:extLst>
            <a:ext uri="{FF2B5EF4-FFF2-40B4-BE49-F238E27FC236}">
              <a16:creationId xmlns:a16="http://schemas.microsoft.com/office/drawing/2014/main" id="{3AD37905-E1F3-4F72-8738-E9CF78C8044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64" name="Text Box 1">
          <a:extLst>
            <a:ext uri="{FF2B5EF4-FFF2-40B4-BE49-F238E27FC236}">
              <a16:creationId xmlns:a16="http://schemas.microsoft.com/office/drawing/2014/main" id="{26B7CBE8-4C0A-4B31-923C-25043A15B40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65" name="Text Box 2">
          <a:extLst>
            <a:ext uri="{FF2B5EF4-FFF2-40B4-BE49-F238E27FC236}">
              <a16:creationId xmlns:a16="http://schemas.microsoft.com/office/drawing/2014/main" id="{5F0301DC-10DD-4150-AE67-E8FA8D082FE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66" name="Text Box 1">
          <a:extLst>
            <a:ext uri="{FF2B5EF4-FFF2-40B4-BE49-F238E27FC236}">
              <a16:creationId xmlns:a16="http://schemas.microsoft.com/office/drawing/2014/main" id="{16C60B61-2CB0-4076-8C8F-101BCA929BA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67" name="Text Box 2">
          <a:extLst>
            <a:ext uri="{FF2B5EF4-FFF2-40B4-BE49-F238E27FC236}">
              <a16:creationId xmlns:a16="http://schemas.microsoft.com/office/drawing/2014/main" id="{6ED6CBCA-B74C-43B7-B57C-A1F10966E18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68" name="Text Box 1">
          <a:extLst>
            <a:ext uri="{FF2B5EF4-FFF2-40B4-BE49-F238E27FC236}">
              <a16:creationId xmlns:a16="http://schemas.microsoft.com/office/drawing/2014/main" id="{5F479EC2-2A24-4DDF-BC38-4A5974E0B35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69" name="Text Box 2">
          <a:extLst>
            <a:ext uri="{FF2B5EF4-FFF2-40B4-BE49-F238E27FC236}">
              <a16:creationId xmlns:a16="http://schemas.microsoft.com/office/drawing/2014/main" id="{0F5CD1FF-8C5D-4E61-888D-2F3E026D589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370" name="Text Box 1">
          <a:extLst>
            <a:ext uri="{FF2B5EF4-FFF2-40B4-BE49-F238E27FC236}">
              <a16:creationId xmlns:a16="http://schemas.microsoft.com/office/drawing/2014/main" id="{757BDEBA-989A-4487-B4FB-317D1AE3E91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372" name="Text Box 1">
          <a:extLst>
            <a:ext uri="{FF2B5EF4-FFF2-40B4-BE49-F238E27FC236}">
              <a16:creationId xmlns:a16="http://schemas.microsoft.com/office/drawing/2014/main" id="{EE1D56C8-73F5-4C38-83C8-A21DD434340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74" name="Text Box 1">
          <a:extLst>
            <a:ext uri="{FF2B5EF4-FFF2-40B4-BE49-F238E27FC236}">
              <a16:creationId xmlns:a16="http://schemas.microsoft.com/office/drawing/2014/main" id="{2EAB2E18-E084-4F5A-9584-0CF2104B5FC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75" name="Text Box 2">
          <a:extLst>
            <a:ext uri="{FF2B5EF4-FFF2-40B4-BE49-F238E27FC236}">
              <a16:creationId xmlns:a16="http://schemas.microsoft.com/office/drawing/2014/main" id="{06D122F4-89F1-47B6-B955-4E73FE0D728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76" name="Text Box 1">
          <a:extLst>
            <a:ext uri="{FF2B5EF4-FFF2-40B4-BE49-F238E27FC236}">
              <a16:creationId xmlns:a16="http://schemas.microsoft.com/office/drawing/2014/main" id="{4ABD7361-EB5E-4FB8-BB5F-B3DDD75E8F8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77" name="Text Box 2">
          <a:extLst>
            <a:ext uri="{FF2B5EF4-FFF2-40B4-BE49-F238E27FC236}">
              <a16:creationId xmlns:a16="http://schemas.microsoft.com/office/drawing/2014/main" id="{25BE4D33-660F-47AF-9C8D-BFC975CBBDF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378" name="Text Box 1">
          <a:extLst>
            <a:ext uri="{FF2B5EF4-FFF2-40B4-BE49-F238E27FC236}">
              <a16:creationId xmlns:a16="http://schemas.microsoft.com/office/drawing/2014/main" id="{E430EE1B-522A-4201-ACAE-78001C92FE5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380" name="Text Box 1">
          <a:extLst>
            <a:ext uri="{FF2B5EF4-FFF2-40B4-BE49-F238E27FC236}">
              <a16:creationId xmlns:a16="http://schemas.microsoft.com/office/drawing/2014/main" id="{F5047C04-E1BB-4DFE-8521-B20622C5B28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82" name="Text Box 1">
          <a:extLst>
            <a:ext uri="{FF2B5EF4-FFF2-40B4-BE49-F238E27FC236}">
              <a16:creationId xmlns:a16="http://schemas.microsoft.com/office/drawing/2014/main" id="{3D21B7C3-08A2-4D62-81D6-709283FDBEE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83" name="Text Box 2">
          <a:extLst>
            <a:ext uri="{FF2B5EF4-FFF2-40B4-BE49-F238E27FC236}">
              <a16:creationId xmlns:a16="http://schemas.microsoft.com/office/drawing/2014/main" id="{829EE304-6B8E-4544-82B0-9451EFF0E88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84" name="Text Box 1">
          <a:extLst>
            <a:ext uri="{FF2B5EF4-FFF2-40B4-BE49-F238E27FC236}">
              <a16:creationId xmlns:a16="http://schemas.microsoft.com/office/drawing/2014/main" id="{DEFAE692-023E-48EC-8195-55681057DF5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85" name="Text Box 2">
          <a:extLst>
            <a:ext uri="{FF2B5EF4-FFF2-40B4-BE49-F238E27FC236}">
              <a16:creationId xmlns:a16="http://schemas.microsoft.com/office/drawing/2014/main" id="{F92E7FB2-0A91-437C-B957-1E7389B2745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386" name="Text Box 1">
          <a:extLst>
            <a:ext uri="{FF2B5EF4-FFF2-40B4-BE49-F238E27FC236}">
              <a16:creationId xmlns:a16="http://schemas.microsoft.com/office/drawing/2014/main" id="{FBFD4B27-75DD-449F-8634-EF07A177E91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88" name="Text Box 1">
          <a:extLst>
            <a:ext uri="{FF2B5EF4-FFF2-40B4-BE49-F238E27FC236}">
              <a16:creationId xmlns:a16="http://schemas.microsoft.com/office/drawing/2014/main" id="{D3D3EE2D-1736-42E2-8DFD-F4490D15844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89" name="Text Box 2">
          <a:extLst>
            <a:ext uri="{FF2B5EF4-FFF2-40B4-BE49-F238E27FC236}">
              <a16:creationId xmlns:a16="http://schemas.microsoft.com/office/drawing/2014/main" id="{56A3646C-A51E-4336-A372-EEBAA8DA60B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94" name="Text Box 1">
          <a:extLst>
            <a:ext uri="{FF2B5EF4-FFF2-40B4-BE49-F238E27FC236}">
              <a16:creationId xmlns:a16="http://schemas.microsoft.com/office/drawing/2014/main" id="{2E7D6415-B0C3-4577-BC78-B4E45EFE34A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95" name="Text Box 2">
          <a:extLst>
            <a:ext uri="{FF2B5EF4-FFF2-40B4-BE49-F238E27FC236}">
              <a16:creationId xmlns:a16="http://schemas.microsoft.com/office/drawing/2014/main" id="{C59B8CEF-8307-4D3F-B9C7-1FC206AE981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96" name="Text Box 1">
          <a:extLst>
            <a:ext uri="{FF2B5EF4-FFF2-40B4-BE49-F238E27FC236}">
              <a16:creationId xmlns:a16="http://schemas.microsoft.com/office/drawing/2014/main" id="{4610F168-53D6-4683-82F7-EC7F2ECA2F7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97" name="Text Box 2">
          <a:extLst>
            <a:ext uri="{FF2B5EF4-FFF2-40B4-BE49-F238E27FC236}">
              <a16:creationId xmlns:a16="http://schemas.microsoft.com/office/drawing/2014/main" id="{AB6CA4B8-6EFF-481F-BD94-E30F11C8C60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98" name="Text Box 1">
          <a:extLst>
            <a:ext uri="{FF2B5EF4-FFF2-40B4-BE49-F238E27FC236}">
              <a16:creationId xmlns:a16="http://schemas.microsoft.com/office/drawing/2014/main" id="{A73AEFEF-838F-481D-A5C2-D23AD019062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99" name="Text Box 2">
          <a:extLst>
            <a:ext uri="{FF2B5EF4-FFF2-40B4-BE49-F238E27FC236}">
              <a16:creationId xmlns:a16="http://schemas.microsoft.com/office/drawing/2014/main" id="{E22EFBB9-5B79-4D60-81FB-F5F4206B89E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402" name="Text Box 1">
          <a:extLst>
            <a:ext uri="{FF2B5EF4-FFF2-40B4-BE49-F238E27FC236}">
              <a16:creationId xmlns:a16="http://schemas.microsoft.com/office/drawing/2014/main" id="{AB30E9BC-4D9C-434E-944E-3813C064D72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403" name="Text Box 2">
          <a:extLst>
            <a:ext uri="{FF2B5EF4-FFF2-40B4-BE49-F238E27FC236}">
              <a16:creationId xmlns:a16="http://schemas.microsoft.com/office/drawing/2014/main" id="{2D83A3BD-CD18-446A-B27F-CA5DF2BBB5E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406" name="Text Box 1">
          <a:extLst>
            <a:ext uri="{FF2B5EF4-FFF2-40B4-BE49-F238E27FC236}">
              <a16:creationId xmlns:a16="http://schemas.microsoft.com/office/drawing/2014/main" id="{5E43B658-3F48-426C-90B4-40BE66A644D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407" name="Text Box 2">
          <a:extLst>
            <a:ext uri="{FF2B5EF4-FFF2-40B4-BE49-F238E27FC236}">
              <a16:creationId xmlns:a16="http://schemas.microsoft.com/office/drawing/2014/main" id="{A4D9D60B-FBA7-48D5-9E23-DF4A3AAD7DB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408" name="Text Box 1">
          <a:extLst>
            <a:ext uri="{FF2B5EF4-FFF2-40B4-BE49-F238E27FC236}">
              <a16:creationId xmlns:a16="http://schemas.microsoft.com/office/drawing/2014/main" id="{43F6CDE0-4F88-475F-B240-0A71FB5F36F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409" name="Text Box 2">
          <a:extLst>
            <a:ext uri="{FF2B5EF4-FFF2-40B4-BE49-F238E27FC236}">
              <a16:creationId xmlns:a16="http://schemas.microsoft.com/office/drawing/2014/main" id="{7BC8B6FB-5C56-4F66-A130-919229D2300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410" name="Text Box 1">
          <a:extLst>
            <a:ext uri="{FF2B5EF4-FFF2-40B4-BE49-F238E27FC236}">
              <a16:creationId xmlns:a16="http://schemas.microsoft.com/office/drawing/2014/main" id="{E1B6FA0E-1F77-4B34-8198-3AB10531161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411" name="Text Box 2">
          <a:extLst>
            <a:ext uri="{FF2B5EF4-FFF2-40B4-BE49-F238E27FC236}">
              <a16:creationId xmlns:a16="http://schemas.microsoft.com/office/drawing/2014/main" id="{8A649A37-3523-4FFD-BEF2-7274DAAFFA2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412" name="Text Box 1">
          <a:extLst>
            <a:ext uri="{FF2B5EF4-FFF2-40B4-BE49-F238E27FC236}">
              <a16:creationId xmlns:a16="http://schemas.microsoft.com/office/drawing/2014/main" id="{A5B989B0-DD4D-4D1D-9A15-07498C1DA9C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413" name="Text Box 2">
          <a:extLst>
            <a:ext uri="{FF2B5EF4-FFF2-40B4-BE49-F238E27FC236}">
              <a16:creationId xmlns:a16="http://schemas.microsoft.com/office/drawing/2014/main" id="{76959922-BB50-4A70-9BA4-DDDC699E9BE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22" name="Text Box 2">
          <a:extLst>
            <a:ext uri="{FF2B5EF4-FFF2-40B4-BE49-F238E27FC236}">
              <a16:creationId xmlns:a16="http://schemas.microsoft.com/office/drawing/2014/main" id="{09846FEB-ABCC-4FE9-A0BE-79659E8BC5D7}"/>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23" name="Text Box 1">
          <a:extLst>
            <a:ext uri="{FF2B5EF4-FFF2-40B4-BE49-F238E27FC236}">
              <a16:creationId xmlns:a16="http://schemas.microsoft.com/office/drawing/2014/main" id="{36951BC2-B054-462E-A5D1-7CBF6FD97CB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24" name="Text Box 2">
          <a:extLst>
            <a:ext uri="{FF2B5EF4-FFF2-40B4-BE49-F238E27FC236}">
              <a16:creationId xmlns:a16="http://schemas.microsoft.com/office/drawing/2014/main" id="{93A496BB-B21D-488A-9B40-AB5E35BFC85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25" name="Text Box 1">
          <a:extLst>
            <a:ext uri="{FF2B5EF4-FFF2-40B4-BE49-F238E27FC236}">
              <a16:creationId xmlns:a16="http://schemas.microsoft.com/office/drawing/2014/main" id="{5A866E24-691F-431C-87C8-6E8C44C5466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26" name="Text Box 2">
          <a:extLst>
            <a:ext uri="{FF2B5EF4-FFF2-40B4-BE49-F238E27FC236}">
              <a16:creationId xmlns:a16="http://schemas.microsoft.com/office/drawing/2014/main" id="{E4B51B70-7298-4F63-AAC8-50127845530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427" name="Text Box 1">
          <a:extLst>
            <a:ext uri="{FF2B5EF4-FFF2-40B4-BE49-F238E27FC236}">
              <a16:creationId xmlns:a16="http://schemas.microsoft.com/office/drawing/2014/main" id="{DEFE60F5-FEAC-4706-9CD9-C7F45CB46E2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428" name="Text Box 2">
          <a:extLst>
            <a:ext uri="{FF2B5EF4-FFF2-40B4-BE49-F238E27FC236}">
              <a16:creationId xmlns:a16="http://schemas.microsoft.com/office/drawing/2014/main" id="{0531FBF0-B5E5-4C41-AF8A-6E6451420438}"/>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29" name="Text Box 1">
          <a:extLst>
            <a:ext uri="{FF2B5EF4-FFF2-40B4-BE49-F238E27FC236}">
              <a16:creationId xmlns:a16="http://schemas.microsoft.com/office/drawing/2014/main" id="{3846E69F-DDFF-4A17-AEEB-8909C9C3CD1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30" name="Text Box 2">
          <a:extLst>
            <a:ext uri="{FF2B5EF4-FFF2-40B4-BE49-F238E27FC236}">
              <a16:creationId xmlns:a16="http://schemas.microsoft.com/office/drawing/2014/main" id="{F8887076-7889-45F2-83DB-E4F2A11B174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31" name="Text Box 2">
          <a:extLst>
            <a:ext uri="{FF2B5EF4-FFF2-40B4-BE49-F238E27FC236}">
              <a16:creationId xmlns:a16="http://schemas.microsoft.com/office/drawing/2014/main" id="{896AA4C2-57FE-431E-8A77-CCE7DDAA8D77}"/>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32" name="Text Box 1">
          <a:extLst>
            <a:ext uri="{FF2B5EF4-FFF2-40B4-BE49-F238E27FC236}">
              <a16:creationId xmlns:a16="http://schemas.microsoft.com/office/drawing/2014/main" id="{501FBBC0-21F1-47F6-876D-565F60341BF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33" name="Text Box 2">
          <a:extLst>
            <a:ext uri="{FF2B5EF4-FFF2-40B4-BE49-F238E27FC236}">
              <a16:creationId xmlns:a16="http://schemas.microsoft.com/office/drawing/2014/main" id="{AABFA46D-DDD6-4165-B87D-6FA417D3313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34" name="Text Box 2">
          <a:extLst>
            <a:ext uri="{FF2B5EF4-FFF2-40B4-BE49-F238E27FC236}">
              <a16:creationId xmlns:a16="http://schemas.microsoft.com/office/drawing/2014/main" id="{7CBF699A-3235-4E36-85FA-8A9D51C6701D}"/>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35" name="Text Box 1">
          <a:extLst>
            <a:ext uri="{FF2B5EF4-FFF2-40B4-BE49-F238E27FC236}">
              <a16:creationId xmlns:a16="http://schemas.microsoft.com/office/drawing/2014/main" id="{59BD8396-DF0B-486D-9EF7-CF08861FBF8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36" name="Text Box 2">
          <a:extLst>
            <a:ext uri="{FF2B5EF4-FFF2-40B4-BE49-F238E27FC236}">
              <a16:creationId xmlns:a16="http://schemas.microsoft.com/office/drawing/2014/main" id="{8656AC68-C95F-4D77-8DC1-0F6EC58D282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37" name="Text Box 2">
          <a:extLst>
            <a:ext uri="{FF2B5EF4-FFF2-40B4-BE49-F238E27FC236}">
              <a16:creationId xmlns:a16="http://schemas.microsoft.com/office/drawing/2014/main" id="{C046AE5E-9066-4FB5-9198-3064951194D9}"/>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38" name="Text Box 1">
          <a:extLst>
            <a:ext uri="{FF2B5EF4-FFF2-40B4-BE49-F238E27FC236}">
              <a16:creationId xmlns:a16="http://schemas.microsoft.com/office/drawing/2014/main" id="{12AA08FD-E588-4911-A576-78DAE0DCD1B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39" name="Text Box 2">
          <a:extLst>
            <a:ext uri="{FF2B5EF4-FFF2-40B4-BE49-F238E27FC236}">
              <a16:creationId xmlns:a16="http://schemas.microsoft.com/office/drawing/2014/main" id="{50876AAC-3D2E-4A5D-9757-42A0DEE90DC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40" name="Text Box 2">
          <a:extLst>
            <a:ext uri="{FF2B5EF4-FFF2-40B4-BE49-F238E27FC236}">
              <a16:creationId xmlns:a16="http://schemas.microsoft.com/office/drawing/2014/main" id="{4DC59EB7-4F59-4D40-91C3-F2169075C092}"/>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41" name="Text Box 1">
          <a:extLst>
            <a:ext uri="{FF2B5EF4-FFF2-40B4-BE49-F238E27FC236}">
              <a16:creationId xmlns:a16="http://schemas.microsoft.com/office/drawing/2014/main" id="{9BA8726E-CC9D-439A-BFF5-4C58EB5F8F6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42" name="Text Box 2">
          <a:extLst>
            <a:ext uri="{FF2B5EF4-FFF2-40B4-BE49-F238E27FC236}">
              <a16:creationId xmlns:a16="http://schemas.microsoft.com/office/drawing/2014/main" id="{05D36B50-3A66-48C0-A38E-D21DAE32ADD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43" name="Text Box 2">
          <a:extLst>
            <a:ext uri="{FF2B5EF4-FFF2-40B4-BE49-F238E27FC236}">
              <a16:creationId xmlns:a16="http://schemas.microsoft.com/office/drawing/2014/main" id="{48B1193B-AAEF-46E2-984B-403E60ED02CC}"/>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44" name="Text Box 1">
          <a:extLst>
            <a:ext uri="{FF2B5EF4-FFF2-40B4-BE49-F238E27FC236}">
              <a16:creationId xmlns:a16="http://schemas.microsoft.com/office/drawing/2014/main" id="{8209BD9F-8986-4BDC-8076-6BA4903CEFE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45" name="Text Box 2">
          <a:extLst>
            <a:ext uri="{FF2B5EF4-FFF2-40B4-BE49-F238E27FC236}">
              <a16:creationId xmlns:a16="http://schemas.microsoft.com/office/drawing/2014/main" id="{6E5AFE4B-E78C-4C94-BFB2-36B8142433C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46" name="Text Box 2">
          <a:extLst>
            <a:ext uri="{FF2B5EF4-FFF2-40B4-BE49-F238E27FC236}">
              <a16:creationId xmlns:a16="http://schemas.microsoft.com/office/drawing/2014/main" id="{3AD750B4-4F21-4792-B7EB-6743EBFCC96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47" name="Text Box 1">
          <a:extLst>
            <a:ext uri="{FF2B5EF4-FFF2-40B4-BE49-F238E27FC236}">
              <a16:creationId xmlns:a16="http://schemas.microsoft.com/office/drawing/2014/main" id="{752BD0F1-77A7-474A-9491-7BC490EA255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48" name="Text Box 2">
          <a:extLst>
            <a:ext uri="{FF2B5EF4-FFF2-40B4-BE49-F238E27FC236}">
              <a16:creationId xmlns:a16="http://schemas.microsoft.com/office/drawing/2014/main" id="{B8AD7269-9906-4221-93E2-CF2900EB511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49" name="Text Box 1">
          <a:extLst>
            <a:ext uri="{FF2B5EF4-FFF2-40B4-BE49-F238E27FC236}">
              <a16:creationId xmlns:a16="http://schemas.microsoft.com/office/drawing/2014/main" id="{638E5783-71D4-438E-B346-260BDCAFE8B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50" name="Text Box 2">
          <a:extLst>
            <a:ext uri="{FF2B5EF4-FFF2-40B4-BE49-F238E27FC236}">
              <a16:creationId xmlns:a16="http://schemas.microsoft.com/office/drawing/2014/main" id="{59FA23CE-4373-4E75-8505-F65B249DC24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51" name="Text Box 1">
          <a:extLst>
            <a:ext uri="{FF2B5EF4-FFF2-40B4-BE49-F238E27FC236}">
              <a16:creationId xmlns:a16="http://schemas.microsoft.com/office/drawing/2014/main" id="{D21F084D-D85B-4901-8430-F4FD3878794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52" name="Text Box 2">
          <a:extLst>
            <a:ext uri="{FF2B5EF4-FFF2-40B4-BE49-F238E27FC236}">
              <a16:creationId xmlns:a16="http://schemas.microsoft.com/office/drawing/2014/main" id="{5A6505E4-2AB9-4A36-822E-B5BE43745D9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453" name="Text Box 1">
          <a:extLst>
            <a:ext uri="{FF2B5EF4-FFF2-40B4-BE49-F238E27FC236}">
              <a16:creationId xmlns:a16="http://schemas.microsoft.com/office/drawing/2014/main" id="{D772532D-7F28-4FEC-BA6E-C3BAA37AFDF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454" name="Text Box 2">
          <a:extLst>
            <a:ext uri="{FF2B5EF4-FFF2-40B4-BE49-F238E27FC236}">
              <a16:creationId xmlns:a16="http://schemas.microsoft.com/office/drawing/2014/main" id="{B83D034C-3DC7-459F-9E7F-7DC9D41C358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55" name="Text Box 1">
          <a:extLst>
            <a:ext uri="{FF2B5EF4-FFF2-40B4-BE49-F238E27FC236}">
              <a16:creationId xmlns:a16="http://schemas.microsoft.com/office/drawing/2014/main" id="{368EA941-95C3-4CEC-8283-0A4DB402C48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56" name="Text Box 2">
          <a:extLst>
            <a:ext uri="{FF2B5EF4-FFF2-40B4-BE49-F238E27FC236}">
              <a16:creationId xmlns:a16="http://schemas.microsoft.com/office/drawing/2014/main" id="{243BABEE-A986-4979-B940-3ECB9B7AAA8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457" name="Text Box 1">
          <a:extLst>
            <a:ext uri="{FF2B5EF4-FFF2-40B4-BE49-F238E27FC236}">
              <a16:creationId xmlns:a16="http://schemas.microsoft.com/office/drawing/2014/main" id="{3F735885-243F-4917-AB4C-D408F7CA50F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458" name="Text Box 2">
          <a:extLst>
            <a:ext uri="{FF2B5EF4-FFF2-40B4-BE49-F238E27FC236}">
              <a16:creationId xmlns:a16="http://schemas.microsoft.com/office/drawing/2014/main" id="{9A8179E4-2103-44C3-B457-6184531AFAB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59" name="Text Box 1">
          <a:extLst>
            <a:ext uri="{FF2B5EF4-FFF2-40B4-BE49-F238E27FC236}">
              <a16:creationId xmlns:a16="http://schemas.microsoft.com/office/drawing/2014/main" id="{C9C4D0F3-32A5-4686-9E30-8935C3BBA6F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60" name="Text Box 2">
          <a:extLst>
            <a:ext uri="{FF2B5EF4-FFF2-40B4-BE49-F238E27FC236}">
              <a16:creationId xmlns:a16="http://schemas.microsoft.com/office/drawing/2014/main" id="{BD1DC1FF-F430-4BDD-A0D8-7EF165D2B17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61" name="Text Box 1">
          <a:extLst>
            <a:ext uri="{FF2B5EF4-FFF2-40B4-BE49-F238E27FC236}">
              <a16:creationId xmlns:a16="http://schemas.microsoft.com/office/drawing/2014/main" id="{9C38732D-6D42-40B7-B4F4-A3CF5F7792D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62" name="Text Box 2">
          <a:extLst>
            <a:ext uri="{FF2B5EF4-FFF2-40B4-BE49-F238E27FC236}">
              <a16:creationId xmlns:a16="http://schemas.microsoft.com/office/drawing/2014/main" id="{262DAAEA-49B7-4689-A5FF-B4A0458835E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463" name="Text Box 1">
          <a:extLst>
            <a:ext uri="{FF2B5EF4-FFF2-40B4-BE49-F238E27FC236}">
              <a16:creationId xmlns:a16="http://schemas.microsoft.com/office/drawing/2014/main" id="{532AA0A2-10C7-4C62-A7AA-AE84D460C2A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464" name="Text Box 2">
          <a:extLst>
            <a:ext uri="{FF2B5EF4-FFF2-40B4-BE49-F238E27FC236}">
              <a16:creationId xmlns:a16="http://schemas.microsoft.com/office/drawing/2014/main" id="{81EA1DB7-F665-444E-A22E-D2483CA1A9A6}"/>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65" name="Text Box 2">
          <a:extLst>
            <a:ext uri="{FF2B5EF4-FFF2-40B4-BE49-F238E27FC236}">
              <a16:creationId xmlns:a16="http://schemas.microsoft.com/office/drawing/2014/main" id="{46A59D3B-88DE-47E3-9C22-E64ABAD194A4}"/>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66" name="Text Box 1">
          <a:extLst>
            <a:ext uri="{FF2B5EF4-FFF2-40B4-BE49-F238E27FC236}">
              <a16:creationId xmlns:a16="http://schemas.microsoft.com/office/drawing/2014/main" id="{B421B58D-C2CF-413F-8B12-22B40667542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67" name="Text Box 2">
          <a:extLst>
            <a:ext uri="{FF2B5EF4-FFF2-40B4-BE49-F238E27FC236}">
              <a16:creationId xmlns:a16="http://schemas.microsoft.com/office/drawing/2014/main" id="{E238CADA-D7A4-47EC-866E-9322DC351C6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68" name="Text Box 1">
          <a:extLst>
            <a:ext uri="{FF2B5EF4-FFF2-40B4-BE49-F238E27FC236}">
              <a16:creationId xmlns:a16="http://schemas.microsoft.com/office/drawing/2014/main" id="{00A558AE-78A6-4023-BFC5-82EB50C268D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69" name="Text Box 2">
          <a:extLst>
            <a:ext uri="{FF2B5EF4-FFF2-40B4-BE49-F238E27FC236}">
              <a16:creationId xmlns:a16="http://schemas.microsoft.com/office/drawing/2014/main" id="{A93E8915-5744-46E6-9839-01D72650C89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470" name="Text Box 1">
          <a:extLst>
            <a:ext uri="{FF2B5EF4-FFF2-40B4-BE49-F238E27FC236}">
              <a16:creationId xmlns:a16="http://schemas.microsoft.com/office/drawing/2014/main" id="{C661DDE7-DE2C-47EC-979F-981494B7B84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471" name="Text Box 2">
          <a:extLst>
            <a:ext uri="{FF2B5EF4-FFF2-40B4-BE49-F238E27FC236}">
              <a16:creationId xmlns:a16="http://schemas.microsoft.com/office/drawing/2014/main" id="{0666747D-52BA-4F27-A8FD-B5EA14A0484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72" name="Text Box 1">
          <a:extLst>
            <a:ext uri="{FF2B5EF4-FFF2-40B4-BE49-F238E27FC236}">
              <a16:creationId xmlns:a16="http://schemas.microsoft.com/office/drawing/2014/main" id="{5AD1112E-115C-428A-A1BF-D7BC453AE24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73" name="Text Box 2">
          <a:extLst>
            <a:ext uri="{FF2B5EF4-FFF2-40B4-BE49-F238E27FC236}">
              <a16:creationId xmlns:a16="http://schemas.microsoft.com/office/drawing/2014/main" id="{97D3E355-DC23-44C0-B06D-5DB164C5FB7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74" name="Text Box 2">
          <a:extLst>
            <a:ext uri="{FF2B5EF4-FFF2-40B4-BE49-F238E27FC236}">
              <a16:creationId xmlns:a16="http://schemas.microsoft.com/office/drawing/2014/main" id="{CE6810D5-D6E8-41B7-8329-0928790D329B}"/>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75" name="Text Box 1">
          <a:extLst>
            <a:ext uri="{FF2B5EF4-FFF2-40B4-BE49-F238E27FC236}">
              <a16:creationId xmlns:a16="http://schemas.microsoft.com/office/drawing/2014/main" id="{27D24C71-73A8-44C1-96E6-DFE7B58E9BC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76" name="Text Box 2">
          <a:extLst>
            <a:ext uri="{FF2B5EF4-FFF2-40B4-BE49-F238E27FC236}">
              <a16:creationId xmlns:a16="http://schemas.microsoft.com/office/drawing/2014/main" id="{8D28F3E7-0C54-4CF5-9014-8919BCA76D3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77" name="Text Box 2">
          <a:extLst>
            <a:ext uri="{FF2B5EF4-FFF2-40B4-BE49-F238E27FC236}">
              <a16:creationId xmlns:a16="http://schemas.microsoft.com/office/drawing/2014/main" id="{86DA74CE-B41E-4EB5-B300-971AFE7DAC7C}"/>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78" name="Text Box 1">
          <a:extLst>
            <a:ext uri="{FF2B5EF4-FFF2-40B4-BE49-F238E27FC236}">
              <a16:creationId xmlns:a16="http://schemas.microsoft.com/office/drawing/2014/main" id="{BFC1261F-02BC-4173-86B8-7F17D477678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79" name="Text Box 2">
          <a:extLst>
            <a:ext uri="{FF2B5EF4-FFF2-40B4-BE49-F238E27FC236}">
              <a16:creationId xmlns:a16="http://schemas.microsoft.com/office/drawing/2014/main" id="{20A588E3-C152-40F2-962E-D42AA776F32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80" name="Text Box 2">
          <a:extLst>
            <a:ext uri="{FF2B5EF4-FFF2-40B4-BE49-F238E27FC236}">
              <a16:creationId xmlns:a16="http://schemas.microsoft.com/office/drawing/2014/main" id="{2D452D20-4431-4B0F-A2C7-6F31B1992A4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81" name="Text Box 1">
          <a:extLst>
            <a:ext uri="{FF2B5EF4-FFF2-40B4-BE49-F238E27FC236}">
              <a16:creationId xmlns:a16="http://schemas.microsoft.com/office/drawing/2014/main" id="{E4529D34-51DA-4FD6-A538-9DB01910E1B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82" name="Text Box 2">
          <a:extLst>
            <a:ext uri="{FF2B5EF4-FFF2-40B4-BE49-F238E27FC236}">
              <a16:creationId xmlns:a16="http://schemas.microsoft.com/office/drawing/2014/main" id="{B0474572-2675-4376-9A97-02B692DB4C9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83" name="Text Box 2">
          <a:extLst>
            <a:ext uri="{FF2B5EF4-FFF2-40B4-BE49-F238E27FC236}">
              <a16:creationId xmlns:a16="http://schemas.microsoft.com/office/drawing/2014/main" id="{CA7BF5CF-7A0A-465C-8205-077BD20E8CA6}"/>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84" name="Text Box 1">
          <a:extLst>
            <a:ext uri="{FF2B5EF4-FFF2-40B4-BE49-F238E27FC236}">
              <a16:creationId xmlns:a16="http://schemas.microsoft.com/office/drawing/2014/main" id="{35D22DE7-65C8-4EF7-80CD-A874128166F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85" name="Text Box 2">
          <a:extLst>
            <a:ext uri="{FF2B5EF4-FFF2-40B4-BE49-F238E27FC236}">
              <a16:creationId xmlns:a16="http://schemas.microsoft.com/office/drawing/2014/main" id="{56AC2F24-EA42-49EF-9D5F-078BEBB5701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86" name="Text Box 2">
          <a:extLst>
            <a:ext uri="{FF2B5EF4-FFF2-40B4-BE49-F238E27FC236}">
              <a16:creationId xmlns:a16="http://schemas.microsoft.com/office/drawing/2014/main" id="{C15269B4-0700-435C-A83C-4AD549356DDD}"/>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87" name="Text Box 1">
          <a:extLst>
            <a:ext uri="{FF2B5EF4-FFF2-40B4-BE49-F238E27FC236}">
              <a16:creationId xmlns:a16="http://schemas.microsoft.com/office/drawing/2014/main" id="{2E53012E-8831-439F-8B7D-61561AA6FAE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88" name="Text Box 2">
          <a:extLst>
            <a:ext uri="{FF2B5EF4-FFF2-40B4-BE49-F238E27FC236}">
              <a16:creationId xmlns:a16="http://schemas.microsoft.com/office/drawing/2014/main" id="{53D686D1-B356-4926-8034-4197080CC52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89" name="Text Box 2">
          <a:extLst>
            <a:ext uri="{FF2B5EF4-FFF2-40B4-BE49-F238E27FC236}">
              <a16:creationId xmlns:a16="http://schemas.microsoft.com/office/drawing/2014/main" id="{2206C6F3-FD82-40FF-B7C2-6150D56874E3}"/>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90" name="Text Box 1">
          <a:extLst>
            <a:ext uri="{FF2B5EF4-FFF2-40B4-BE49-F238E27FC236}">
              <a16:creationId xmlns:a16="http://schemas.microsoft.com/office/drawing/2014/main" id="{E6CE6566-2190-46FC-9312-E4916674F08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91" name="Text Box 2">
          <a:extLst>
            <a:ext uri="{FF2B5EF4-FFF2-40B4-BE49-F238E27FC236}">
              <a16:creationId xmlns:a16="http://schemas.microsoft.com/office/drawing/2014/main" id="{0352CE53-E454-4C34-ACE2-390B035EE95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92" name="Text Box 1">
          <a:extLst>
            <a:ext uri="{FF2B5EF4-FFF2-40B4-BE49-F238E27FC236}">
              <a16:creationId xmlns:a16="http://schemas.microsoft.com/office/drawing/2014/main" id="{D38BFA27-CE77-44F0-8A85-87FA8E85805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93" name="Text Box 2">
          <a:extLst>
            <a:ext uri="{FF2B5EF4-FFF2-40B4-BE49-F238E27FC236}">
              <a16:creationId xmlns:a16="http://schemas.microsoft.com/office/drawing/2014/main" id="{5FD3BDA5-E333-458C-B256-1A2958F82B3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94" name="Text Box 1">
          <a:extLst>
            <a:ext uri="{FF2B5EF4-FFF2-40B4-BE49-F238E27FC236}">
              <a16:creationId xmlns:a16="http://schemas.microsoft.com/office/drawing/2014/main" id="{F7F1AB59-BCB5-4EA9-A410-4911CBCE6FF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95" name="Text Box 2">
          <a:extLst>
            <a:ext uri="{FF2B5EF4-FFF2-40B4-BE49-F238E27FC236}">
              <a16:creationId xmlns:a16="http://schemas.microsoft.com/office/drawing/2014/main" id="{9FF458DE-7926-43D4-865E-D36E0200115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496" name="Text Box 1">
          <a:extLst>
            <a:ext uri="{FF2B5EF4-FFF2-40B4-BE49-F238E27FC236}">
              <a16:creationId xmlns:a16="http://schemas.microsoft.com/office/drawing/2014/main" id="{056A0A4F-B7ED-451C-AB6E-32527ABE936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497" name="Text Box 2">
          <a:extLst>
            <a:ext uri="{FF2B5EF4-FFF2-40B4-BE49-F238E27FC236}">
              <a16:creationId xmlns:a16="http://schemas.microsoft.com/office/drawing/2014/main" id="{3D987A8E-0888-49EA-8017-11538D9858B6}"/>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98" name="Text Box 1">
          <a:extLst>
            <a:ext uri="{FF2B5EF4-FFF2-40B4-BE49-F238E27FC236}">
              <a16:creationId xmlns:a16="http://schemas.microsoft.com/office/drawing/2014/main" id="{5C53A74A-B2B4-4FE9-A923-4201D2BE97B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99" name="Text Box 2">
          <a:extLst>
            <a:ext uri="{FF2B5EF4-FFF2-40B4-BE49-F238E27FC236}">
              <a16:creationId xmlns:a16="http://schemas.microsoft.com/office/drawing/2014/main" id="{D41E9086-4D5A-4320-AF3B-1B53FE23E6A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00" name="Text Box 1">
          <a:extLst>
            <a:ext uri="{FF2B5EF4-FFF2-40B4-BE49-F238E27FC236}">
              <a16:creationId xmlns:a16="http://schemas.microsoft.com/office/drawing/2014/main" id="{48908E0D-CDB9-449F-910E-483CC9AE9F6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01" name="Text Box 2">
          <a:extLst>
            <a:ext uri="{FF2B5EF4-FFF2-40B4-BE49-F238E27FC236}">
              <a16:creationId xmlns:a16="http://schemas.microsoft.com/office/drawing/2014/main" id="{9358D520-A004-43E7-8B06-C5727E3223A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02" name="Text Box 1">
          <a:extLst>
            <a:ext uri="{FF2B5EF4-FFF2-40B4-BE49-F238E27FC236}">
              <a16:creationId xmlns:a16="http://schemas.microsoft.com/office/drawing/2014/main" id="{5177A6AB-F067-43D7-B089-E996F15B332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03" name="Text Box 2">
          <a:extLst>
            <a:ext uri="{FF2B5EF4-FFF2-40B4-BE49-F238E27FC236}">
              <a16:creationId xmlns:a16="http://schemas.microsoft.com/office/drawing/2014/main" id="{DC15A866-8108-4A51-BB5B-A7FC24ECF21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04" name="Text Box 1">
          <a:extLst>
            <a:ext uri="{FF2B5EF4-FFF2-40B4-BE49-F238E27FC236}">
              <a16:creationId xmlns:a16="http://schemas.microsoft.com/office/drawing/2014/main" id="{28DE00D7-61FA-4C99-A6E6-C8E362960AC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05" name="Text Box 2">
          <a:extLst>
            <a:ext uri="{FF2B5EF4-FFF2-40B4-BE49-F238E27FC236}">
              <a16:creationId xmlns:a16="http://schemas.microsoft.com/office/drawing/2014/main" id="{ADC78BD0-C758-4D13-91CB-0D67721457E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06" name="Text Box 1">
          <a:extLst>
            <a:ext uri="{FF2B5EF4-FFF2-40B4-BE49-F238E27FC236}">
              <a16:creationId xmlns:a16="http://schemas.microsoft.com/office/drawing/2014/main" id="{3CD3E3BA-0A2D-461D-A6DF-92546D5A554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07" name="Text Box 2">
          <a:extLst>
            <a:ext uri="{FF2B5EF4-FFF2-40B4-BE49-F238E27FC236}">
              <a16:creationId xmlns:a16="http://schemas.microsoft.com/office/drawing/2014/main" id="{E4F16539-15CD-4B89-A3B1-C4D4F96E2F17}"/>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08" name="Text Box 1">
          <a:extLst>
            <a:ext uri="{FF2B5EF4-FFF2-40B4-BE49-F238E27FC236}">
              <a16:creationId xmlns:a16="http://schemas.microsoft.com/office/drawing/2014/main" id="{61FBE7BF-3C7E-48DA-B987-5D78696CEA1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09" name="Text Box 2">
          <a:extLst>
            <a:ext uri="{FF2B5EF4-FFF2-40B4-BE49-F238E27FC236}">
              <a16:creationId xmlns:a16="http://schemas.microsoft.com/office/drawing/2014/main" id="{473CDC63-2168-4D2A-9E45-C456C58CD56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10" name="Text Box 2">
          <a:extLst>
            <a:ext uri="{FF2B5EF4-FFF2-40B4-BE49-F238E27FC236}">
              <a16:creationId xmlns:a16="http://schemas.microsoft.com/office/drawing/2014/main" id="{5B7E1315-CF30-4B47-A5F7-D2377FEE7EE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11" name="Text Box 1">
          <a:extLst>
            <a:ext uri="{FF2B5EF4-FFF2-40B4-BE49-F238E27FC236}">
              <a16:creationId xmlns:a16="http://schemas.microsoft.com/office/drawing/2014/main" id="{65530B62-C606-446F-B492-296A29E18F4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12" name="Text Box 2">
          <a:extLst>
            <a:ext uri="{FF2B5EF4-FFF2-40B4-BE49-F238E27FC236}">
              <a16:creationId xmlns:a16="http://schemas.microsoft.com/office/drawing/2014/main" id="{E65657D3-BD3F-49E8-9556-85FFF5003C7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13" name="Text Box 1">
          <a:extLst>
            <a:ext uri="{FF2B5EF4-FFF2-40B4-BE49-F238E27FC236}">
              <a16:creationId xmlns:a16="http://schemas.microsoft.com/office/drawing/2014/main" id="{1F051656-EFDB-41A6-BA7E-600653D30E4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14" name="Text Box 2">
          <a:extLst>
            <a:ext uri="{FF2B5EF4-FFF2-40B4-BE49-F238E27FC236}">
              <a16:creationId xmlns:a16="http://schemas.microsoft.com/office/drawing/2014/main" id="{184C6BF2-4870-459E-8D39-842C8CF5D52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15" name="Text Box 1">
          <a:extLst>
            <a:ext uri="{FF2B5EF4-FFF2-40B4-BE49-F238E27FC236}">
              <a16:creationId xmlns:a16="http://schemas.microsoft.com/office/drawing/2014/main" id="{5A8D6D47-C8DA-4C25-AC10-8782F21D47C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16" name="Text Box 2">
          <a:extLst>
            <a:ext uri="{FF2B5EF4-FFF2-40B4-BE49-F238E27FC236}">
              <a16:creationId xmlns:a16="http://schemas.microsoft.com/office/drawing/2014/main" id="{3DE4BE7F-8EAA-43B0-A079-566150CF1D8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17" name="Text Box 1">
          <a:extLst>
            <a:ext uri="{FF2B5EF4-FFF2-40B4-BE49-F238E27FC236}">
              <a16:creationId xmlns:a16="http://schemas.microsoft.com/office/drawing/2014/main" id="{694A87B6-EE28-4508-8F4E-258613322C6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18" name="Text Box 2">
          <a:extLst>
            <a:ext uri="{FF2B5EF4-FFF2-40B4-BE49-F238E27FC236}">
              <a16:creationId xmlns:a16="http://schemas.microsoft.com/office/drawing/2014/main" id="{B7B2AC05-1A2F-4A84-9B8B-EBCA5C82482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19" name="Text Box 1">
          <a:extLst>
            <a:ext uri="{FF2B5EF4-FFF2-40B4-BE49-F238E27FC236}">
              <a16:creationId xmlns:a16="http://schemas.microsoft.com/office/drawing/2014/main" id="{7C9559B1-ED33-488F-9CEC-35FB76FDE8F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20" name="Text Box 2">
          <a:extLst>
            <a:ext uri="{FF2B5EF4-FFF2-40B4-BE49-F238E27FC236}">
              <a16:creationId xmlns:a16="http://schemas.microsoft.com/office/drawing/2014/main" id="{162C57AD-FBE5-4F61-BAFB-590F3F934DE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21" name="Text Box 1">
          <a:extLst>
            <a:ext uri="{FF2B5EF4-FFF2-40B4-BE49-F238E27FC236}">
              <a16:creationId xmlns:a16="http://schemas.microsoft.com/office/drawing/2014/main" id="{81AD7FC5-2B6A-4622-94B0-8174521B81C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22" name="Text Box 2">
          <a:extLst>
            <a:ext uri="{FF2B5EF4-FFF2-40B4-BE49-F238E27FC236}">
              <a16:creationId xmlns:a16="http://schemas.microsoft.com/office/drawing/2014/main" id="{0EF230CD-A97C-46F6-8DDA-F7F8DBCEE8E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23" name="Text Box 1">
          <a:extLst>
            <a:ext uri="{FF2B5EF4-FFF2-40B4-BE49-F238E27FC236}">
              <a16:creationId xmlns:a16="http://schemas.microsoft.com/office/drawing/2014/main" id="{D3220A6A-1509-47E9-8553-7A0B322BBD2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24" name="Text Box 2">
          <a:extLst>
            <a:ext uri="{FF2B5EF4-FFF2-40B4-BE49-F238E27FC236}">
              <a16:creationId xmlns:a16="http://schemas.microsoft.com/office/drawing/2014/main" id="{14352114-2ECB-46C2-8DA1-F2913CEE3B6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25" name="Text Box 1">
          <a:extLst>
            <a:ext uri="{FF2B5EF4-FFF2-40B4-BE49-F238E27FC236}">
              <a16:creationId xmlns:a16="http://schemas.microsoft.com/office/drawing/2014/main" id="{BB8403B3-066D-4DE4-BA14-E0FD57FFA26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26" name="Text Box 2">
          <a:extLst>
            <a:ext uri="{FF2B5EF4-FFF2-40B4-BE49-F238E27FC236}">
              <a16:creationId xmlns:a16="http://schemas.microsoft.com/office/drawing/2014/main" id="{22EAF773-1F15-44BD-A446-347C53072F9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27" name="Text Box 1">
          <a:extLst>
            <a:ext uri="{FF2B5EF4-FFF2-40B4-BE49-F238E27FC236}">
              <a16:creationId xmlns:a16="http://schemas.microsoft.com/office/drawing/2014/main" id="{09DDAA49-8F22-4AD8-8272-33FE9D8488CD}"/>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28" name="Text Box 2">
          <a:extLst>
            <a:ext uri="{FF2B5EF4-FFF2-40B4-BE49-F238E27FC236}">
              <a16:creationId xmlns:a16="http://schemas.microsoft.com/office/drawing/2014/main" id="{C5BA06CE-1369-4550-8ED8-CD35617C5AE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29" name="Text Box 1">
          <a:extLst>
            <a:ext uri="{FF2B5EF4-FFF2-40B4-BE49-F238E27FC236}">
              <a16:creationId xmlns:a16="http://schemas.microsoft.com/office/drawing/2014/main" id="{164D3411-A0CB-4763-BF4D-991D23C234C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30" name="Text Box 2">
          <a:extLst>
            <a:ext uri="{FF2B5EF4-FFF2-40B4-BE49-F238E27FC236}">
              <a16:creationId xmlns:a16="http://schemas.microsoft.com/office/drawing/2014/main" id="{2D96BF01-17B9-4FCA-B6DB-98C772B042B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31" name="Text Box 1">
          <a:extLst>
            <a:ext uri="{FF2B5EF4-FFF2-40B4-BE49-F238E27FC236}">
              <a16:creationId xmlns:a16="http://schemas.microsoft.com/office/drawing/2014/main" id="{AE31541A-5808-4C90-8AFA-C265D7BDD7D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32" name="Text Box 2">
          <a:extLst>
            <a:ext uri="{FF2B5EF4-FFF2-40B4-BE49-F238E27FC236}">
              <a16:creationId xmlns:a16="http://schemas.microsoft.com/office/drawing/2014/main" id="{1ADFD2A2-90A9-45D5-B862-B5227AD2588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533" name="Text Box 2">
          <a:extLst>
            <a:ext uri="{FF2B5EF4-FFF2-40B4-BE49-F238E27FC236}">
              <a16:creationId xmlns:a16="http://schemas.microsoft.com/office/drawing/2014/main" id="{76F34C08-3CC2-4827-B173-6A4CCC060D7B}"/>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34" name="Text Box 1">
          <a:extLst>
            <a:ext uri="{FF2B5EF4-FFF2-40B4-BE49-F238E27FC236}">
              <a16:creationId xmlns:a16="http://schemas.microsoft.com/office/drawing/2014/main" id="{A9943231-1ED5-4C7B-878F-7207C2B6361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35" name="Text Box 2">
          <a:extLst>
            <a:ext uri="{FF2B5EF4-FFF2-40B4-BE49-F238E27FC236}">
              <a16:creationId xmlns:a16="http://schemas.microsoft.com/office/drawing/2014/main" id="{09C5C86D-2122-40E3-8BAD-1C34B5179D8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36" name="Text Box 1">
          <a:extLst>
            <a:ext uri="{FF2B5EF4-FFF2-40B4-BE49-F238E27FC236}">
              <a16:creationId xmlns:a16="http://schemas.microsoft.com/office/drawing/2014/main" id="{054BFE44-BD36-4CD8-B15E-F8F966494EE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37" name="Text Box 2">
          <a:extLst>
            <a:ext uri="{FF2B5EF4-FFF2-40B4-BE49-F238E27FC236}">
              <a16:creationId xmlns:a16="http://schemas.microsoft.com/office/drawing/2014/main" id="{2FF42932-B68C-47AD-8161-D7BF0C5B7D8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38" name="Text Box 1">
          <a:extLst>
            <a:ext uri="{FF2B5EF4-FFF2-40B4-BE49-F238E27FC236}">
              <a16:creationId xmlns:a16="http://schemas.microsoft.com/office/drawing/2014/main" id="{858E5754-44DE-4DAC-ACD0-709366F337ED}"/>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39" name="Text Box 2">
          <a:extLst>
            <a:ext uri="{FF2B5EF4-FFF2-40B4-BE49-F238E27FC236}">
              <a16:creationId xmlns:a16="http://schemas.microsoft.com/office/drawing/2014/main" id="{5837AEAC-D166-4176-A270-8A6DD2FD2306}"/>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40" name="Text Box 1">
          <a:extLst>
            <a:ext uri="{FF2B5EF4-FFF2-40B4-BE49-F238E27FC236}">
              <a16:creationId xmlns:a16="http://schemas.microsoft.com/office/drawing/2014/main" id="{8A140B80-950A-41C8-A228-D56660189AA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41" name="Text Box 2">
          <a:extLst>
            <a:ext uri="{FF2B5EF4-FFF2-40B4-BE49-F238E27FC236}">
              <a16:creationId xmlns:a16="http://schemas.microsoft.com/office/drawing/2014/main" id="{2831A25A-908E-4FAC-AFB8-BDE30DBA2C0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542" name="Text Box 2">
          <a:extLst>
            <a:ext uri="{FF2B5EF4-FFF2-40B4-BE49-F238E27FC236}">
              <a16:creationId xmlns:a16="http://schemas.microsoft.com/office/drawing/2014/main" id="{0BCC5677-15A4-47BA-A4E0-6FA475364AD1}"/>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43" name="Text Box 1">
          <a:extLst>
            <a:ext uri="{FF2B5EF4-FFF2-40B4-BE49-F238E27FC236}">
              <a16:creationId xmlns:a16="http://schemas.microsoft.com/office/drawing/2014/main" id="{31B650F1-4C7E-4BB8-BFFC-6F2A10783B0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44" name="Text Box 2">
          <a:extLst>
            <a:ext uri="{FF2B5EF4-FFF2-40B4-BE49-F238E27FC236}">
              <a16:creationId xmlns:a16="http://schemas.microsoft.com/office/drawing/2014/main" id="{36F370D3-5BA0-43AA-97D2-33EDB3A1177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545" name="Text Box 2">
          <a:extLst>
            <a:ext uri="{FF2B5EF4-FFF2-40B4-BE49-F238E27FC236}">
              <a16:creationId xmlns:a16="http://schemas.microsoft.com/office/drawing/2014/main" id="{DFD13AE4-778C-40BF-AC34-28DE6A5BF9A2}"/>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46" name="Text Box 1">
          <a:extLst>
            <a:ext uri="{FF2B5EF4-FFF2-40B4-BE49-F238E27FC236}">
              <a16:creationId xmlns:a16="http://schemas.microsoft.com/office/drawing/2014/main" id="{BA9B02F9-4CC5-42B3-8261-62E54C5BC8C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47" name="Text Box 2">
          <a:extLst>
            <a:ext uri="{FF2B5EF4-FFF2-40B4-BE49-F238E27FC236}">
              <a16:creationId xmlns:a16="http://schemas.microsoft.com/office/drawing/2014/main" id="{62E8FA6D-FD62-48DF-A3F5-C1AA57B63FC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548" name="Text Box 2">
          <a:extLst>
            <a:ext uri="{FF2B5EF4-FFF2-40B4-BE49-F238E27FC236}">
              <a16:creationId xmlns:a16="http://schemas.microsoft.com/office/drawing/2014/main" id="{655D6935-7FC0-420D-A1D5-E82F2AEFEDB3}"/>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49" name="Text Box 1">
          <a:extLst>
            <a:ext uri="{FF2B5EF4-FFF2-40B4-BE49-F238E27FC236}">
              <a16:creationId xmlns:a16="http://schemas.microsoft.com/office/drawing/2014/main" id="{80450806-2FA9-4DAE-9552-6450ACB98C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50" name="Text Box 2">
          <a:extLst>
            <a:ext uri="{FF2B5EF4-FFF2-40B4-BE49-F238E27FC236}">
              <a16:creationId xmlns:a16="http://schemas.microsoft.com/office/drawing/2014/main" id="{D787C4B2-C5C0-464B-BA8A-35DD28F14F8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551" name="Text Box 2">
          <a:extLst>
            <a:ext uri="{FF2B5EF4-FFF2-40B4-BE49-F238E27FC236}">
              <a16:creationId xmlns:a16="http://schemas.microsoft.com/office/drawing/2014/main" id="{5855D746-ABAE-48D7-B722-D445638C8E5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52" name="Text Box 1">
          <a:extLst>
            <a:ext uri="{FF2B5EF4-FFF2-40B4-BE49-F238E27FC236}">
              <a16:creationId xmlns:a16="http://schemas.microsoft.com/office/drawing/2014/main" id="{9F3A144B-AB76-41C1-B079-603AF6EAF3E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53" name="Text Box 2">
          <a:extLst>
            <a:ext uri="{FF2B5EF4-FFF2-40B4-BE49-F238E27FC236}">
              <a16:creationId xmlns:a16="http://schemas.microsoft.com/office/drawing/2014/main" id="{49AA9B0B-207D-4D90-B46D-4D72144C615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554" name="Text Box 2">
          <a:extLst>
            <a:ext uri="{FF2B5EF4-FFF2-40B4-BE49-F238E27FC236}">
              <a16:creationId xmlns:a16="http://schemas.microsoft.com/office/drawing/2014/main" id="{F6E4B5E6-08DD-4F4E-B7AB-0DC2E629D5A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55" name="Text Box 1">
          <a:extLst>
            <a:ext uri="{FF2B5EF4-FFF2-40B4-BE49-F238E27FC236}">
              <a16:creationId xmlns:a16="http://schemas.microsoft.com/office/drawing/2014/main" id="{E8BBADDC-2EB9-4273-B856-364523E2354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56" name="Text Box 2">
          <a:extLst>
            <a:ext uri="{FF2B5EF4-FFF2-40B4-BE49-F238E27FC236}">
              <a16:creationId xmlns:a16="http://schemas.microsoft.com/office/drawing/2014/main" id="{36269A43-6B8F-4412-8606-BB0097D744E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557" name="Text Box 2">
          <a:extLst>
            <a:ext uri="{FF2B5EF4-FFF2-40B4-BE49-F238E27FC236}">
              <a16:creationId xmlns:a16="http://schemas.microsoft.com/office/drawing/2014/main" id="{676B9256-7428-4CAD-91A2-1D61CD22272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58" name="Text Box 1">
          <a:extLst>
            <a:ext uri="{FF2B5EF4-FFF2-40B4-BE49-F238E27FC236}">
              <a16:creationId xmlns:a16="http://schemas.microsoft.com/office/drawing/2014/main" id="{A9178321-DE44-4BFA-B3F3-BC3B2CAC528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59" name="Text Box 2">
          <a:extLst>
            <a:ext uri="{FF2B5EF4-FFF2-40B4-BE49-F238E27FC236}">
              <a16:creationId xmlns:a16="http://schemas.microsoft.com/office/drawing/2014/main" id="{79B940D4-DE14-4376-A11F-1A7CD8769FC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60" name="Text Box 1">
          <a:extLst>
            <a:ext uri="{FF2B5EF4-FFF2-40B4-BE49-F238E27FC236}">
              <a16:creationId xmlns:a16="http://schemas.microsoft.com/office/drawing/2014/main" id="{4AB1BDC4-039A-473C-ABF5-F105D7DAF53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61" name="Text Box 2">
          <a:extLst>
            <a:ext uri="{FF2B5EF4-FFF2-40B4-BE49-F238E27FC236}">
              <a16:creationId xmlns:a16="http://schemas.microsoft.com/office/drawing/2014/main" id="{C8F64C08-F911-428D-A5E3-8225D0EAB1F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62" name="Text Box 1">
          <a:extLst>
            <a:ext uri="{FF2B5EF4-FFF2-40B4-BE49-F238E27FC236}">
              <a16:creationId xmlns:a16="http://schemas.microsoft.com/office/drawing/2014/main" id="{4679108D-E88F-4B8C-8BF0-5A3F838DCC8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63" name="Text Box 2">
          <a:extLst>
            <a:ext uri="{FF2B5EF4-FFF2-40B4-BE49-F238E27FC236}">
              <a16:creationId xmlns:a16="http://schemas.microsoft.com/office/drawing/2014/main" id="{4E4FC732-8372-44BB-9A2C-2662ADF9D9D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64" name="Text Box 1">
          <a:extLst>
            <a:ext uri="{FF2B5EF4-FFF2-40B4-BE49-F238E27FC236}">
              <a16:creationId xmlns:a16="http://schemas.microsoft.com/office/drawing/2014/main" id="{DD9F5826-76F7-44A3-BCE0-4304AAAE0A85}"/>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65" name="Text Box 2">
          <a:extLst>
            <a:ext uri="{FF2B5EF4-FFF2-40B4-BE49-F238E27FC236}">
              <a16:creationId xmlns:a16="http://schemas.microsoft.com/office/drawing/2014/main" id="{14B06143-44EE-44D5-BA74-665536E9C78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66" name="Text Box 1">
          <a:extLst>
            <a:ext uri="{FF2B5EF4-FFF2-40B4-BE49-F238E27FC236}">
              <a16:creationId xmlns:a16="http://schemas.microsoft.com/office/drawing/2014/main" id="{49DFDDA1-058A-4F96-987F-8A3478681FF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67" name="Text Box 2">
          <a:extLst>
            <a:ext uri="{FF2B5EF4-FFF2-40B4-BE49-F238E27FC236}">
              <a16:creationId xmlns:a16="http://schemas.microsoft.com/office/drawing/2014/main" id="{6C76B300-AF3B-4CAA-B1F7-B3BE6796C2F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68" name="Text Box 1">
          <a:extLst>
            <a:ext uri="{FF2B5EF4-FFF2-40B4-BE49-F238E27FC236}">
              <a16:creationId xmlns:a16="http://schemas.microsoft.com/office/drawing/2014/main" id="{312D4934-8124-472E-9DC4-09BB8DF5CDB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69" name="Text Box 2">
          <a:extLst>
            <a:ext uri="{FF2B5EF4-FFF2-40B4-BE49-F238E27FC236}">
              <a16:creationId xmlns:a16="http://schemas.microsoft.com/office/drawing/2014/main" id="{44AAC040-CF40-46E2-B3FA-513DDB9AE7F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70" name="Text Box 2">
          <a:extLst>
            <a:ext uri="{FF2B5EF4-FFF2-40B4-BE49-F238E27FC236}">
              <a16:creationId xmlns:a16="http://schemas.microsoft.com/office/drawing/2014/main" id="{056FDDC2-179A-4901-847B-EB0A99C1EDE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71" name="Text Box 1">
          <a:extLst>
            <a:ext uri="{FF2B5EF4-FFF2-40B4-BE49-F238E27FC236}">
              <a16:creationId xmlns:a16="http://schemas.microsoft.com/office/drawing/2014/main" id="{A3AA86AB-E0CA-46B7-A372-FF1F35F3E75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72" name="Text Box 2">
          <a:extLst>
            <a:ext uri="{FF2B5EF4-FFF2-40B4-BE49-F238E27FC236}">
              <a16:creationId xmlns:a16="http://schemas.microsoft.com/office/drawing/2014/main" id="{9EF97278-636A-42FE-B417-81D98C01E72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73" name="Text Box 1">
          <a:extLst>
            <a:ext uri="{FF2B5EF4-FFF2-40B4-BE49-F238E27FC236}">
              <a16:creationId xmlns:a16="http://schemas.microsoft.com/office/drawing/2014/main" id="{AEB0089B-C0FD-49BF-8CB8-B0C1B84FB5F8}"/>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74" name="Text Box 2">
          <a:extLst>
            <a:ext uri="{FF2B5EF4-FFF2-40B4-BE49-F238E27FC236}">
              <a16:creationId xmlns:a16="http://schemas.microsoft.com/office/drawing/2014/main" id="{4A6ECD7E-52F5-46D1-B8A1-A3FD4B13737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75" name="Text Box 1">
          <a:extLst>
            <a:ext uri="{FF2B5EF4-FFF2-40B4-BE49-F238E27FC236}">
              <a16:creationId xmlns:a16="http://schemas.microsoft.com/office/drawing/2014/main" id="{B2F427FE-A992-46BB-97C2-41D41756057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76" name="Text Box 2">
          <a:extLst>
            <a:ext uri="{FF2B5EF4-FFF2-40B4-BE49-F238E27FC236}">
              <a16:creationId xmlns:a16="http://schemas.microsoft.com/office/drawing/2014/main" id="{DB4F56F3-A8E4-4911-9C1E-EF278A3331A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77" name="Text Box 2">
          <a:extLst>
            <a:ext uri="{FF2B5EF4-FFF2-40B4-BE49-F238E27FC236}">
              <a16:creationId xmlns:a16="http://schemas.microsoft.com/office/drawing/2014/main" id="{35DC4088-EDBD-47F8-AFF3-38B84A45F4B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78" name="Text Box 1">
          <a:extLst>
            <a:ext uri="{FF2B5EF4-FFF2-40B4-BE49-F238E27FC236}">
              <a16:creationId xmlns:a16="http://schemas.microsoft.com/office/drawing/2014/main" id="{5B91556B-CE77-40D0-9AE4-F1E54CA34250}"/>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79" name="Text Box 2">
          <a:extLst>
            <a:ext uri="{FF2B5EF4-FFF2-40B4-BE49-F238E27FC236}">
              <a16:creationId xmlns:a16="http://schemas.microsoft.com/office/drawing/2014/main" id="{6B0D3C6B-0888-4ED4-AF3D-62A46399FD5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80" name="Text Box 1">
          <a:extLst>
            <a:ext uri="{FF2B5EF4-FFF2-40B4-BE49-F238E27FC236}">
              <a16:creationId xmlns:a16="http://schemas.microsoft.com/office/drawing/2014/main" id="{50EB35D1-3C93-4228-9B0E-E02E2E68886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81" name="Text Box 2">
          <a:extLst>
            <a:ext uri="{FF2B5EF4-FFF2-40B4-BE49-F238E27FC236}">
              <a16:creationId xmlns:a16="http://schemas.microsoft.com/office/drawing/2014/main" id="{CC5A2FC5-12AB-442A-8E1D-BC959F0DA48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82" name="Text Box 1">
          <a:extLst>
            <a:ext uri="{FF2B5EF4-FFF2-40B4-BE49-F238E27FC236}">
              <a16:creationId xmlns:a16="http://schemas.microsoft.com/office/drawing/2014/main" id="{FFDF30A7-2704-4781-B502-A9750E1659F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83" name="Text Box 2">
          <a:extLst>
            <a:ext uri="{FF2B5EF4-FFF2-40B4-BE49-F238E27FC236}">
              <a16:creationId xmlns:a16="http://schemas.microsoft.com/office/drawing/2014/main" id="{391DF37F-B335-4B8C-A885-084314287616}"/>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84" name="Text Box 1">
          <a:extLst>
            <a:ext uri="{FF2B5EF4-FFF2-40B4-BE49-F238E27FC236}">
              <a16:creationId xmlns:a16="http://schemas.microsoft.com/office/drawing/2014/main" id="{52115CDD-D2AE-49C5-97FB-4D6C1905F34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85" name="Text Box 2">
          <a:extLst>
            <a:ext uri="{FF2B5EF4-FFF2-40B4-BE49-F238E27FC236}">
              <a16:creationId xmlns:a16="http://schemas.microsoft.com/office/drawing/2014/main" id="{A00203DE-5B21-4254-AACE-BB74A6CCFAC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86" name="Text Box 1">
          <a:extLst>
            <a:ext uri="{FF2B5EF4-FFF2-40B4-BE49-F238E27FC236}">
              <a16:creationId xmlns:a16="http://schemas.microsoft.com/office/drawing/2014/main" id="{FCBB4FCD-10FC-4765-AE29-2EF60ADF2A0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87" name="Text Box 2">
          <a:extLst>
            <a:ext uri="{FF2B5EF4-FFF2-40B4-BE49-F238E27FC236}">
              <a16:creationId xmlns:a16="http://schemas.microsoft.com/office/drawing/2014/main" id="{35A2F316-114E-47A1-AC66-E252AD93DC6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88" name="Text Box 1">
          <a:extLst>
            <a:ext uri="{FF2B5EF4-FFF2-40B4-BE49-F238E27FC236}">
              <a16:creationId xmlns:a16="http://schemas.microsoft.com/office/drawing/2014/main" id="{D083CA81-DAB2-4EBF-88C7-BD1CAC49D42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89" name="Text Box 2">
          <a:extLst>
            <a:ext uri="{FF2B5EF4-FFF2-40B4-BE49-F238E27FC236}">
              <a16:creationId xmlns:a16="http://schemas.microsoft.com/office/drawing/2014/main" id="{155702BC-ACC6-4B8A-839C-50FCF277FC8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90" name="Text Box 1">
          <a:extLst>
            <a:ext uri="{FF2B5EF4-FFF2-40B4-BE49-F238E27FC236}">
              <a16:creationId xmlns:a16="http://schemas.microsoft.com/office/drawing/2014/main" id="{C8DE1040-19A6-4ED2-B8FF-C45EEA41EF3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91" name="Text Box 2">
          <a:extLst>
            <a:ext uri="{FF2B5EF4-FFF2-40B4-BE49-F238E27FC236}">
              <a16:creationId xmlns:a16="http://schemas.microsoft.com/office/drawing/2014/main" id="{3B690121-FA25-4A9F-8C0F-E895B23AD6B8}"/>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92" name="Text Box 1">
          <a:extLst>
            <a:ext uri="{FF2B5EF4-FFF2-40B4-BE49-F238E27FC236}">
              <a16:creationId xmlns:a16="http://schemas.microsoft.com/office/drawing/2014/main" id="{E6F03E1A-DD72-4589-A26C-5C14B64ECC9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93" name="Text Box 2">
          <a:extLst>
            <a:ext uri="{FF2B5EF4-FFF2-40B4-BE49-F238E27FC236}">
              <a16:creationId xmlns:a16="http://schemas.microsoft.com/office/drawing/2014/main" id="{4A8B7D88-7883-4465-A5D3-8A65BB817F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94" name="Text Box 1">
          <a:extLst>
            <a:ext uri="{FF2B5EF4-FFF2-40B4-BE49-F238E27FC236}">
              <a16:creationId xmlns:a16="http://schemas.microsoft.com/office/drawing/2014/main" id="{F335672B-C10F-44DE-9267-EE05B99D1350}"/>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95" name="Text Box 2">
          <a:extLst>
            <a:ext uri="{FF2B5EF4-FFF2-40B4-BE49-F238E27FC236}">
              <a16:creationId xmlns:a16="http://schemas.microsoft.com/office/drawing/2014/main" id="{DBE819C1-0830-4F42-9238-C78D9C6EF6B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96" name="Text Box 1">
          <a:extLst>
            <a:ext uri="{FF2B5EF4-FFF2-40B4-BE49-F238E27FC236}">
              <a16:creationId xmlns:a16="http://schemas.microsoft.com/office/drawing/2014/main" id="{C6B6DB88-BB19-49CF-8E2F-0F5A4A84551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97" name="Text Box 2">
          <a:extLst>
            <a:ext uri="{FF2B5EF4-FFF2-40B4-BE49-F238E27FC236}">
              <a16:creationId xmlns:a16="http://schemas.microsoft.com/office/drawing/2014/main" id="{E026286E-C526-42D3-9E5F-CD8C7FCAF00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98" name="Text Box 1">
          <a:extLst>
            <a:ext uri="{FF2B5EF4-FFF2-40B4-BE49-F238E27FC236}">
              <a16:creationId xmlns:a16="http://schemas.microsoft.com/office/drawing/2014/main" id="{12311DE1-DB55-4B5D-93F1-FED6A9DA422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99" name="Text Box 2">
          <a:extLst>
            <a:ext uri="{FF2B5EF4-FFF2-40B4-BE49-F238E27FC236}">
              <a16:creationId xmlns:a16="http://schemas.microsoft.com/office/drawing/2014/main" id="{B6DD4CFD-31BA-403B-BAF4-D3C725666B5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00" name="Text Box 1">
          <a:extLst>
            <a:ext uri="{FF2B5EF4-FFF2-40B4-BE49-F238E27FC236}">
              <a16:creationId xmlns:a16="http://schemas.microsoft.com/office/drawing/2014/main" id="{61596303-1482-4932-B29B-88B2950B0D3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01" name="Text Box 2">
          <a:extLst>
            <a:ext uri="{FF2B5EF4-FFF2-40B4-BE49-F238E27FC236}">
              <a16:creationId xmlns:a16="http://schemas.microsoft.com/office/drawing/2014/main" id="{E67BC13B-3B5A-4D19-837F-285B00747FA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02" name="Text Box 1">
          <a:extLst>
            <a:ext uri="{FF2B5EF4-FFF2-40B4-BE49-F238E27FC236}">
              <a16:creationId xmlns:a16="http://schemas.microsoft.com/office/drawing/2014/main" id="{DBA24931-A689-46B9-B1EF-09C598E3FC6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03" name="Text Box 2">
          <a:extLst>
            <a:ext uri="{FF2B5EF4-FFF2-40B4-BE49-F238E27FC236}">
              <a16:creationId xmlns:a16="http://schemas.microsoft.com/office/drawing/2014/main" id="{3AA909A7-DA75-43B0-86E4-214AAF7C987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04" name="Text Box 1">
          <a:extLst>
            <a:ext uri="{FF2B5EF4-FFF2-40B4-BE49-F238E27FC236}">
              <a16:creationId xmlns:a16="http://schemas.microsoft.com/office/drawing/2014/main" id="{0F3B9CDF-6E01-456E-812A-E92D338FD9E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05" name="Text Box 2">
          <a:extLst>
            <a:ext uri="{FF2B5EF4-FFF2-40B4-BE49-F238E27FC236}">
              <a16:creationId xmlns:a16="http://schemas.microsoft.com/office/drawing/2014/main" id="{DDF69A08-EA67-4F1A-8587-2F0CA687883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06" name="Text Box 1">
          <a:extLst>
            <a:ext uri="{FF2B5EF4-FFF2-40B4-BE49-F238E27FC236}">
              <a16:creationId xmlns:a16="http://schemas.microsoft.com/office/drawing/2014/main" id="{288DB3C3-F137-4A36-ABCC-AB3F35B90DD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07" name="Text Box 2">
          <a:extLst>
            <a:ext uri="{FF2B5EF4-FFF2-40B4-BE49-F238E27FC236}">
              <a16:creationId xmlns:a16="http://schemas.microsoft.com/office/drawing/2014/main" id="{A9795BD1-2BD7-4948-BE56-A25AD41E72F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08" name="Text Box 1">
          <a:extLst>
            <a:ext uri="{FF2B5EF4-FFF2-40B4-BE49-F238E27FC236}">
              <a16:creationId xmlns:a16="http://schemas.microsoft.com/office/drawing/2014/main" id="{DE736269-E511-43CA-A1A1-CFBABD73C2E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09" name="Text Box 2">
          <a:extLst>
            <a:ext uri="{FF2B5EF4-FFF2-40B4-BE49-F238E27FC236}">
              <a16:creationId xmlns:a16="http://schemas.microsoft.com/office/drawing/2014/main" id="{12127F7D-0C81-4FAF-A2D5-73E7D79CFB2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610" name="Text Box 1">
          <a:extLst>
            <a:ext uri="{FF2B5EF4-FFF2-40B4-BE49-F238E27FC236}">
              <a16:creationId xmlns:a16="http://schemas.microsoft.com/office/drawing/2014/main" id="{CFC98A30-6504-40B5-A1D2-FFEA08589EE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611" name="Text Box 2">
          <a:extLst>
            <a:ext uri="{FF2B5EF4-FFF2-40B4-BE49-F238E27FC236}">
              <a16:creationId xmlns:a16="http://schemas.microsoft.com/office/drawing/2014/main" id="{4DD8EF12-C92C-45F5-BE0F-FC213D0A807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12" name="Text Box 1">
          <a:extLst>
            <a:ext uri="{FF2B5EF4-FFF2-40B4-BE49-F238E27FC236}">
              <a16:creationId xmlns:a16="http://schemas.microsoft.com/office/drawing/2014/main" id="{94BC0B0E-7E29-4A2F-9456-A48676ED1F3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13" name="Text Box 2">
          <a:extLst>
            <a:ext uri="{FF2B5EF4-FFF2-40B4-BE49-F238E27FC236}">
              <a16:creationId xmlns:a16="http://schemas.microsoft.com/office/drawing/2014/main" id="{A2A9D574-3A1B-45B9-8FA0-0DF694AA337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614" name="Text Box 1">
          <a:extLst>
            <a:ext uri="{FF2B5EF4-FFF2-40B4-BE49-F238E27FC236}">
              <a16:creationId xmlns:a16="http://schemas.microsoft.com/office/drawing/2014/main" id="{DDBE261B-0536-4FA6-9B9B-57A722D3C76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615" name="Text Box 2">
          <a:extLst>
            <a:ext uri="{FF2B5EF4-FFF2-40B4-BE49-F238E27FC236}">
              <a16:creationId xmlns:a16="http://schemas.microsoft.com/office/drawing/2014/main" id="{AF847560-2A88-4B59-9107-C822D73551B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16" name="Text Box 1">
          <a:extLst>
            <a:ext uri="{FF2B5EF4-FFF2-40B4-BE49-F238E27FC236}">
              <a16:creationId xmlns:a16="http://schemas.microsoft.com/office/drawing/2014/main" id="{935A4816-8261-4F0B-B0BE-66DFEF60005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17" name="Text Box 2">
          <a:extLst>
            <a:ext uri="{FF2B5EF4-FFF2-40B4-BE49-F238E27FC236}">
              <a16:creationId xmlns:a16="http://schemas.microsoft.com/office/drawing/2014/main" id="{057CD0B7-92C5-468C-A895-C108848086C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18" name="Text Box 1">
          <a:extLst>
            <a:ext uri="{FF2B5EF4-FFF2-40B4-BE49-F238E27FC236}">
              <a16:creationId xmlns:a16="http://schemas.microsoft.com/office/drawing/2014/main" id="{23C29DCF-752A-491C-8C2F-85EC0EE3E5C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19" name="Text Box 2">
          <a:extLst>
            <a:ext uri="{FF2B5EF4-FFF2-40B4-BE49-F238E27FC236}">
              <a16:creationId xmlns:a16="http://schemas.microsoft.com/office/drawing/2014/main" id="{BCB32C2D-108C-4678-B9D1-9EF5CFCC38E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20" name="Text Box 1">
          <a:extLst>
            <a:ext uri="{FF2B5EF4-FFF2-40B4-BE49-F238E27FC236}">
              <a16:creationId xmlns:a16="http://schemas.microsoft.com/office/drawing/2014/main" id="{F8A37747-F7B4-46BB-B640-47BFDFCF02E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21" name="Text Box 2">
          <a:extLst>
            <a:ext uri="{FF2B5EF4-FFF2-40B4-BE49-F238E27FC236}">
              <a16:creationId xmlns:a16="http://schemas.microsoft.com/office/drawing/2014/main" id="{B571F527-B2C7-461F-9570-CA4E9770894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22" name="Text Box 1">
          <a:extLst>
            <a:ext uri="{FF2B5EF4-FFF2-40B4-BE49-F238E27FC236}">
              <a16:creationId xmlns:a16="http://schemas.microsoft.com/office/drawing/2014/main" id="{82040F4F-FE5B-437A-AEAE-600788F3C85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23" name="Text Box 2">
          <a:extLst>
            <a:ext uri="{FF2B5EF4-FFF2-40B4-BE49-F238E27FC236}">
              <a16:creationId xmlns:a16="http://schemas.microsoft.com/office/drawing/2014/main" id="{56E3FF2A-8F36-4DD5-9B6D-627466BC6FE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24" name="Text Box 1">
          <a:extLst>
            <a:ext uri="{FF2B5EF4-FFF2-40B4-BE49-F238E27FC236}">
              <a16:creationId xmlns:a16="http://schemas.microsoft.com/office/drawing/2014/main" id="{28EAF4B4-8BDB-4E5D-9B0D-4E51CC58509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25" name="Text Box 2">
          <a:extLst>
            <a:ext uri="{FF2B5EF4-FFF2-40B4-BE49-F238E27FC236}">
              <a16:creationId xmlns:a16="http://schemas.microsoft.com/office/drawing/2014/main" id="{72DB64BE-F8F9-4380-B35C-AE2855019B8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26" name="Text Box 1">
          <a:extLst>
            <a:ext uri="{FF2B5EF4-FFF2-40B4-BE49-F238E27FC236}">
              <a16:creationId xmlns:a16="http://schemas.microsoft.com/office/drawing/2014/main" id="{DECC0CBB-31A2-4F00-9486-50E89810929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27" name="Text Box 2">
          <a:extLst>
            <a:ext uri="{FF2B5EF4-FFF2-40B4-BE49-F238E27FC236}">
              <a16:creationId xmlns:a16="http://schemas.microsoft.com/office/drawing/2014/main" id="{783D430E-D00F-4EE4-B79A-4193815BFDE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628" name="Text Box 1">
          <a:extLst>
            <a:ext uri="{FF2B5EF4-FFF2-40B4-BE49-F238E27FC236}">
              <a16:creationId xmlns:a16="http://schemas.microsoft.com/office/drawing/2014/main" id="{D3A7CC49-065E-4417-8B9E-D75ADB734F7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629" name="Text Box 2">
          <a:extLst>
            <a:ext uri="{FF2B5EF4-FFF2-40B4-BE49-F238E27FC236}">
              <a16:creationId xmlns:a16="http://schemas.microsoft.com/office/drawing/2014/main" id="{3010E8BA-66CA-4870-9444-DE92C7B5AC3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30" name="Text Box 1">
          <a:extLst>
            <a:ext uri="{FF2B5EF4-FFF2-40B4-BE49-F238E27FC236}">
              <a16:creationId xmlns:a16="http://schemas.microsoft.com/office/drawing/2014/main" id="{685C623C-DD21-48FB-B78C-5ED39CC8FC7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31" name="Text Box 2">
          <a:extLst>
            <a:ext uri="{FF2B5EF4-FFF2-40B4-BE49-F238E27FC236}">
              <a16:creationId xmlns:a16="http://schemas.microsoft.com/office/drawing/2014/main" id="{B1322370-CD74-47A6-A1BA-2D093A69573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632" name="Text Box 1">
          <a:extLst>
            <a:ext uri="{FF2B5EF4-FFF2-40B4-BE49-F238E27FC236}">
              <a16:creationId xmlns:a16="http://schemas.microsoft.com/office/drawing/2014/main" id="{591371C7-D26F-4545-A162-D5B0C7D2E2A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633" name="Text Box 2">
          <a:extLst>
            <a:ext uri="{FF2B5EF4-FFF2-40B4-BE49-F238E27FC236}">
              <a16:creationId xmlns:a16="http://schemas.microsoft.com/office/drawing/2014/main" id="{72907769-E4AD-4411-A2BE-A4766F93C70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34" name="Text Box 1">
          <a:extLst>
            <a:ext uri="{FF2B5EF4-FFF2-40B4-BE49-F238E27FC236}">
              <a16:creationId xmlns:a16="http://schemas.microsoft.com/office/drawing/2014/main" id="{F7945C14-CFF3-4D7B-BFCD-03B3CDA03FF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35" name="Text Box 2">
          <a:extLst>
            <a:ext uri="{FF2B5EF4-FFF2-40B4-BE49-F238E27FC236}">
              <a16:creationId xmlns:a16="http://schemas.microsoft.com/office/drawing/2014/main" id="{EC945392-0BC4-4B2E-A870-396BEDE44D8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36" name="Text Box 1">
          <a:extLst>
            <a:ext uri="{FF2B5EF4-FFF2-40B4-BE49-F238E27FC236}">
              <a16:creationId xmlns:a16="http://schemas.microsoft.com/office/drawing/2014/main" id="{1FD52719-431A-4FD1-84D9-A58EF273B7F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37" name="Text Box 2">
          <a:extLst>
            <a:ext uri="{FF2B5EF4-FFF2-40B4-BE49-F238E27FC236}">
              <a16:creationId xmlns:a16="http://schemas.microsoft.com/office/drawing/2014/main" id="{360F8CC1-2DDC-45D1-8130-D8D03CEC308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38" name="Text Box 1">
          <a:extLst>
            <a:ext uri="{FF2B5EF4-FFF2-40B4-BE49-F238E27FC236}">
              <a16:creationId xmlns:a16="http://schemas.microsoft.com/office/drawing/2014/main" id="{CB558641-4238-4D65-9C45-3ACC58D8DA7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39" name="Text Box 2">
          <a:extLst>
            <a:ext uri="{FF2B5EF4-FFF2-40B4-BE49-F238E27FC236}">
              <a16:creationId xmlns:a16="http://schemas.microsoft.com/office/drawing/2014/main" id="{DE53734A-0C22-48AE-B017-96C338D019B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40" name="Text Box 1">
          <a:extLst>
            <a:ext uri="{FF2B5EF4-FFF2-40B4-BE49-F238E27FC236}">
              <a16:creationId xmlns:a16="http://schemas.microsoft.com/office/drawing/2014/main" id="{4CC4FF63-4011-47AA-AB62-4FF60BF6A32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41" name="Text Box 2">
          <a:extLst>
            <a:ext uri="{FF2B5EF4-FFF2-40B4-BE49-F238E27FC236}">
              <a16:creationId xmlns:a16="http://schemas.microsoft.com/office/drawing/2014/main" id="{2C8E3615-B204-41BC-8D1B-A995AB688FC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42" name="Text Box 1">
          <a:extLst>
            <a:ext uri="{FF2B5EF4-FFF2-40B4-BE49-F238E27FC236}">
              <a16:creationId xmlns:a16="http://schemas.microsoft.com/office/drawing/2014/main" id="{453F5BF8-4E56-446C-9320-04C89FF035A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43" name="Text Box 2">
          <a:extLst>
            <a:ext uri="{FF2B5EF4-FFF2-40B4-BE49-F238E27FC236}">
              <a16:creationId xmlns:a16="http://schemas.microsoft.com/office/drawing/2014/main" id="{F6CF05C5-277A-440C-9F38-8115E5C9E14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44" name="Text Box 1">
          <a:extLst>
            <a:ext uri="{FF2B5EF4-FFF2-40B4-BE49-F238E27FC236}">
              <a16:creationId xmlns:a16="http://schemas.microsoft.com/office/drawing/2014/main" id="{6CD2C5CD-2055-4FD3-B7BD-1AA2A4EAD72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45" name="Text Box 2">
          <a:extLst>
            <a:ext uri="{FF2B5EF4-FFF2-40B4-BE49-F238E27FC236}">
              <a16:creationId xmlns:a16="http://schemas.microsoft.com/office/drawing/2014/main" id="{503B5EBF-D75B-411F-A0C7-4C6AD6D2281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46" name="Text Box 1">
          <a:extLst>
            <a:ext uri="{FF2B5EF4-FFF2-40B4-BE49-F238E27FC236}">
              <a16:creationId xmlns:a16="http://schemas.microsoft.com/office/drawing/2014/main" id="{2770A5CC-5773-405E-B66A-989799E622A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47" name="Text Box 2">
          <a:extLst>
            <a:ext uri="{FF2B5EF4-FFF2-40B4-BE49-F238E27FC236}">
              <a16:creationId xmlns:a16="http://schemas.microsoft.com/office/drawing/2014/main" id="{EB8FF53A-CB5D-4C42-B233-A472C3986AB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48" name="Text Box 1">
          <a:extLst>
            <a:ext uri="{FF2B5EF4-FFF2-40B4-BE49-F238E27FC236}">
              <a16:creationId xmlns:a16="http://schemas.microsoft.com/office/drawing/2014/main" id="{D0C0638D-06D6-4A95-B5DA-7CBF222479D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49" name="Text Box 2">
          <a:extLst>
            <a:ext uri="{FF2B5EF4-FFF2-40B4-BE49-F238E27FC236}">
              <a16:creationId xmlns:a16="http://schemas.microsoft.com/office/drawing/2014/main" id="{426CCA68-EBB7-4562-B32D-CC21E2F6BA4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50" name="Text Box 1">
          <a:extLst>
            <a:ext uri="{FF2B5EF4-FFF2-40B4-BE49-F238E27FC236}">
              <a16:creationId xmlns:a16="http://schemas.microsoft.com/office/drawing/2014/main" id="{670E991E-4255-4BD1-AFE1-6FB489AE78C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51" name="Text Box 2">
          <a:extLst>
            <a:ext uri="{FF2B5EF4-FFF2-40B4-BE49-F238E27FC236}">
              <a16:creationId xmlns:a16="http://schemas.microsoft.com/office/drawing/2014/main" id="{8B6A0EFE-C9AA-4F61-BB3F-D93D591FD36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52" name="Text Box 1">
          <a:extLst>
            <a:ext uri="{FF2B5EF4-FFF2-40B4-BE49-F238E27FC236}">
              <a16:creationId xmlns:a16="http://schemas.microsoft.com/office/drawing/2014/main" id="{A21854CB-7909-4FC1-B0C1-D8ED6A67E42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53" name="Text Box 2">
          <a:extLst>
            <a:ext uri="{FF2B5EF4-FFF2-40B4-BE49-F238E27FC236}">
              <a16:creationId xmlns:a16="http://schemas.microsoft.com/office/drawing/2014/main" id="{B9627399-BE75-4062-83BB-57AB3196F8F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54" name="Text Box 1">
          <a:extLst>
            <a:ext uri="{FF2B5EF4-FFF2-40B4-BE49-F238E27FC236}">
              <a16:creationId xmlns:a16="http://schemas.microsoft.com/office/drawing/2014/main" id="{7E2CD205-A0E6-4E4D-83E1-1F82D985B64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55" name="Text Box 2">
          <a:extLst>
            <a:ext uri="{FF2B5EF4-FFF2-40B4-BE49-F238E27FC236}">
              <a16:creationId xmlns:a16="http://schemas.microsoft.com/office/drawing/2014/main" id="{BCF3009B-54E2-4062-9159-C222B8D743A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56" name="Text Box 1">
          <a:extLst>
            <a:ext uri="{FF2B5EF4-FFF2-40B4-BE49-F238E27FC236}">
              <a16:creationId xmlns:a16="http://schemas.microsoft.com/office/drawing/2014/main" id="{FD42486E-4014-49A3-8FFC-46A80187310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57" name="Text Box 2">
          <a:extLst>
            <a:ext uri="{FF2B5EF4-FFF2-40B4-BE49-F238E27FC236}">
              <a16:creationId xmlns:a16="http://schemas.microsoft.com/office/drawing/2014/main" id="{A6B75CDA-B0FF-48EA-B40E-42843483BB3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58" name="Text Box 1">
          <a:extLst>
            <a:ext uri="{FF2B5EF4-FFF2-40B4-BE49-F238E27FC236}">
              <a16:creationId xmlns:a16="http://schemas.microsoft.com/office/drawing/2014/main" id="{C60E38FC-2757-4168-8ACF-18779DEB618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59" name="Text Box 2">
          <a:extLst>
            <a:ext uri="{FF2B5EF4-FFF2-40B4-BE49-F238E27FC236}">
              <a16:creationId xmlns:a16="http://schemas.microsoft.com/office/drawing/2014/main" id="{485ACB91-E58F-4A67-AF52-C814B689C99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60" name="Text Box 1">
          <a:extLst>
            <a:ext uri="{FF2B5EF4-FFF2-40B4-BE49-F238E27FC236}">
              <a16:creationId xmlns:a16="http://schemas.microsoft.com/office/drawing/2014/main" id="{56169317-5289-4C92-ABBD-F1DF72AD868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61" name="Text Box 2">
          <a:extLst>
            <a:ext uri="{FF2B5EF4-FFF2-40B4-BE49-F238E27FC236}">
              <a16:creationId xmlns:a16="http://schemas.microsoft.com/office/drawing/2014/main" id="{6BF6D437-9AF7-467F-AD81-94A8C9DA9AD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62" name="Text Box 1">
          <a:extLst>
            <a:ext uri="{FF2B5EF4-FFF2-40B4-BE49-F238E27FC236}">
              <a16:creationId xmlns:a16="http://schemas.microsoft.com/office/drawing/2014/main" id="{9EA417D8-A3F1-4280-ADA7-46697DE9E3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63" name="Text Box 2">
          <a:extLst>
            <a:ext uri="{FF2B5EF4-FFF2-40B4-BE49-F238E27FC236}">
              <a16:creationId xmlns:a16="http://schemas.microsoft.com/office/drawing/2014/main" id="{4B4B4B6A-45A2-488D-A5BF-EE430A22910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64" name="Text Box 1">
          <a:extLst>
            <a:ext uri="{FF2B5EF4-FFF2-40B4-BE49-F238E27FC236}">
              <a16:creationId xmlns:a16="http://schemas.microsoft.com/office/drawing/2014/main" id="{FD59283C-0B67-4437-B55C-530992DBB2D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65" name="Text Box 2">
          <a:extLst>
            <a:ext uri="{FF2B5EF4-FFF2-40B4-BE49-F238E27FC236}">
              <a16:creationId xmlns:a16="http://schemas.microsoft.com/office/drawing/2014/main" id="{89E1F1E2-5708-44DF-87F0-86B136AA010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666" name="Text Box 1">
          <a:extLst>
            <a:ext uri="{FF2B5EF4-FFF2-40B4-BE49-F238E27FC236}">
              <a16:creationId xmlns:a16="http://schemas.microsoft.com/office/drawing/2014/main" id="{7208EE3D-E901-4B15-85F7-BF74E55432E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667" name="Text Box 2">
          <a:extLst>
            <a:ext uri="{FF2B5EF4-FFF2-40B4-BE49-F238E27FC236}">
              <a16:creationId xmlns:a16="http://schemas.microsoft.com/office/drawing/2014/main" id="{0C907605-699C-408C-BA6F-CE1399BEBB6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68" name="Text Box 1">
          <a:extLst>
            <a:ext uri="{FF2B5EF4-FFF2-40B4-BE49-F238E27FC236}">
              <a16:creationId xmlns:a16="http://schemas.microsoft.com/office/drawing/2014/main" id="{382E997E-C582-4E68-98FC-9804E724BBD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69" name="Text Box 2">
          <a:extLst>
            <a:ext uri="{FF2B5EF4-FFF2-40B4-BE49-F238E27FC236}">
              <a16:creationId xmlns:a16="http://schemas.microsoft.com/office/drawing/2014/main" id="{1F37BB98-E1C8-4A2B-B011-FFADD7C3AE6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670" name="Text Box 1">
          <a:extLst>
            <a:ext uri="{FF2B5EF4-FFF2-40B4-BE49-F238E27FC236}">
              <a16:creationId xmlns:a16="http://schemas.microsoft.com/office/drawing/2014/main" id="{4086706B-B882-4971-8B52-23F2F535EC9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671" name="Text Box 2">
          <a:extLst>
            <a:ext uri="{FF2B5EF4-FFF2-40B4-BE49-F238E27FC236}">
              <a16:creationId xmlns:a16="http://schemas.microsoft.com/office/drawing/2014/main" id="{C7661CB5-02C7-4C91-910E-B56C14D6372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72" name="Text Box 1">
          <a:extLst>
            <a:ext uri="{FF2B5EF4-FFF2-40B4-BE49-F238E27FC236}">
              <a16:creationId xmlns:a16="http://schemas.microsoft.com/office/drawing/2014/main" id="{C224BC70-D5ED-4778-BB12-A4B55F5E1CB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73" name="Text Box 2">
          <a:extLst>
            <a:ext uri="{FF2B5EF4-FFF2-40B4-BE49-F238E27FC236}">
              <a16:creationId xmlns:a16="http://schemas.microsoft.com/office/drawing/2014/main" id="{CC1FB2ED-F9AB-4EC2-9A3C-F2AE0EE16AF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74" name="Text Box 1">
          <a:extLst>
            <a:ext uri="{FF2B5EF4-FFF2-40B4-BE49-F238E27FC236}">
              <a16:creationId xmlns:a16="http://schemas.microsoft.com/office/drawing/2014/main" id="{BD5F6350-D92B-4A95-AE6E-9522AD45B6D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75" name="Text Box 2">
          <a:extLst>
            <a:ext uri="{FF2B5EF4-FFF2-40B4-BE49-F238E27FC236}">
              <a16:creationId xmlns:a16="http://schemas.microsoft.com/office/drawing/2014/main" id="{0D3D1804-D65A-4416-A4DE-0D4462D9193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76" name="Text Box 1">
          <a:extLst>
            <a:ext uri="{FF2B5EF4-FFF2-40B4-BE49-F238E27FC236}">
              <a16:creationId xmlns:a16="http://schemas.microsoft.com/office/drawing/2014/main" id="{A82F67DB-B25D-4932-883F-33F2B5AC3F1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77" name="Text Box 2">
          <a:extLst>
            <a:ext uri="{FF2B5EF4-FFF2-40B4-BE49-F238E27FC236}">
              <a16:creationId xmlns:a16="http://schemas.microsoft.com/office/drawing/2014/main" id="{A4AD7277-A24E-43DA-942B-8EF397CB742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78" name="Text Box 1">
          <a:extLst>
            <a:ext uri="{FF2B5EF4-FFF2-40B4-BE49-F238E27FC236}">
              <a16:creationId xmlns:a16="http://schemas.microsoft.com/office/drawing/2014/main" id="{26B89C05-272C-4E9A-8958-C2F0146CFB1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79" name="Text Box 2">
          <a:extLst>
            <a:ext uri="{FF2B5EF4-FFF2-40B4-BE49-F238E27FC236}">
              <a16:creationId xmlns:a16="http://schemas.microsoft.com/office/drawing/2014/main" id="{5B4736CB-4218-4EA0-87B3-5E0B3F4C522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80" name="Text Box 1">
          <a:extLst>
            <a:ext uri="{FF2B5EF4-FFF2-40B4-BE49-F238E27FC236}">
              <a16:creationId xmlns:a16="http://schemas.microsoft.com/office/drawing/2014/main" id="{ACBB67C7-0221-4522-80C1-1279C08D7D2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81" name="Text Box 2">
          <a:extLst>
            <a:ext uri="{FF2B5EF4-FFF2-40B4-BE49-F238E27FC236}">
              <a16:creationId xmlns:a16="http://schemas.microsoft.com/office/drawing/2014/main" id="{3A695763-D358-4528-BE9D-13E59B07195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82" name="Text Box 1">
          <a:extLst>
            <a:ext uri="{FF2B5EF4-FFF2-40B4-BE49-F238E27FC236}">
              <a16:creationId xmlns:a16="http://schemas.microsoft.com/office/drawing/2014/main" id="{84FA4D16-A0F6-4624-95BF-ADB457216DC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83" name="Text Box 2">
          <a:extLst>
            <a:ext uri="{FF2B5EF4-FFF2-40B4-BE49-F238E27FC236}">
              <a16:creationId xmlns:a16="http://schemas.microsoft.com/office/drawing/2014/main" id="{3A2CC303-9858-45FE-915B-BCDDFE475B6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84" name="Text Box 1">
          <a:extLst>
            <a:ext uri="{FF2B5EF4-FFF2-40B4-BE49-F238E27FC236}">
              <a16:creationId xmlns:a16="http://schemas.microsoft.com/office/drawing/2014/main" id="{4EE2F19C-DE2E-4282-8B2D-1D476D04539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85" name="Text Box 2">
          <a:extLst>
            <a:ext uri="{FF2B5EF4-FFF2-40B4-BE49-F238E27FC236}">
              <a16:creationId xmlns:a16="http://schemas.microsoft.com/office/drawing/2014/main" id="{633C3616-277E-4376-A57E-64F4C9D7451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86" name="Text Box 1">
          <a:extLst>
            <a:ext uri="{FF2B5EF4-FFF2-40B4-BE49-F238E27FC236}">
              <a16:creationId xmlns:a16="http://schemas.microsoft.com/office/drawing/2014/main" id="{E7BA9CCB-E322-4AAC-AF7D-DF14AE21EE9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87" name="Text Box 2">
          <a:extLst>
            <a:ext uri="{FF2B5EF4-FFF2-40B4-BE49-F238E27FC236}">
              <a16:creationId xmlns:a16="http://schemas.microsoft.com/office/drawing/2014/main" id="{4EF92109-A002-42D1-82E0-A0A40D2C471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88" name="Text Box 1">
          <a:extLst>
            <a:ext uri="{FF2B5EF4-FFF2-40B4-BE49-F238E27FC236}">
              <a16:creationId xmlns:a16="http://schemas.microsoft.com/office/drawing/2014/main" id="{5E20243C-9E92-4BDA-B40A-0346FE22D90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89" name="Text Box 2">
          <a:extLst>
            <a:ext uri="{FF2B5EF4-FFF2-40B4-BE49-F238E27FC236}">
              <a16:creationId xmlns:a16="http://schemas.microsoft.com/office/drawing/2014/main" id="{232F5B1D-18D0-4431-AF6A-FBA79DCCBB9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90" name="Text Box 1">
          <a:extLst>
            <a:ext uri="{FF2B5EF4-FFF2-40B4-BE49-F238E27FC236}">
              <a16:creationId xmlns:a16="http://schemas.microsoft.com/office/drawing/2014/main" id="{F9F96C90-EC76-4B3B-B084-F9597005CCB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91" name="Text Box 2">
          <a:extLst>
            <a:ext uri="{FF2B5EF4-FFF2-40B4-BE49-F238E27FC236}">
              <a16:creationId xmlns:a16="http://schemas.microsoft.com/office/drawing/2014/main" id="{A5DD3739-1C88-45A0-AA78-2BE20B8EA59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92" name="Text Box 1">
          <a:extLst>
            <a:ext uri="{FF2B5EF4-FFF2-40B4-BE49-F238E27FC236}">
              <a16:creationId xmlns:a16="http://schemas.microsoft.com/office/drawing/2014/main" id="{581AF40F-D045-4F1E-B040-CD8FF147748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93" name="Text Box 2">
          <a:extLst>
            <a:ext uri="{FF2B5EF4-FFF2-40B4-BE49-F238E27FC236}">
              <a16:creationId xmlns:a16="http://schemas.microsoft.com/office/drawing/2014/main" id="{2CD317F8-F579-4223-855B-078A585E76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694" name="Text Box 1">
          <a:extLst>
            <a:ext uri="{FF2B5EF4-FFF2-40B4-BE49-F238E27FC236}">
              <a16:creationId xmlns:a16="http://schemas.microsoft.com/office/drawing/2014/main" id="{F667B301-5248-42E2-80CC-865CE5AC44D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695" name="Text Box 2">
          <a:extLst>
            <a:ext uri="{FF2B5EF4-FFF2-40B4-BE49-F238E27FC236}">
              <a16:creationId xmlns:a16="http://schemas.microsoft.com/office/drawing/2014/main" id="{96F2E19A-D5E5-49EC-B633-C593B1E3BC8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696" name="Text Box 1">
          <a:extLst>
            <a:ext uri="{FF2B5EF4-FFF2-40B4-BE49-F238E27FC236}">
              <a16:creationId xmlns:a16="http://schemas.microsoft.com/office/drawing/2014/main" id="{37D537BE-7760-466E-864F-D22868EC16B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697" name="Text Box 2">
          <a:extLst>
            <a:ext uri="{FF2B5EF4-FFF2-40B4-BE49-F238E27FC236}">
              <a16:creationId xmlns:a16="http://schemas.microsoft.com/office/drawing/2014/main" id="{3ADF9845-C7BD-429F-BFDB-615B7B2BB64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98" name="Text Box 1">
          <a:extLst>
            <a:ext uri="{FF2B5EF4-FFF2-40B4-BE49-F238E27FC236}">
              <a16:creationId xmlns:a16="http://schemas.microsoft.com/office/drawing/2014/main" id="{EF22169F-28CE-4225-83B9-33DF342FF66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99" name="Text Box 2">
          <a:extLst>
            <a:ext uri="{FF2B5EF4-FFF2-40B4-BE49-F238E27FC236}">
              <a16:creationId xmlns:a16="http://schemas.microsoft.com/office/drawing/2014/main" id="{748D70EA-1A43-4A33-8B39-9B99A9C8B4F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00" name="Text Box 1">
          <a:extLst>
            <a:ext uri="{FF2B5EF4-FFF2-40B4-BE49-F238E27FC236}">
              <a16:creationId xmlns:a16="http://schemas.microsoft.com/office/drawing/2014/main" id="{7D2BD194-E2C1-45D0-BB6C-4DE224B7A85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01" name="Text Box 2">
          <a:extLst>
            <a:ext uri="{FF2B5EF4-FFF2-40B4-BE49-F238E27FC236}">
              <a16:creationId xmlns:a16="http://schemas.microsoft.com/office/drawing/2014/main" id="{C8E29435-22F2-43BC-9617-D75972D74C8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02" name="Text Box 1">
          <a:extLst>
            <a:ext uri="{FF2B5EF4-FFF2-40B4-BE49-F238E27FC236}">
              <a16:creationId xmlns:a16="http://schemas.microsoft.com/office/drawing/2014/main" id="{20EB9315-EDE7-498F-9C85-B2F2A8559D3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03" name="Text Box 2">
          <a:extLst>
            <a:ext uri="{FF2B5EF4-FFF2-40B4-BE49-F238E27FC236}">
              <a16:creationId xmlns:a16="http://schemas.microsoft.com/office/drawing/2014/main" id="{0E96329D-A47C-4B41-BE0C-3594C5A660D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04" name="Text Box 1">
          <a:extLst>
            <a:ext uri="{FF2B5EF4-FFF2-40B4-BE49-F238E27FC236}">
              <a16:creationId xmlns:a16="http://schemas.microsoft.com/office/drawing/2014/main" id="{FE18DB25-6465-41CA-BB3F-2902E53B88B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05" name="Text Box 2">
          <a:extLst>
            <a:ext uri="{FF2B5EF4-FFF2-40B4-BE49-F238E27FC236}">
              <a16:creationId xmlns:a16="http://schemas.microsoft.com/office/drawing/2014/main" id="{071E4D21-6172-4A64-912C-DEE2F10F0AF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706" name="Text Box 1">
          <a:extLst>
            <a:ext uri="{FF2B5EF4-FFF2-40B4-BE49-F238E27FC236}">
              <a16:creationId xmlns:a16="http://schemas.microsoft.com/office/drawing/2014/main" id="{3373DDF7-DACC-465A-B720-818846C911C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707" name="Text Box 2">
          <a:extLst>
            <a:ext uri="{FF2B5EF4-FFF2-40B4-BE49-F238E27FC236}">
              <a16:creationId xmlns:a16="http://schemas.microsoft.com/office/drawing/2014/main" id="{B9958144-C527-43AB-9F81-EBE80979FC1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708" name="Text Box 1">
          <a:extLst>
            <a:ext uri="{FF2B5EF4-FFF2-40B4-BE49-F238E27FC236}">
              <a16:creationId xmlns:a16="http://schemas.microsoft.com/office/drawing/2014/main" id="{4D841DD3-2097-4993-A778-D1EB0A8CE4ED}"/>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709" name="Text Box 2">
          <a:extLst>
            <a:ext uri="{FF2B5EF4-FFF2-40B4-BE49-F238E27FC236}">
              <a16:creationId xmlns:a16="http://schemas.microsoft.com/office/drawing/2014/main" id="{5488684D-AA9B-4678-AFAC-B75FD11D468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10" name="Text Box 1">
          <a:extLst>
            <a:ext uri="{FF2B5EF4-FFF2-40B4-BE49-F238E27FC236}">
              <a16:creationId xmlns:a16="http://schemas.microsoft.com/office/drawing/2014/main" id="{07B57986-3641-47B5-874B-ED712392AC6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11" name="Text Box 2">
          <a:extLst>
            <a:ext uri="{FF2B5EF4-FFF2-40B4-BE49-F238E27FC236}">
              <a16:creationId xmlns:a16="http://schemas.microsoft.com/office/drawing/2014/main" id="{05F09D01-326B-4CC0-BD88-138CD8C799A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12" name="Text Box 1">
          <a:extLst>
            <a:ext uri="{FF2B5EF4-FFF2-40B4-BE49-F238E27FC236}">
              <a16:creationId xmlns:a16="http://schemas.microsoft.com/office/drawing/2014/main" id="{5FEF3E3B-93EF-4535-BA1F-7B89C15850E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13" name="Text Box 2">
          <a:extLst>
            <a:ext uri="{FF2B5EF4-FFF2-40B4-BE49-F238E27FC236}">
              <a16:creationId xmlns:a16="http://schemas.microsoft.com/office/drawing/2014/main" id="{334AB3A2-CC51-4E36-8798-356A03AE2DD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714" name="Text Box 1">
          <a:extLst>
            <a:ext uri="{FF2B5EF4-FFF2-40B4-BE49-F238E27FC236}">
              <a16:creationId xmlns:a16="http://schemas.microsoft.com/office/drawing/2014/main" id="{041D4712-F0CD-4AD1-AFC7-31BB309DB5D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715" name="Text Box 2">
          <a:extLst>
            <a:ext uri="{FF2B5EF4-FFF2-40B4-BE49-F238E27FC236}">
              <a16:creationId xmlns:a16="http://schemas.microsoft.com/office/drawing/2014/main" id="{DD50935B-3303-479E-8AD1-3AAB7E26979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716" name="Text Box 1">
          <a:extLst>
            <a:ext uri="{FF2B5EF4-FFF2-40B4-BE49-F238E27FC236}">
              <a16:creationId xmlns:a16="http://schemas.microsoft.com/office/drawing/2014/main" id="{70FEFFD4-556E-45AE-90E3-5BC653AD573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717" name="Text Box 2">
          <a:extLst>
            <a:ext uri="{FF2B5EF4-FFF2-40B4-BE49-F238E27FC236}">
              <a16:creationId xmlns:a16="http://schemas.microsoft.com/office/drawing/2014/main" id="{04D0BDD9-5287-4144-A405-164DB430104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18" name="Text Box 1">
          <a:extLst>
            <a:ext uri="{FF2B5EF4-FFF2-40B4-BE49-F238E27FC236}">
              <a16:creationId xmlns:a16="http://schemas.microsoft.com/office/drawing/2014/main" id="{88A31CF8-A36E-4170-AC01-4B19E430855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19" name="Text Box 2">
          <a:extLst>
            <a:ext uri="{FF2B5EF4-FFF2-40B4-BE49-F238E27FC236}">
              <a16:creationId xmlns:a16="http://schemas.microsoft.com/office/drawing/2014/main" id="{DC790977-E426-4522-8895-22CB166C3C5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20" name="Text Box 1">
          <a:extLst>
            <a:ext uri="{FF2B5EF4-FFF2-40B4-BE49-F238E27FC236}">
              <a16:creationId xmlns:a16="http://schemas.microsoft.com/office/drawing/2014/main" id="{9AFB7DA9-0838-4485-8AFC-4AE220A9188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21" name="Text Box 2">
          <a:extLst>
            <a:ext uri="{FF2B5EF4-FFF2-40B4-BE49-F238E27FC236}">
              <a16:creationId xmlns:a16="http://schemas.microsoft.com/office/drawing/2014/main" id="{94168AF0-E7E8-47B5-9FA9-53DA26EB193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722" name="Text Box 1">
          <a:extLst>
            <a:ext uri="{FF2B5EF4-FFF2-40B4-BE49-F238E27FC236}">
              <a16:creationId xmlns:a16="http://schemas.microsoft.com/office/drawing/2014/main" id="{765B59DF-D5DC-4B89-8199-A35CFE0CB50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723" name="Text Box 2">
          <a:extLst>
            <a:ext uri="{FF2B5EF4-FFF2-40B4-BE49-F238E27FC236}">
              <a16:creationId xmlns:a16="http://schemas.microsoft.com/office/drawing/2014/main" id="{516C94D7-1A27-498C-8D1D-4FF7C0965C2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24" name="Text Box 1">
          <a:extLst>
            <a:ext uri="{FF2B5EF4-FFF2-40B4-BE49-F238E27FC236}">
              <a16:creationId xmlns:a16="http://schemas.microsoft.com/office/drawing/2014/main" id="{4D4BC78D-1EF2-495E-A70F-D60D4F3D18D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25" name="Text Box 2">
          <a:extLst>
            <a:ext uri="{FF2B5EF4-FFF2-40B4-BE49-F238E27FC236}">
              <a16:creationId xmlns:a16="http://schemas.microsoft.com/office/drawing/2014/main" id="{CC1C2311-676C-439F-9DC4-1D5C41BAEE0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726" name="Text Box 1">
          <a:extLst>
            <a:ext uri="{FF2B5EF4-FFF2-40B4-BE49-F238E27FC236}">
              <a16:creationId xmlns:a16="http://schemas.microsoft.com/office/drawing/2014/main" id="{EBEFCAD1-BD8E-40F6-A564-67A49DA68140}"/>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727" name="Text Box 2">
          <a:extLst>
            <a:ext uri="{FF2B5EF4-FFF2-40B4-BE49-F238E27FC236}">
              <a16:creationId xmlns:a16="http://schemas.microsoft.com/office/drawing/2014/main" id="{D02E90D2-E5CD-42DE-A8D8-B51E3779A32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728" name="Text Box 1">
          <a:extLst>
            <a:ext uri="{FF2B5EF4-FFF2-40B4-BE49-F238E27FC236}">
              <a16:creationId xmlns:a16="http://schemas.microsoft.com/office/drawing/2014/main" id="{79638987-6FE8-4B49-BB01-C05F9A7A700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729" name="Text Box 2">
          <a:extLst>
            <a:ext uri="{FF2B5EF4-FFF2-40B4-BE49-F238E27FC236}">
              <a16:creationId xmlns:a16="http://schemas.microsoft.com/office/drawing/2014/main" id="{7C7F0DC0-83EA-4FE4-B92E-B60E7BD0FEC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30" name="Text Box 1">
          <a:extLst>
            <a:ext uri="{FF2B5EF4-FFF2-40B4-BE49-F238E27FC236}">
              <a16:creationId xmlns:a16="http://schemas.microsoft.com/office/drawing/2014/main" id="{8D4A99E7-E2D9-4E0F-9CB8-B49BE20948F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31" name="Text Box 2">
          <a:extLst>
            <a:ext uri="{FF2B5EF4-FFF2-40B4-BE49-F238E27FC236}">
              <a16:creationId xmlns:a16="http://schemas.microsoft.com/office/drawing/2014/main" id="{9B498322-A899-48C5-A22C-43B16FAB86D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32" name="Text Box 1">
          <a:extLst>
            <a:ext uri="{FF2B5EF4-FFF2-40B4-BE49-F238E27FC236}">
              <a16:creationId xmlns:a16="http://schemas.microsoft.com/office/drawing/2014/main" id="{D7FBC187-7B0A-4747-B058-6281B2FF183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33" name="Text Box 2">
          <a:extLst>
            <a:ext uri="{FF2B5EF4-FFF2-40B4-BE49-F238E27FC236}">
              <a16:creationId xmlns:a16="http://schemas.microsoft.com/office/drawing/2014/main" id="{45725DF0-067E-4055-B926-DC39B14BEEF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34" name="Text Box 1">
          <a:extLst>
            <a:ext uri="{FF2B5EF4-FFF2-40B4-BE49-F238E27FC236}">
              <a16:creationId xmlns:a16="http://schemas.microsoft.com/office/drawing/2014/main" id="{1815CD1E-83A2-40A6-80F3-B13B6B80AF6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35" name="Text Box 2">
          <a:extLst>
            <a:ext uri="{FF2B5EF4-FFF2-40B4-BE49-F238E27FC236}">
              <a16:creationId xmlns:a16="http://schemas.microsoft.com/office/drawing/2014/main" id="{97735899-154C-418A-BF31-466C8DEBD81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736" name="Text Box 1">
          <a:extLst>
            <a:ext uri="{FF2B5EF4-FFF2-40B4-BE49-F238E27FC236}">
              <a16:creationId xmlns:a16="http://schemas.microsoft.com/office/drawing/2014/main" id="{59E04C42-8B45-4B66-A7C0-A59B4BBFE978}"/>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737" name="Text Box 2">
          <a:extLst>
            <a:ext uri="{FF2B5EF4-FFF2-40B4-BE49-F238E27FC236}">
              <a16:creationId xmlns:a16="http://schemas.microsoft.com/office/drawing/2014/main" id="{630412DC-98FC-4A6E-BEB7-03F5A3AA26F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38" name="Text Box 1">
          <a:extLst>
            <a:ext uri="{FF2B5EF4-FFF2-40B4-BE49-F238E27FC236}">
              <a16:creationId xmlns:a16="http://schemas.microsoft.com/office/drawing/2014/main" id="{F7C5A3E2-392A-4BD3-ADEC-4B212647120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39" name="Text Box 2">
          <a:extLst>
            <a:ext uri="{FF2B5EF4-FFF2-40B4-BE49-F238E27FC236}">
              <a16:creationId xmlns:a16="http://schemas.microsoft.com/office/drawing/2014/main" id="{A82EB486-3679-4928-A01E-962A7B653BC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740" name="Text Box 1">
          <a:extLst>
            <a:ext uri="{FF2B5EF4-FFF2-40B4-BE49-F238E27FC236}">
              <a16:creationId xmlns:a16="http://schemas.microsoft.com/office/drawing/2014/main" id="{05C6E279-7849-4CBD-8B8E-CF6AA41CF515}"/>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741" name="Text Box 2">
          <a:extLst>
            <a:ext uri="{FF2B5EF4-FFF2-40B4-BE49-F238E27FC236}">
              <a16:creationId xmlns:a16="http://schemas.microsoft.com/office/drawing/2014/main" id="{3B97BB42-1D51-4B0E-8976-40D5A33C835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42" name="Text Box 1">
          <a:extLst>
            <a:ext uri="{FF2B5EF4-FFF2-40B4-BE49-F238E27FC236}">
              <a16:creationId xmlns:a16="http://schemas.microsoft.com/office/drawing/2014/main" id="{71AA147C-7E36-4966-976C-39276F581D6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43" name="Text Box 2">
          <a:extLst>
            <a:ext uri="{FF2B5EF4-FFF2-40B4-BE49-F238E27FC236}">
              <a16:creationId xmlns:a16="http://schemas.microsoft.com/office/drawing/2014/main" id="{43E8FA8E-42D0-49F3-9847-21C8042C086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44" name="Text Box 1">
          <a:extLst>
            <a:ext uri="{FF2B5EF4-FFF2-40B4-BE49-F238E27FC236}">
              <a16:creationId xmlns:a16="http://schemas.microsoft.com/office/drawing/2014/main" id="{A400C271-286C-403B-9BF3-EF771690FBA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45" name="Text Box 2">
          <a:extLst>
            <a:ext uri="{FF2B5EF4-FFF2-40B4-BE49-F238E27FC236}">
              <a16:creationId xmlns:a16="http://schemas.microsoft.com/office/drawing/2014/main" id="{2945EE24-2607-4A54-86C9-1D4F808B588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46" name="Text Box 1">
          <a:extLst>
            <a:ext uri="{FF2B5EF4-FFF2-40B4-BE49-F238E27FC236}">
              <a16:creationId xmlns:a16="http://schemas.microsoft.com/office/drawing/2014/main" id="{50E03AE3-B835-4032-BF47-CE78A65EA51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47" name="Text Box 2">
          <a:extLst>
            <a:ext uri="{FF2B5EF4-FFF2-40B4-BE49-F238E27FC236}">
              <a16:creationId xmlns:a16="http://schemas.microsoft.com/office/drawing/2014/main" id="{22C2FEB7-D9BD-4301-B90C-70A3C8F9543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48" name="Text Box 1">
          <a:extLst>
            <a:ext uri="{FF2B5EF4-FFF2-40B4-BE49-F238E27FC236}">
              <a16:creationId xmlns:a16="http://schemas.microsoft.com/office/drawing/2014/main" id="{7D5ACB77-F676-4A4E-AA58-36F6BE11ED2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49" name="Text Box 2">
          <a:extLst>
            <a:ext uri="{FF2B5EF4-FFF2-40B4-BE49-F238E27FC236}">
              <a16:creationId xmlns:a16="http://schemas.microsoft.com/office/drawing/2014/main" id="{2A5644E4-EFB1-49EC-96D5-6EA414F5DC3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50" name="Text Box 1">
          <a:extLst>
            <a:ext uri="{FF2B5EF4-FFF2-40B4-BE49-F238E27FC236}">
              <a16:creationId xmlns:a16="http://schemas.microsoft.com/office/drawing/2014/main" id="{26AA9501-97AF-462E-AEEF-E951456D308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51" name="Text Box 2">
          <a:extLst>
            <a:ext uri="{FF2B5EF4-FFF2-40B4-BE49-F238E27FC236}">
              <a16:creationId xmlns:a16="http://schemas.microsoft.com/office/drawing/2014/main" id="{FACDB49E-34A0-4020-8AB7-3EE9D4DC068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52" name="Text Box 1">
          <a:extLst>
            <a:ext uri="{FF2B5EF4-FFF2-40B4-BE49-F238E27FC236}">
              <a16:creationId xmlns:a16="http://schemas.microsoft.com/office/drawing/2014/main" id="{ABF0C5B9-EC02-44AE-899C-A6D740F509B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53" name="Text Box 2">
          <a:extLst>
            <a:ext uri="{FF2B5EF4-FFF2-40B4-BE49-F238E27FC236}">
              <a16:creationId xmlns:a16="http://schemas.microsoft.com/office/drawing/2014/main" id="{051E87C3-A8A3-45D5-B892-FB95B3D437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54" name="Text Box 1">
          <a:extLst>
            <a:ext uri="{FF2B5EF4-FFF2-40B4-BE49-F238E27FC236}">
              <a16:creationId xmlns:a16="http://schemas.microsoft.com/office/drawing/2014/main" id="{6C233D7B-1393-4805-92CE-9853AB11F9B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55" name="Text Box 2">
          <a:extLst>
            <a:ext uri="{FF2B5EF4-FFF2-40B4-BE49-F238E27FC236}">
              <a16:creationId xmlns:a16="http://schemas.microsoft.com/office/drawing/2014/main" id="{67CA1E19-B9A5-4CEE-B1BB-9954691639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56" name="Text Box 1">
          <a:extLst>
            <a:ext uri="{FF2B5EF4-FFF2-40B4-BE49-F238E27FC236}">
              <a16:creationId xmlns:a16="http://schemas.microsoft.com/office/drawing/2014/main" id="{4958D22C-6187-4FFF-9390-304D6E398A9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57" name="Text Box 2">
          <a:extLst>
            <a:ext uri="{FF2B5EF4-FFF2-40B4-BE49-F238E27FC236}">
              <a16:creationId xmlns:a16="http://schemas.microsoft.com/office/drawing/2014/main" id="{05B37F4A-510E-4A13-95CF-8E4AA89FADE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758" name="Text Box 2">
          <a:extLst>
            <a:ext uri="{FF2B5EF4-FFF2-40B4-BE49-F238E27FC236}">
              <a16:creationId xmlns:a16="http://schemas.microsoft.com/office/drawing/2014/main" id="{79BECB06-4655-4770-9440-D8350B7230CA}"/>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59" name="Text Box 1">
          <a:extLst>
            <a:ext uri="{FF2B5EF4-FFF2-40B4-BE49-F238E27FC236}">
              <a16:creationId xmlns:a16="http://schemas.microsoft.com/office/drawing/2014/main" id="{1D1240E3-228B-4289-BA8B-47A1BF3A657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60" name="Text Box 2">
          <a:extLst>
            <a:ext uri="{FF2B5EF4-FFF2-40B4-BE49-F238E27FC236}">
              <a16:creationId xmlns:a16="http://schemas.microsoft.com/office/drawing/2014/main" id="{881B45F4-14E0-422F-8059-A4D69D9D623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61" name="Text Box 1">
          <a:extLst>
            <a:ext uri="{FF2B5EF4-FFF2-40B4-BE49-F238E27FC236}">
              <a16:creationId xmlns:a16="http://schemas.microsoft.com/office/drawing/2014/main" id="{DD9EE17D-E575-40FF-B40D-833E6A62EBE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62" name="Text Box 2">
          <a:extLst>
            <a:ext uri="{FF2B5EF4-FFF2-40B4-BE49-F238E27FC236}">
              <a16:creationId xmlns:a16="http://schemas.microsoft.com/office/drawing/2014/main" id="{E5FC490A-9A2A-401C-B0B6-CF9DF2CADE1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763" name="Text Box 1">
          <a:extLst>
            <a:ext uri="{FF2B5EF4-FFF2-40B4-BE49-F238E27FC236}">
              <a16:creationId xmlns:a16="http://schemas.microsoft.com/office/drawing/2014/main" id="{B2528A0C-7770-4864-A7AB-FCA249874F88}"/>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764" name="Text Box 2">
          <a:extLst>
            <a:ext uri="{FF2B5EF4-FFF2-40B4-BE49-F238E27FC236}">
              <a16:creationId xmlns:a16="http://schemas.microsoft.com/office/drawing/2014/main" id="{4D207F08-1F9F-4168-B3E9-242A2025189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65" name="Text Box 1">
          <a:extLst>
            <a:ext uri="{FF2B5EF4-FFF2-40B4-BE49-F238E27FC236}">
              <a16:creationId xmlns:a16="http://schemas.microsoft.com/office/drawing/2014/main" id="{7DFDB0E8-D12B-4CB8-A080-715ED82ACA6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66" name="Text Box 2">
          <a:extLst>
            <a:ext uri="{FF2B5EF4-FFF2-40B4-BE49-F238E27FC236}">
              <a16:creationId xmlns:a16="http://schemas.microsoft.com/office/drawing/2014/main" id="{9B0C5F87-20AE-4158-ACE2-CAB8C5682AF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767" name="Text Box 2">
          <a:extLst>
            <a:ext uri="{FF2B5EF4-FFF2-40B4-BE49-F238E27FC236}">
              <a16:creationId xmlns:a16="http://schemas.microsoft.com/office/drawing/2014/main" id="{97B042C6-BEB1-4FA0-AC01-142EC9334D78}"/>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68" name="Text Box 1">
          <a:extLst>
            <a:ext uri="{FF2B5EF4-FFF2-40B4-BE49-F238E27FC236}">
              <a16:creationId xmlns:a16="http://schemas.microsoft.com/office/drawing/2014/main" id="{AC386441-5026-4785-B68D-6E58F86F29A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69" name="Text Box 2">
          <a:extLst>
            <a:ext uri="{FF2B5EF4-FFF2-40B4-BE49-F238E27FC236}">
              <a16:creationId xmlns:a16="http://schemas.microsoft.com/office/drawing/2014/main" id="{90FE5285-932B-4F6C-A828-368C09AEF85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770" name="Text Box 2">
          <a:extLst>
            <a:ext uri="{FF2B5EF4-FFF2-40B4-BE49-F238E27FC236}">
              <a16:creationId xmlns:a16="http://schemas.microsoft.com/office/drawing/2014/main" id="{5660CD3F-AD0A-4EA3-B515-ECDAF7CD8078}"/>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71" name="Text Box 1">
          <a:extLst>
            <a:ext uri="{FF2B5EF4-FFF2-40B4-BE49-F238E27FC236}">
              <a16:creationId xmlns:a16="http://schemas.microsoft.com/office/drawing/2014/main" id="{1D8E881D-55BC-4121-89A9-6771384FE69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72" name="Text Box 2">
          <a:extLst>
            <a:ext uri="{FF2B5EF4-FFF2-40B4-BE49-F238E27FC236}">
              <a16:creationId xmlns:a16="http://schemas.microsoft.com/office/drawing/2014/main" id="{891C3B68-8EBC-45F6-B4AE-D594CFF2F30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773" name="Text Box 2">
          <a:extLst>
            <a:ext uri="{FF2B5EF4-FFF2-40B4-BE49-F238E27FC236}">
              <a16:creationId xmlns:a16="http://schemas.microsoft.com/office/drawing/2014/main" id="{4D5DF022-C66E-4618-8442-7B308AAF6CA2}"/>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74" name="Text Box 1">
          <a:extLst>
            <a:ext uri="{FF2B5EF4-FFF2-40B4-BE49-F238E27FC236}">
              <a16:creationId xmlns:a16="http://schemas.microsoft.com/office/drawing/2014/main" id="{610701CD-6911-4976-AE8C-CF971CFED15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75" name="Text Box 2">
          <a:extLst>
            <a:ext uri="{FF2B5EF4-FFF2-40B4-BE49-F238E27FC236}">
              <a16:creationId xmlns:a16="http://schemas.microsoft.com/office/drawing/2014/main" id="{CBB00AFA-CD58-48D1-B8D4-83042E99D8E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776" name="Text Box 2">
          <a:extLst>
            <a:ext uri="{FF2B5EF4-FFF2-40B4-BE49-F238E27FC236}">
              <a16:creationId xmlns:a16="http://schemas.microsoft.com/office/drawing/2014/main" id="{236B145E-B4AD-4E33-B363-32EF14929F98}"/>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77" name="Text Box 1">
          <a:extLst>
            <a:ext uri="{FF2B5EF4-FFF2-40B4-BE49-F238E27FC236}">
              <a16:creationId xmlns:a16="http://schemas.microsoft.com/office/drawing/2014/main" id="{93954BC4-09EF-4B07-93D8-33ECD7B496F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78" name="Text Box 2">
          <a:extLst>
            <a:ext uri="{FF2B5EF4-FFF2-40B4-BE49-F238E27FC236}">
              <a16:creationId xmlns:a16="http://schemas.microsoft.com/office/drawing/2014/main" id="{1FF24CA7-A017-4E4E-BE69-CA989D9D86B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779" name="Text Box 2">
          <a:extLst>
            <a:ext uri="{FF2B5EF4-FFF2-40B4-BE49-F238E27FC236}">
              <a16:creationId xmlns:a16="http://schemas.microsoft.com/office/drawing/2014/main" id="{5A0441F0-17B7-4C04-B12F-646089A07293}"/>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80" name="Text Box 1">
          <a:extLst>
            <a:ext uri="{FF2B5EF4-FFF2-40B4-BE49-F238E27FC236}">
              <a16:creationId xmlns:a16="http://schemas.microsoft.com/office/drawing/2014/main" id="{2FD5920F-849D-4945-834D-C2CBBEC1B31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81" name="Text Box 2">
          <a:extLst>
            <a:ext uri="{FF2B5EF4-FFF2-40B4-BE49-F238E27FC236}">
              <a16:creationId xmlns:a16="http://schemas.microsoft.com/office/drawing/2014/main" id="{29AD2ED5-B9A1-401A-937D-05A6EAA27D3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782" name="Text Box 2">
          <a:extLst>
            <a:ext uri="{FF2B5EF4-FFF2-40B4-BE49-F238E27FC236}">
              <a16:creationId xmlns:a16="http://schemas.microsoft.com/office/drawing/2014/main" id="{4024EBE9-E49E-444B-88DD-12139768D5B9}"/>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83" name="Text Box 1">
          <a:extLst>
            <a:ext uri="{FF2B5EF4-FFF2-40B4-BE49-F238E27FC236}">
              <a16:creationId xmlns:a16="http://schemas.microsoft.com/office/drawing/2014/main" id="{329266E9-37B9-4895-8524-3E5BDC0DA57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84" name="Text Box 2">
          <a:extLst>
            <a:ext uri="{FF2B5EF4-FFF2-40B4-BE49-F238E27FC236}">
              <a16:creationId xmlns:a16="http://schemas.microsoft.com/office/drawing/2014/main" id="{D38DD1A5-E7F4-4203-9423-8FE3DC08635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85" name="Text Box 1">
          <a:extLst>
            <a:ext uri="{FF2B5EF4-FFF2-40B4-BE49-F238E27FC236}">
              <a16:creationId xmlns:a16="http://schemas.microsoft.com/office/drawing/2014/main" id="{326F7301-0ED0-4171-9729-EDEAC6048E3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86" name="Text Box 2">
          <a:extLst>
            <a:ext uri="{FF2B5EF4-FFF2-40B4-BE49-F238E27FC236}">
              <a16:creationId xmlns:a16="http://schemas.microsoft.com/office/drawing/2014/main" id="{2D9271E3-073C-4F48-9D61-18FA0B1F547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87" name="Text Box 1">
          <a:extLst>
            <a:ext uri="{FF2B5EF4-FFF2-40B4-BE49-F238E27FC236}">
              <a16:creationId xmlns:a16="http://schemas.microsoft.com/office/drawing/2014/main" id="{2D911E12-8AE0-4BBA-AA09-5AFFDEC0961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88" name="Text Box 2">
          <a:extLst>
            <a:ext uri="{FF2B5EF4-FFF2-40B4-BE49-F238E27FC236}">
              <a16:creationId xmlns:a16="http://schemas.microsoft.com/office/drawing/2014/main" id="{CD066F6C-25A2-4B90-AE9E-D64F860D634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789" name="Text Box 1">
          <a:extLst>
            <a:ext uri="{FF2B5EF4-FFF2-40B4-BE49-F238E27FC236}">
              <a16:creationId xmlns:a16="http://schemas.microsoft.com/office/drawing/2014/main" id="{DF33AEBA-E727-4A77-A9B3-C26BB41827D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790" name="Text Box 2">
          <a:extLst>
            <a:ext uri="{FF2B5EF4-FFF2-40B4-BE49-F238E27FC236}">
              <a16:creationId xmlns:a16="http://schemas.microsoft.com/office/drawing/2014/main" id="{4B63A23F-FE70-4E92-B520-B3F28C415848}"/>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91" name="Text Box 1">
          <a:extLst>
            <a:ext uri="{FF2B5EF4-FFF2-40B4-BE49-F238E27FC236}">
              <a16:creationId xmlns:a16="http://schemas.microsoft.com/office/drawing/2014/main" id="{0F4095E5-747F-4A97-BCDC-961A2F9C556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92" name="Text Box 2">
          <a:extLst>
            <a:ext uri="{FF2B5EF4-FFF2-40B4-BE49-F238E27FC236}">
              <a16:creationId xmlns:a16="http://schemas.microsoft.com/office/drawing/2014/main" id="{5B68F20E-26CC-4DDB-A820-2E4EF8E2F06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793" name="Text Box 1">
          <a:extLst>
            <a:ext uri="{FF2B5EF4-FFF2-40B4-BE49-F238E27FC236}">
              <a16:creationId xmlns:a16="http://schemas.microsoft.com/office/drawing/2014/main" id="{A36BCACA-4559-4ED0-AC3A-0F8B7D6B9C9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794" name="Text Box 2">
          <a:extLst>
            <a:ext uri="{FF2B5EF4-FFF2-40B4-BE49-F238E27FC236}">
              <a16:creationId xmlns:a16="http://schemas.microsoft.com/office/drawing/2014/main" id="{2AFB4AC0-F0B6-4215-91AA-901815472F9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95" name="Text Box 1">
          <a:extLst>
            <a:ext uri="{FF2B5EF4-FFF2-40B4-BE49-F238E27FC236}">
              <a16:creationId xmlns:a16="http://schemas.microsoft.com/office/drawing/2014/main" id="{6533D4D0-8495-4578-AFD9-AC83440BB82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96" name="Text Box 2">
          <a:extLst>
            <a:ext uri="{FF2B5EF4-FFF2-40B4-BE49-F238E27FC236}">
              <a16:creationId xmlns:a16="http://schemas.microsoft.com/office/drawing/2014/main" id="{020A86CC-99D6-485E-BB22-FCEF84B2D2A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97" name="Text Box 1">
          <a:extLst>
            <a:ext uri="{FF2B5EF4-FFF2-40B4-BE49-F238E27FC236}">
              <a16:creationId xmlns:a16="http://schemas.microsoft.com/office/drawing/2014/main" id="{5A0F305E-E637-4229-925F-84498587206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98" name="Text Box 2">
          <a:extLst>
            <a:ext uri="{FF2B5EF4-FFF2-40B4-BE49-F238E27FC236}">
              <a16:creationId xmlns:a16="http://schemas.microsoft.com/office/drawing/2014/main" id="{32B47AD0-82A0-4EFA-81BC-0E7AD03DA9E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799" name="Text Box 1">
          <a:extLst>
            <a:ext uri="{FF2B5EF4-FFF2-40B4-BE49-F238E27FC236}">
              <a16:creationId xmlns:a16="http://schemas.microsoft.com/office/drawing/2014/main" id="{877EE45A-BD63-4AA0-845C-7D6B6FC0CA8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800" name="Text Box 2">
          <a:extLst>
            <a:ext uri="{FF2B5EF4-FFF2-40B4-BE49-F238E27FC236}">
              <a16:creationId xmlns:a16="http://schemas.microsoft.com/office/drawing/2014/main" id="{3AF2B922-DDEC-44CF-87C8-13E49EF04E9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01" name="Text Box 2">
          <a:extLst>
            <a:ext uri="{FF2B5EF4-FFF2-40B4-BE49-F238E27FC236}">
              <a16:creationId xmlns:a16="http://schemas.microsoft.com/office/drawing/2014/main" id="{D92AC27D-A7DD-4776-BACE-81711338E8D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02" name="Text Box 1">
          <a:extLst>
            <a:ext uri="{FF2B5EF4-FFF2-40B4-BE49-F238E27FC236}">
              <a16:creationId xmlns:a16="http://schemas.microsoft.com/office/drawing/2014/main" id="{D634BA12-9C2C-4034-904E-039462B6749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03" name="Text Box 2">
          <a:extLst>
            <a:ext uri="{FF2B5EF4-FFF2-40B4-BE49-F238E27FC236}">
              <a16:creationId xmlns:a16="http://schemas.microsoft.com/office/drawing/2014/main" id="{6C870B33-9B83-47A0-B54F-94759E51605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04" name="Text Box 1">
          <a:extLst>
            <a:ext uri="{FF2B5EF4-FFF2-40B4-BE49-F238E27FC236}">
              <a16:creationId xmlns:a16="http://schemas.microsoft.com/office/drawing/2014/main" id="{0FBC99D3-6A90-4FCB-A828-E689614432A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05" name="Text Box 2">
          <a:extLst>
            <a:ext uri="{FF2B5EF4-FFF2-40B4-BE49-F238E27FC236}">
              <a16:creationId xmlns:a16="http://schemas.microsoft.com/office/drawing/2014/main" id="{EFC66C53-0542-4211-9300-C2B619DCDCA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806" name="Text Box 1">
          <a:extLst>
            <a:ext uri="{FF2B5EF4-FFF2-40B4-BE49-F238E27FC236}">
              <a16:creationId xmlns:a16="http://schemas.microsoft.com/office/drawing/2014/main" id="{8CE59611-BE7B-435C-AF0C-F77B3BCF8BF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807" name="Text Box 2">
          <a:extLst>
            <a:ext uri="{FF2B5EF4-FFF2-40B4-BE49-F238E27FC236}">
              <a16:creationId xmlns:a16="http://schemas.microsoft.com/office/drawing/2014/main" id="{28A8DDA2-5A6D-44F2-A489-8FAB2DFC0E3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08" name="Text Box 1">
          <a:extLst>
            <a:ext uri="{FF2B5EF4-FFF2-40B4-BE49-F238E27FC236}">
              <a16:creationId xmlns:a16="http://schemas.microsoft.com/office/drawing/2014/main" id="{5D92FA04-6B9E-48E6-A8C7-66EA6F5159E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09" name="Text Box 2">
          <a:extLst>
            <a:ext uri="{FF2B5EF4-FFF2-40B4-BE49-F238E27FC236}">
              <a16:creationId xmlns:a16="http://schemas.microsoft.com/office/drawing/2014/main" id="{83932F02-0044-4024-890D-5A9B58FBD4E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10" name="Text Box 2">
          <a:extLst>
            <a:ext uri="{FF2B5EF4-FFF2-40B4-BE49-F238E27FC236}">
              <a16:creationId xmlns:a16="http://schemas.microsoft.com/office/drawing/2014/main" id="{64044CFC-950C-4BCA-AB09-11149ADAA18E}"/>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11" name="Text Box 1">
          <a:extLst>
            <a:ext uri="{FF2B5EF4-FFF2-40B4-BE49-F238E27FC236}">
              <a16:creationId xmlns:a16="http://schemas.microsoft.com/office/drawing/2014/main" id="{E1C69FB6-78FF-49A7-93F2-12BE67A2685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12" name="Text Box 2">
          <a:extLst>
            <a:ext uri="{FF2B5EF4-FFF2-40B4-BE49-F238E27FC236}">
              <a16:creationId xmlns:a16="http://schemas.microsoft.com/office/drawing/2014/main" id="{FACCFBE9-4ED5-4D3A-A753-69EF9F77C1F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13" name="Text Box 2">
          <a:extLst>
            <a:ext uri="{FF2B5EF4-FFF2-40B4-BE49-F238E27FC236}">
              <a16:creationId xmlns:a16="http://schemas.microsoft.com/office/drawing/2014/main" id="{5D569389-8919-446E-B649-947587385A31}"/>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14" name="Text Box 1">
          <a:extLst>
            <a:ext uri="{FF2B5EF4-FFF2-40B4-BE49-F238E27FC236}">
              <a16:creationId xmlns:a16="http://schemas.microsoft.com/office/drawing/2014/main" id="{CB91478E-686C-4D7A-820C-294B9E34740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15" name="Text Box 2">
          <a:extLst>
            <a:ext uri="{FF2B5EF4-FFF2-40B4-BE49-F238E27FC236}">
              <a16:creationId xmlns:a16="http://schemas.microsoft.com/office/drawing/2014/main" id="{441957E0-7AC1-4416-8826-B947CD3F881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16" name="Text Box 2">
          <a:extLst>
            <a:ext uri="{FF2B5EF4-FFF2-40B4-BE49-F238E27FC236}">
              <a16:creationId xmlns:a16="http://schemas.microsoft.com/office/drawing/2014/main" id="{D60E1BBA-47BD-4B0E-B20B-0692F8C0D882}"/>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17" name="Text Box 1">
          <a:extLst>
            <a:ext uri="{FF2B5EF4-FFF2-40B4-BE49-F238E27FC236}">
              <a16:creationId xmlns:a16="http://schemas.microsoft.com/office/drawing/2014/main" id="{8CD222B1-5221-40EA-BF98-B02D0BE3605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18" name="Text Box 2">
          <a:extLst>
            <a:ext uri="{FF2B5EF4-FFF2-40B4-BE49-F238E27FC236}">
              <a16:creationId xmlns:a16="http://schemas.microsoft.com/office/drawing/2014/main" id="{63004285-3F7A-4C42-B306-1503D1A2BB3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19" name="Text Box 2">
          <a:extLst>
            <a:ext uri="{FF2B5EF4-FFF2-40B4-BE49-F238E27FC236}">
              <a16:creationId xmlns:a16="http://schemas.microsoft.com/office/drawing/2014/main" id="{80960894-A946-45CB-A1E9-E0536F4BD4AD}"/>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20" name="Text Box 1">
          <a:extLst>
            <a:ext uri="{FF2B5EF4-FFF2-40B4-BE49-F238E27FC236}">
              <a16:creationId xmlns:a16="http://schemas.microsoft.com/office/drawing/2014/main" id="{DF1655AA-25AC-4704-B901-076B6EE97D8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21" name="Text Box 2">
          <a:extLst>
            <a:ext uri="{FF2B5EF4-FFF2-40B4-BE49-F238E27FC236}">
              <a16:creationId xmlns:a16="http://schemas.microsoft.com/office/drawing/2014/main" id="{305BDC34-0DD5-4E04-87CB-1DE69F7F3F7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22" name="Text Box 2">
          <a:extLst>
            <a:ext uri="{FF2B5EF4-FFF2-40B4-BE49-F238E27FC236}">
              <a16:creationId xmlns:a16="http://schemas.microsoft.com/office/drawing/2014/main" id="{CDA4BDB1-8F18-487E-BA5D-ED13FCFE5239}"/>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23" name="Text Box 1">
          <a:extLst>
            <a:ext uri="{FF2B5EF4-FFF2-40B4-BE49-F238E27FC236}">
              <a16:creationId xmlns:a16="http://schemas.microsoft.com/office/drawing/2014/main" id="{C05B0E03-562A-4A46-9348-6970921330A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24" name="Text Box 2">
          <a:extLst>
            <a:ext uri="{FF2B5EF4-FFF2-40B4-BE49-F238E27FC236}">
              <a16:creationId xmlns:a16="http://schemas.microsoft.com/office/drawing/2014/main" id="{824E1A6A-F29C-4B8F-BBA7-58D6EC14677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25" name="Text Box 2">
          <a:extLst>
            <a:ext uri="{FF2B5EF4-FFF2-40B4-BE49-F238E27FC236}">
              <a16:creationId xmlns:a16="http://schemas.microsoft.com/office/drawing/2014/main" id="{5B7A1630-03A2-4828-9FD3-1835FF3D01CA}"/>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26" name="Text Box 1">
          <a:extLst>
            <a:ext uri="{FF2B5EF4-FFF2-40B4-BE49-F238E27FC236}">
              <a16:creationId xmlns:a16="http://schemas.microsoft.com/office/drawing/2014/main" id="{61599500-32EB-4E69-AC1F-88F849223E8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27" name="Text Box 2">
          <a:extLst>
            <a:ext uri="{FF2B5EF4-FFF2-40B4-BE49-F238E27FC236}">
              <a16:creationId xmlns:a16="http://schemas.microsoft.com/office/drawing/2014/main" id="{3BE64D13-120A-47DA-A699-EA7E8F23EBD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28" name="Text Box 1">
          <a:extLst>
            <a:ext uri="{FF2B5EF4-FFF2-40B4-BE49-F238E27FC236}">
              <a16:creationId xmlns:a16="http://schemas.microsoft.com/office/drawing/2014/main" id="{7C0B2DA1-B89E-4647-9053-F587C36D2A6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29" name="Text Box 2">
          <a:extLst>
            <a:ext uri="{FF2B5EF4-FFF2-40B4-BE49-F238E27FC236}">
              <a16:creationId xmlns:a16="http://schemas.microsoft.com/office/drawing/2014/main" id="{94C52B6C-7B13-4032-B91E-8F383ADE69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30" name="Text Box 1">
          <a:extLst>
            <a:ext uri="{FF2B5EF4-FFF2-40B4-BE49-F238E27FC236}">
              <a16:creationId xmlns:a16="http://schemas.microsoft.com/office/drawing/2014/main" id="{9CE56E66-5A65-40EE-A712-9CBE867C644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31" name="Text Box 2">
          <a:extLst>
            <a:ext uri="{FF2B5EF4-FFF2-40B4-BE49-F238E27FC236}">
              <a16:creationId xmlns:a16="http://schemas.microsoft.com/office/drawing/2014/main" id="{65D79F40-D0BA-4EAA-86E9-2D092BFF829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832" name="Text Box 1">
          <a:extLst>
            <a:ext uri="{FF2B5EF4-FFF2-40B4-BE49-F238E27FC236}">
              <a16:creationId xmlns:a16="http://schemas.microsoft.com/office/drawing/2014/main" id="{D74303B4-803D-4EAD-B880-30D47E01591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833" name="Text Box 2">
          <a:extLst>
            <a:ext uri="{FF2B5EF4-FFF2-40B4-BE49-F238E27FC236}">
              <a16:creationId xmlns:a16="http://schemas.microsoft.com/office/drawing/2014/main" id="{E3E6AE15-5766-4D9D-B054-5D0D4B6D06B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34" name="Text Box 1">
          <a:extLst>
            <a:ext uri="{FF2B5EF4-FFF2-40B4-BE49-F238E27FC236}">
              <a16:creationId xmlns:a16="http://schemas.microsoft.com/office/drawing/2014/main" id="{B37E8F52-25CA-4CBB-AA06-B1DB6D3D8F4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35" name="Text Box 2">
          <a:extLst>
            <a:ext uri="{FF2B5EF4-FFF2-40B4-BE49-F238E27FC236}">
              <a16:creationId xmlns:a16="http://schemas.microsoft.com/office/drawing/2014/main" id="{6C690A17-6A1B-4598-9544-DBBC364F478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836" name="Text Box 1">
          <a:extLst>
            <a:ext uri="{FF2B5EF4-FFF2-40B4-BE49-F238E27FC236}">
              <a16:creationId xmlns:a16="http://schemas.microsoft.com/office/drawing/2014/main" id="{89C5E16D-69D4-46B8-BD43-0DC48BB7C9E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837" name="Text Box 2">
          <a:extLst>
            <a:ext uri="{FF2B5EF4-FFF2-40B4-BE49-F238E27FC236}">
              <a16:creationId xmlns:a16="http://schemas.microsoft.com/office/drawing/2014/main" id="{2605E69A-8C03-4687-95E7-1BDD72C6161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38" name="Text Box 1">
          <a:extLst>
            <a:ext uri="{FF2B5EF4-FFF2-40B4-BE49-F238E27FC236}">
              <a16:creationId xmlns:a16="http://schemas.microsoft.com/office/drawing/2014/main" id="{12050D9E-067B-4ABE-BC86-E4E24558AF2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39" name="Text Box 2">
          <a:extLst>
            <a:ext uri="{FF2B5EF4-FFF2-40B4-BE49-F238E27FC236}">
              <a16:creationId xmlns:a16="http://schemas.microsoft.com/office/drawing/2014/main" id="{6E9CEF18-1A4C-4CF3-8344-9AF5E51DB02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40" name="Text Box 1">
          <a:extLst>
            <a:ext uri="{FF2B5EF4-FFF2-40B4-BE49-F238E27FC236}">
              <a16:creationId xmlns:a16="http://schemas.microsoft.com/office/drawing/2014/main" id="{40A933CC-9E64-4474-A9EB-A19E09565DD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41" name="Text Box 2">
          <a:extLst>
            <a:ext uri="{FF2B5EF4-FFF2-40B4-BE49-F238E27FC236}">
              <a16:creationId xmlns:a16="http://schemas.microsoft.com/office/drawing/2014/main" id="{BCF862F0-CAE2-4A4C-96D9-150509001C6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842" name="Text Box 1">
          <a:extLst>
            <a:ext uri="{FF2B5EF4-FFF2-40B4-BE49-F238E27FC236}">
              <a16:creationId xmlns:a16="http://schemas.microsoft.com/office/drawing/2014/main" id="{FE633F4A-22A1-48EA-8240-B304EBF9F08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843" name="Text Box 2">
          <a:extLst>
            <a:ext uri="{FF2B5EF4-FFF2-40B4-BE49-F238E27FC236}">
              <a16:creationId xmlns:a16="http://schemas.microsoft.com/office/drawing/2014/main" id="{DE60AC1E-AD41-4EB6-B81E-B8E8793E7A3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44" name="Text Box 1">
          <a:extLst>
            <a:ext uri="{FF2B5EF4-FFF2-40B4-BE49-F238E27FC236}">
              <a16:creationId xmlns:a16="http://schemas.microsoft.com/office/drawing/2014/main" id="{DDC72FD6-9957-47DD-9343-1CC59B411F2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45" name="Text Box 2">
          <a:extLst>
            <a:ext uri="{FF2B5EF4-FFF2-40B4-BE49-F238E27FC236}">
              <a16:creationId xmlns:a16="http://schemas.microsoft.com/office/drawing/2014/main" id="{A0B94E86-A527-4AC5-ADE1-92E2259A168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46" name="Text Box 2">
          <a:extLst>
            <a:ext uri="{FF2B5EF4-FFF2-40B4-BE49-F238E27FC236}">
              <a16:creationId xmlns:a16="http://schemas.microsoft.com/office/drawing/2014/main" id="{FB0049E0-6B9A-4F48-9BAA-4FD07BC3168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847" name="Text Box 1">
          <a:extLst>
            <a:ext uri="{FF2B5EF4-FFF2-40B4-BE49-F238E27FC236}">
              <a16:creationId xmlns:a16="http://schemas.microsoft.com/office/drawing/2014/main" id="{483295C4-951E-40F9-B7F5-1F87375122B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848" name="Text Box 2">
          <a:extLst>
            <a:ext uri="{FF2B5EF4-FFF2-40B4-BE49-F238E27FC236}">
              <a16:creationId xmlns:a16="http://schemas.microsoft.com/office/drawing/2014/main" id="{E6005A31-A061-418D-8CB6-B35E088E4066}"/>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49" name="Text Box 1">
          <a:extLst>
            <a:ext uri="{FF2B5EF4-FFF2-40B4-BE49-F238E27FC236}">
              <a16:creationId xmlns:a16="http://schemas.microsoft.com/office/drawing/2014/main" id="{F62E5260-CEA8-42C3-944D-5C4F5206C2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50" name="Text Box 2">
          <a:extLst>
            <a:ext uri="{FF2B5EF4-FFF2-40B4-BE49-F238E27FC236}">
              <a16:creationId xmlns:a16="http://schemas.microsoft.com/office/drawing/2014/main" id="{63800392-428F-423A-9F7A-C0F81810027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851" name="Text Box 1">
          <a:extLst>
            <a:ext uri="{FF2B5EF4-FFF2-40B4-BE49-F238E27FC236}">
              <a16:creationId xmlns:a16="http://schemas.microsoft.com/office/drawing/2014/main" id="{EAEDBC74-E3B9-4767-A8AB-0726EEE5968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852" name="Text Box 2">
          <a:extLst>
            <a:ext uri="{FF2B5EF4-FFF2-40B4-BE49-F238E27FC236}">
              <a16:creationId xmlns:a16="http://schemas.microsoft.com/office/drawing/2014/main" id="{9A98C63B-C3E4-410D-B97A-47254A57DE7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853" name="Text Box 1">
          <a:extLst>
            <a:ext uri="{FF2B5EF4-FFF2-40B4-BE49-F238E27FC236}">
              <a16:creationId xmlns:a16="http://schemas.microsoft.com/office/drawing/2014/main" id="{8978F3AF-256F-4876-9401-F142F552AD4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854" name="Text Box 2">
          <a:extLst>
            <a:ext uri="{FF2B5EF4-FFF2-40B4-BE49-F238E27FC236}">
              <a16:creationId xmlns:a16="http://schemas.microsoft.com/office/drawing/2014/main" id="{C13D3F32-65F7-4382-8232-4E83C9FB0D5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55" name="Text Box 1">
          <a:extLst>
            <a:ext uri="{FF2B5EF4-FFF2-40B4-BE49-F238E27FC236}">
              <a16:creationId xmlns:a16="http://schemas.microsoft.com/office/drawing/2014/main" id="{25B03591-32FA-4169-B9AC-EE19AF7967A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56" name="Text Box 2">
          <a:extLst>
            <a:ext uri="{FF2B5EF4-FFF2-40B4-BE49-F238E27FC236}">
              <a16:creationId xmlns:a16="http://schemas.microsoft.com/office/drawing/2014/main" id="{C634375D-83C7-45A6-B186-F7CB9DEB499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857" name="Text Box 1">
          <a:extLst>
            <a:ext uri="{FF2B5EF4-FFF2-40B4-BE49-F238E27FC236}">
              <a16:creationId xmlns:a16="http://schemas.microsoft.com/office/drawing/2014/main" id="{CCC5A042-2B32-4135-AE8B-EEC19910C30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858" name="Text Box 2">
          <a:extLst>
            <a:ext uri="{FF2B5EF4-FFF2-40B4-BE49-F238E27FC236}">
              <a16:creationId xmlns:a16="http://schemas.microsoft.com/office/drawing/2014/main" id="{90FD9A4C-C4A9-4DA8-906E-ADC4332E32D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859" name="Text Box 1">
          <a:extLst>
            <a:ext uri="{FF2B5EF4-FFF2-40B4-BE49-F238E27FC236}">
              <a16:creationId xmlns:a16="http://schemas.microsoft.com/office/drawing/2014/main" id="{5B4EB272-2515-46A9-B1BE-A5F151A38A0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860" name="Text Box 2">
          <a:extLst>
            <a:ext uri="{FF2B5EF4-FFF2-40B4-BE49-F238E27FC236}">
              <a16:creationId xmlns:a16="http://schemas.microsoft.com/office/drawing/2014/main" id="{7D3DFC9E-2ED1-432D-B573-9376E9374B8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61" name="Text Box 1">
          <a:extLst>
            <a:ext uri="{FF2B5EF4-FFF2-40B4-BE49-F238E27FC236}">
              <a16:creationId xmlns:a16="http://schemas.microsoft.com/office/drawing/2014/main" id="{52318F89-3C73-445A-8C4D-52303537A27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62" name="Text Box 2">
          <a:extLst>
            <a:ext uri="{FF2B5EF4-FFF2-40B4-BE49-F238E27FC236}">
              <a16:creationId xmlns:a16="http://schemas.microsoft.com/office/drawing/2014/main" id="{075D6EC1-0F59-4CCD-A80B-05C2CBB3989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863" name="Text Box 1">
          <a:extLst>
            <a:ext uri="{FF2B5EF4-FFF2-40B4-BE49-F238E27FC236}">
              <a16:creationId xmlns:a16="http://schemas.microsoft.com/office/drawing/2014/main" id="{89ED3DCE-3A61-4A9A-8C99-A4522174D2E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864" name="Text Box 2">
          <a:extLst>
            <a:ext uri="{FF2B5EF4-FFF2-40B4-BE49-F238E27FC236}">
              <a16:creationId xmlns:a16="http://schemas.microsoft.com/office/drawing/2014/main" id="{E804C532-D973-411A-A8EA-CD000C7CDE7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865" name="Text Box 1">
          <a:extLst>
            <a:ext uri="{FF2B5EF4-FFF2-40B4-BE49-F238E27FC236}">
              <a16:creationId xmlns:a16="http://schemas.microsoft.com/office/drawing/2014/main" id="{91C25E8A-9444-453D-9574-3F59515151F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866" name="Text Box 2">
          <a:extLst>
            <a:ext uri="{FF2B5EF4-FFF2-40B4-BE49-F238E27FC236}">
              <a16:creationId xmlns:a16="http://schemas.microsoft.com/office/drawing/2014/main" id="{AC72FCB0-1DDC-41AE-AC89-8151F508A56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67" name="Text Box 1">
          <a:extLst>
            <a:ext uri="{FF2B5EF4-FFF2-40B4-BE49-F238E27FC236}">
              <a16:creationId xmlns:a16="http://schemas.microsoft.com/office/drawing/2014/main" id="{5B120845-251A-4BA5-8D8A-87045093274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68" name="Text Box 2">
          <a:extLst>
            <a:ext uri="{FF2B5EF4-FFF2-40B4-BE49-F238E27FC236}">
              <a16:creationId xmlns:a16="http://schemas.microsoft.com/office/drawing/2014/main" id="{93A0A6C6-E019-49FF-8156-DBD559CC5CB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69" name="Text Box 2">
          <a:extLst>
            <a:ext uri="{FF2B5EF4-FFF2-40B4-BE49-F238E27FC236}">
              <a16:creationId xmlns:a16="http://schemas.microsoft.com/office/drawing/2014/main" id="{AC13EC41-42DB-4D4F-A9F9-02E6E4804B6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70" name="Text Box 1">
          <a:extLst>
            <a:ext uri="{FF2B5EF4-FFF2-40B4-BE49-F238E27FC236}">
              <a16:creationId xmlns:a16="http://schemas.microsoft.com/office/drawing/2014/main" id="{5649FB0C-35C9-48ED-8588-30F8890804B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71" name="Text Box 2">
          <a:extLst>
            <a:ext uri="{FF2B5EF4-FFF2-40B4-BE49-F238E27FC236}">
              <a16:creationId xmlns:a16="http://schemas.microsoft.com/office/drawing/2014/main" id="{2C703E84-7110-4978-B83E-E58BEBBB347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72" name="Text Box 1">
          <a:extLst>
            <a:ext uri="{FF2B5EF4-FFF2-40B4-BE49-F238E27FC236}">
              <a16:creationId xmlns:a16="http://schemas.microsoft.com/office/drawing/2014/main" id="{B9D319BF-C3CC-4945-8C9E-299993BE55C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73" name="Text Box 2">
          <a:extLst>
            <a:ext uri="{FF2B5EF4-FFF2-40B4-BE49-F238E27FC236}">
              <a16:creationId xmlns:a16="http://schemas.microsoft.com/office/drawing/2014/main" id="{330C85B4-1D11-4766-82BA-3583A04A417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874" name="Text Box 1">
          <a:extLst>
            <a:ext uri="{FF2B5EF4-FFF2-40B4-BE49-F238E27FC236}">
              <a16:creationId xmlns:a16="http://schemas.microsoft.com/office/drawing/2014/main" id="{0D956FC1-77C1-4C20-B40F-0DC7C07F6BF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875" name="Text Box 2">
          <a:extLst>
            <a:ext uri="{FF2B5EF4-FFF2-40B4-BE49-F238E27FC236}">
              <a16:creationId xmlns:a16="http://schemas.microsoft.com/office/drawing/2014/main" id="{B178577E-C5CA-4D42-8543-61A2A209B1D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76" name="Text Box 1">
          <a:extLst>
            <a:ext uri="{FF2B5EF4-FFF2-40B4-BE49-F238E27FC236}">
              <a16:creationId xmlns:a16="http://schemas.microsoft.com/office/drawing/2014/main" id="{03527091-66F6-41A6-BBB2-FC3629FA6F1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77" name="Text Box 2">
          <a:extLst>
            <a:ext uri="{FF2B5EF4-FFF2-40B4-BE49-F238E27FC236}">
              <a16:creationId xmlns:a16="http://schemas.microsoft.com/office/drawing/2014/main" id="{20607B44-6EE2-44B1-962D-0706E3B5798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78" name="Text Box 2">
          <a:extLst>
            <a:ext uri="{FF2B5EF4-FFF2-40B4-BE49-F238E27FC236}">
              <a16:creationId xmlns:a16="http://schemas.microsoft.com/office/drawing/2014/main" id="{85A5972B-5715-4BA2-97F8-E2EE31A58734}"/>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79" name="Text Box 1">
          <a:extLst>
            <a:ext uri="{FF2B5EF4-FFF2-40B4-BE49-F238E27FC236}">
              <a16:creationId xmlns:a16="http://schemas.microsoft.com/office/drawing/2014/main" id="{0C0141E6-E9B2-4F54-8F31-6E14E004777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80" name="Text Box 2">
          <a:extLst>
            <a:ext uri="{FF2B5EF4-FFF2-40B4-BE49-F238E27FC236}">
              <a16:creationId xmlns:a16="http://schemas.microsoft.com/office/drawing/2014/main" id="{0DBAB861-9C52-4F0A-AE62-FA9CB89E653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81" name="Text Box 2">
          <a:extLst>
            <a:ext uri="{FF2B5EF4-FFF2-40B4-BE49-F238E27FC236}">
              <a16:creationId xmlns:a16="http://schemas.microsoft.com/office/drawing/2014/main" id="{C3761730-6DBD-4E2C-AAAC-1AB106837537}"/>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82" name="Text Box 1">
          <a:extLst>
            <a:ext uri="{FF2B5EF4-FFF2-40B4-BE49-F238E27FC236}">
              <a16:creationId xmlns:a16="http://schemas.microsoft.com/office/drawing/2014/main" id="{0AB6F17F-412B-4C78-8A48-FA9EBD600C5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83" name="Text Box 2">
          <a:extLst>
            <a:ext uri="{FF2B5EF4-FFF2-40B4-BE49-F238E27FC236}">
              <a16:creationId xmlns:a16="http://schemas.microsoft.com/office/drawing/2014/main" id="{E9B3C242-537D-4364-9D6B-639734A377A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84" name="Text Box 2">
          <a:extLst>
            <a:ext uri="{FF2B5EF4-FFF2-40B4-BE49-F238E27FC236}">
              <a16:creationId xmlns:a16="http://schemas.microsoft.com/office/drawing/2014/main" id="{969D1A74-BE70-47EA-A74E-B05D83D53EC4}"/>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85" name="Text Box 1">
          <a:extLst>
            <a:ext uri="{FF2B5EF4-FFF2-40B4-BE49-F238E27FC236}">
              <a16:creationId xmlns:a16="http://schemas.microsoft.com/office/drawing/2014/main" id="{1EE83468-22D5-4426-850C-C49BC98BC65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86" name="Text Box 2">
          <a:extLst>
            <a:ext uri="{FF2B5EF4-FFF2-40B4-BE49-F238E27FC236}">
              <a16:creationId xmlns:a16="http://schemas.microsoft.com/office/drawing/2014/main" id="{A932307C-BA96-4AC9-9DF5-0FF095C9122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87" name="Text Box 2">
          <a:extLst>
            <a:ext uri="{FF2B5EF4-FFF2-40B4-BE49-F238E27FC236}">
              <a16:creationId xmlns:a16="http://schemas.microsoft.com/office/drawing/2014/main" id="{7F41F8D3-A8EE-48D2-93E8-B0967D50A86D}"/>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88" name="Text Box 1">
          <a:extLst>
            <a:ext uri="{FF2B5EF4-FFF2-40B4-BE49-F238E27FC236}">
              <a16:creationId xmlns:a16="http://schemas.microsoft.com/office/drawing/2014/main" id="{AA731E56-3F9B-45D7-A211-532486422EC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89" name="Text Box 2">
          <a:extLst>
            <a:ext uri="{FF2B5EF4-FFF2-40B4-BE49-F238E27FC236}">
              <a16:creationId xmlns:a16="http://schemas.microsoft.com/office/drawing/2014/main" id="{439AAE3E-9FDB-4D8D-9E5F-7FDC442D2FC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90" name="Text Box 2">
          <a:extLst>
            <a:ext uri="{FF2B5EF4-FFF2-40B4-BE49-F238E27FC236}">
              <a16:creationId xmlns:a16="http://schemas.microsoft.com/office/drawing/2014/main" id="{35AE3034-9B30-49B9-9AAC-F934797A9377}"/>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91" name="Text Box 1">
          <a:extLst>
            <a:ext uri="{FF2B5EF4-FFF2-40B4-BE49-F238E27FC236}">
              <a16:creationId xmlns:a16="http://schemas.microsoft.com/office/drawing/2014/main" id="{D2DF4BA7-62F9-43F2-B3FD-E157F40543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92" name="Text Box 2">
          <a:extLst>
            <a:ext uri="{FF2B5EF4-FFF2-40B4-BE49-F238E27FC236}">
              <a16:creationId xmlns:a16="http://schemas.microsoft.com/office/drawing/2014/main" id="{D60ED59E-5ABA-4FD7-9782-A8E6694FC4E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93" name="Text Box 2">
          <a:extLst>
            <a:ext uri="{FF2B5EF4-FFF2-40B4-BE49-F238E27FC236}">
              <a16:creationId xmlns:a16="http://schemas.microsoft.com/office/drawing/2014/main" id="{58FA07B5-2B57-4FFF-BB4F-416654A1389F}"/>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94" name="Text Box 1">
          <a:extLst>
            <a:ext uri="{FF2B5EF4-FFF2-40B4-BE49-F238E27FC236}">
              <a16:creationId xmlns:a16="http://schemas.microsoft.com/office/drawing/2014/main" id="{36DA56B1-969A-4D3C-B393-9D755F4C02A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95" name="Text Box 2">
          <a:extLst>
            <a:ext uri="{FF2B5EF4-FFF2-40B4-BE49-F238E27FC236}">
              <a16:creationId xmlns:a16="http://schemas.microsoft.com/office/drawing/2014/main" id="{8D38B5FE-3118-44A4-A25C-3F65B7057DB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96" name="Text Box 1">
          <a:extLst>
            <a:ext uri="{FF2B5EF4-FFF2-40B4-BE49-F238E27FC236}">
              <a16:creationId xmlns:a16="http://schemas.microsoft.com/office/drawing/2014/main" id="{BA0E8E2C-C5DA-4266-9DEB-95B1C735083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97" name="Text Box 2">
          <a:extLst>
            <a:ext uri="{FF2B5EF4-FFF2-40B4-BE49-F238E27FC236}">
              <a16:creationId xmlns:a16="http://schemas.microsoft.com/office/drawing/2014/main" id="{EDD93C73-7E6C-4326-B3B3-3B0142E31DC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98" name="Text Box 1">
          <a:extLst>
            <a:ext uri="{FF2B5EF4-FFF2-40B4-BE49-F238E27FC236}">
              <a16:creationId xmlns:a16="http://schemas.microsoft.com/office/drawing/2014/main" id="{EF2B08EB-9520-4BBA-A0D5-C39CF322C6B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99" name="Text Box 2">
          <a:extLst>
            <a:ext uri="{FF2B5EF4-FFF2-40B4-BE49-F238E27FC236}">
              <a16:creationId xmlns:a16="http://schemas.microsoft.com/office/drawing/2014/main" id="{DC8D6CDB-39B3-4CD0-AA18-11888963A45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00" name="Text Box 1">
          <a:extLst>
            <a:ext uri="{FF2B5EF4-FFF2-40B4-BE49-F238E27FC236}">
              <a16:creationId xmlns:a16="http://schemas.microsoft.com/office/drawing/2014/main" id="{3BC0823C-DA4B-44E0-93C2-7CF160F0BBE0}"/>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01" name="Text Box 2">
          <a:extLst>
            <a:ext uri="{FF2B5EF4-FFF2-40B4-BE49-F238E27FC236}">
              <a16:creationId xmlns:a16="http://schemas.microsoft.com/office/drawing/2014/main" id="{70A89420-19AD-42DE-AD59-23CA7FAA0BE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02" name="Text Box 1">
          <a:extLst>
            <a:ext uri="{FF2B5EF4-FFF2-40B4-BE49-F238E27FC236}">
              <a16:creationId xmlns:a16="http://schemas.microsoft.com/office/drawing/2014/main" id="{BB15AFF2-71F7-4A7D-A4CE-A67D06C04E6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03" name="Text Box 2">
          <a:extLst>
            <a:ext uri="{FF2B5EF4-FFF2-40B4-BE49-F238E27FC236}">
              <a16:creationId xmlns:a16="http://schemas.microsoft.com/office/drawing/2014/main" id="{1919C752-3B9D-4289-B9C7-F5998562621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04" name="Text Box 1">
          <a:extLst>
            <a:ext uri="{FF2B5EF4-FFF2-40B4-BE49-F238E27FC236}">
              <a16:creationId xmlns:a16="http://schemas.microsoft.com/office/drawing/2014/main" id="{BA6C1153-42BD-4A70-9826-5928BAB9E45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05" name="Text Box 2">
          <a:extLst>
            <a:ext uri="{FF2B5EF4-FFF2-40B4-BE49-F238E27FC236}">
              <a16:creationId xmlns:a16="http://schemas.microsoft.com/office/drawing/2014/main" id="{07EDD1F8-5DC4-425E-B6AF-19B62B79735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06" name="Text Box 2">
          <a:extLst>
            <a:ext uri="{FF2B5EF4-FFF2-40B4-BE49-F238E27FC236}">
              <a16:creationId xmlns:a16="http://schemas.microsoft.com/office/drawing/2014/main" id="{605BED80-028C-4198-8729-633162FAC14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07" name="Text Box 1">
          <a:extLst>
            <a:ext uri="{FF2B5EF4-FFF2-40B4-BE49-F238E27FC236}">
              <a16:creationId xmlns:a16="http://schemas.microsoft.com/office/drawing/2014/main" id="{22F210F0-8F50-4BBE-ABC5-CD77441A227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08" name="Text Box 2">
          <a:extLst>
            <a:ext uri="{FF2B5EF4-FFF2-40B4-BE49-F238E27FC236}">
              <a16:creationId xmlns:a16="http://schemas.microsoft.com/office/drawing/2014/main" id="{917FE9B6-2FFC-4FA2-890E-1CDEC6BF4A5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09" name="Text Box 1">
          <a:extLst>
            <a:ext uri="{FF2B5EF4-FFF2-40B4-BE49-F238E27FC236}">
              <a16:creationId xmlns:a16="http://schemas.microsoft.com/office/drawing/2014/main" id="{5C431FA4-B1E2-44A4-B66E-498F00C042D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10" name="Text Box 2">
          <a:extLst>
            <a:ext uri="{FF2B5EF4-FFF2-40B4-BE49-F238E27FC236}">
              <a16:creationId xmlns:a16="http://schemas.microsoft.com/office/drawing/2014/main" id="{E65F932A-D2CC-40F8-BD5B-399482DDA43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11" name="Text Box 1">
          <a:extLst>
            <a:ext uri="{FF2B5EF4-FFF2-40B4-BE49-F238E27FC236}">
              <a16:creationId xmlns:a16="http://schemas.microsoft.com/office/drawing/2014/main" id="{68B28511-A849-4B35-AC71-979474E0458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12" name="Text Box 2">
          <a:extLst>
            <a:ext uri="{FF2B5EF4-FFF2-40B4-BE49-F238E27FC236}">
              <a16:creationId xmlns:a16="http://schemas.microsoft.com/office/drawing/2014/main" id="{EE5758E0-6012-4DE0-8E25-0D0E49020B5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13" name="Text Box 2">
          <a:extLst>
            <a:ext uri="{FF2B5EF4-FFF2-40B4-BE49-F238E27FC236}">
              <a16:creationId xmlns:a16="http://schemas.microsoft.com/office/drawing/2014/main" id="{8B2F1DC3-D3C0-4F06-A380-A90BA29FECD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14" name="Text Box 1">
          <a:extLst>
            <a:ext uri="{FF2B5EF4-FFF2-40B4-BE49-F238E27FC236}">
              <a16:creationId xmlns:a16="http://schemas.microsoft.com/office/drawing/2014/main" id="{4818CED5-8262-4F10-AECF-507A19A6E8D5}"/>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15" name="Text Box 2">
          <a:extLst>
            <a:ext uri="{FF2B5EF4-FFF2-40B4-BE49-F238E27FC236}">
              <a16:creationId xmlns:a16="http://schemas.microsoft.com/office/drawing/2014/main" id="{866274E4-D9E4-4887-AE33-FA908048020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16" name="Text Box 1">
          <a:extLst>
            <a:ext uri="{FF2B5EF4-FFF2-40B4-BE49-F238E27FC236}">
              <a16:creationId xmlns:a16="http://schemas.microsoft.com/office/drawing/2014/main" id="{0FF4641A-5279-44E1-B8E2-88BCB892B4D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17" name="Text Box 2">
          <a:extLst>
            <a:ext uri="{FF2B5EF4-FFF2-40B4-BE49-F238E27FC236}">
              <a16:creationId xmlns:a16="http://schemas.microsoft.com/office/drawing/2014/main" id="{6B2103F8-C8FD-4945-852E-D3DC382E4C3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18" name="Text Box 1">
          <a:extLst>
            <a:ext uri="{FF2B5EF4-FFF2-40B4-BE49-F238E27FC236}">
              <a16:creationId xmlns:a16="http://schemas.microsoft.com/office/drawing/2014/main" id="{A0D689CE-8505-48AC-888A-A43270ACD4D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19" name="Text Box 2">
          <a:extLst>
            <a:ext uri="{FF2B5EF4-FFF2-40B4-BE49-F238E27FC236}">
              <a16:creationId xmlns:a16="http://schemas.microsoft.com/office/drawing/2014/main" id="{0290E29E-DEAD-49CD-9656-0E08CF4D255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20" name="Text Box 1">
          <a:extLst>
            <a:ext uri="{FF2B5EF4-FFF2-40B4-BE49-F238E27FC236}">
              <a16:creationId xmlns:a16="http://schemas.microsoft.com/office/drawing/2014/main" id="{0CFF00FB-A361-4577-AACE-40DAC36319C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21" name="Text Box 2">
          <a:extLst>
            <a:ext uri="{FF2B5EF4-FFF2-40B4-BE49-F238E27FC236}">
              <a16:creationId xmlns:a16="http://schemas.microsoft.com/office/drawing/2014/main" id="{8ECA82A6-3DF5-44F7-8729-5A7A30C9532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22" name="Text Box 1">
          <a:extLst>
            <a:ext uri="{FF2B5EF4-FFF2-40B4-BE49-F238E27FC236}">
              <a16:creationId xmlns:a16="http://schemas.microsoft.com/office/drawing/2014/main" id="{C1C98FCF-BCCE-4166-B4B2-1135EB5AF80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23" name="Text Box 2">
          <a:extLst>
            <a:ext uri="{FF2B5EF4-FFF2-40B4-BE49-F238E27FC236}">
              <a16:creationId xmlns:a16="http://schemas.microsoft.com/office/drawing/2014/main" id="{7B8A86ED-9B56-4B53-AB69-888B5388951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24" name="Text Box 1">
          <a:extLst>
            <a:ext uri="{FF2B5EF4-FFF2-40B4-BE49-F238E27FC236}">
              <a16:creationId xmlns:a16="http://schemas.microsoft.com/office/drawing/2014/main" id="{952FC574-2BD4-4745-BFEC-C3C7D16D13D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25" name="Text Box 2">
          <a:extLst>
            <a:ext uri="{FF2B5EF4-FFF2-40B4-BE49-F238E27FC236}">
              <a16:creationId xmlns:a16="http://schemas.microsoft.com/office/drawing/2014/main" id="{E8ABBB1E-B63B-47FC-8F04-B691686953D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26" name="Text Box 1">
          <a:extLst>
            <a:ext uri="{FF2B5EF4-FFF2-40B4-BE49-F238E27FC236}">
              <a16:creationId xmlns:a16="http://schemas.microsoft.com/office/drawing/2014/main" id="{F29A8FCA-E54A-4682-A90B-B6D3942BA1A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27" name="Text Box 2">
          <a:extLst>
            <a:ext uri="{FF2B5EF4-FFF2-40B4-BE49-F238E27FC236}">
              <a16:creationId xmlns:a16="http://schemas.microsoft.com/office/drawing/2014/main" id="{FB6CDE47-1681-49EE-A5BA-0DCE7DAB739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28" name="Text Box 1">
          <a:extLst>
            <a:ext uri="{FF2B5EF4-FFF2-40B4-BE49-F238E27FC236}">
              <a16:creationId xmlns:a16="http://schemas.microsoft.com/office/drawing/2014/main" id="{B0BF4D94-CB3F-43AC-9C28-BA62017866D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29" name="Text Box 2">
          <a:extLst>
            <a:ext uri="{FF2B5EF4-FFF2-40B4-BE49-F238E27FC236}">
              <a16:creationId xmlns:a16="http://schemas.microsoft.com/office/drawing/2014/main" id="{AE8B9130-DF45-4ACB-8B46-81448891355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30" name="Text Box 1">
          <a:extLst>
            <a:ext uri="{FF2B5EF4-FFF2-40B4-BE49-F238E27FC236}">
              <a16:creationId xmlns:a16="http://schemas.microsoft.com/office/drawing/2014/main" id="{143F4903-158C-42B2-B8BD-29749FCE790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31" name="Text Box 2">
          <a:extLst>
            <a:ext uri="{FF2B5EF4-FFF2-40B4-BE49-F238E27FC236}">
              <a16:creationId xmlns:a16="http://schemas.microsoft.com/office/drawing/2014/main" id="{DBBB94FE-2D2C-4187-8616-10B6D7B8429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32" name="Text Box 1">
          <a:extLst>
            <a:ext uri="{FF2B5EF4-FFF2-40B4-BE49-F238E27FC236}">
              <a16:creationId xmlns:a16="http://schemas.microsoft.com/office/drawing/2014/main" id="{7A2F10EC-56EA-48E1-B268-EE4BD418A5A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33" name="Text Box 2">
          <a:extLst>
            <a:ext uri="{FF2B5EF4-FFF2-40B4-BE49-F238E27FC236}">
              <a16:creationId xmlns:a16="http://schemas.microsoft.com/office/drawing/2014/main" id="{19109B63-5EE9-4676-841C-D9D5F428C45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34" name="Text Box 1">
          <a:extLst>
            <a:ext uri="{FF2B5EF4-FFF2-40B4-BE49-F238E27FC236}">
              <a16:creationId xmlns:a16="http://schemas.microsoft.com/office/drawing/2014/main" id="{189D1E7E-8A09-48A7-B7D9-FC4C3ACFBC8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35" name="Text Box 2">
          <a:extLst>
            <a:ext uri="{FF2B5EF4-FFF2-40B4-BE49-F238E27FC236}">
              <a16:creationId xmlns:a16="http://schemas.microsoft.com/office/drawing/2014/main" id="{BCB16071-2EA9-4B71-A6B5-D17C031B253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36" name="Text Box 1">
          <a:extLst>
            <a:ext uri="{FF2B5EF4-FFF2-40B4-BE49-F238E27FC236}">
              <a16:creationId xmlns:a16="http://schemas.microsoft.com/office/drawing/2014/main" id="{84A1CBD6-CD64-4657-A0B4-A77660FCCB4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37" name="Text Box 2">
          <a:extLst>
            <a:ext uri="{FF2B5EF4-FFF2-40B4-BE49-F238E27FC236}">
              <a16:creationId xmlns:a16="http://schemas.microsoft.com/office/drawing/2014/main" id="{4564782C-2293-4EBD-8EA0-9AC045DF664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38" name="Text Box 1">
          <a:extLst>
            <a:ext uri="{FF2B5EF4-FFF2-40B4-BE49-F238E27FC236}">
              <a16:creationId xmlns:a16="http://schemas.microsoft.com/office/drawing/2014/main" id="{FA3036C4-4CFF-4224-8B75-458D6D0F601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39" name="Text Box 2">
          <a:extLst>
            <a:ext uri="{FF2B5EF4-FFF2-40B4-BE49-F238E27FC236}">
              <a16:creationId xmlns:a16="http://schemas.microsoft.com/office/drawing/2014/main" id="{9F52C20B-04FA-41E6-BC1D-4CBF583A2ED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40" name="Text Box 1">
          <a:extLst>
            <a:ext uri="{FF2B5EF4-FFF2-40B4-BE49-F238E27FC236}">
              <a16:creationId xmlns:a16="http://schemas.microsoft.com/office/drawing/2014/main" id="{DDC925EA-10F6-4990-9E66-0B42A9081BD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41" name="Text Box 2">
          <a:extLst>
            <a:ext uri="{FF2B5EF4-FFF2-40B4-BE49-F238E27FC236}">
              <a16:creationId xmlns:a16="http://schemas.microsoft.com/office/drawing/2014/main" id="{A79E7C69-4C1D-4BB8-A66E-B1E281AB5B7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42" name="Text Box 1">
          <a:extLst>
            <a:ext uri="{FF2B5EF4-FFF2-40B4-BE49-F238E27FC236}">
              <a16:creationId xmlns:a16="http://schemas.microsoft.com/office/drawing/2014/main" id="{1446CA05-0847-4E21-835C-8651A917F1C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43" name="Text Box 2">
          <a:extLst>
            <a:ext uri="{FF2B5EF4-FFF2-40B4-BE49-F238E27FC236}">
              <a16:creationId xmlns:a16="http://schemas.microsoft.com/office/drawing/2014/main" id="{B3AA9E7E-6929-4C0F-921D-E0AE3293657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44" name="Text Box 1">
          <a:extLst>
            <a:ext uri="{FF2B5EF4-FFF2-40B4-BE49-F238E27FC236}">
              <a16:creationId xmlns:a16="http://schemas.microsoft.com/office/drawing/2014/main" id="{F04F53BB-CBF3-48A5-B03A-1454BD79530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45" name="Text Box 2">
          <a:extLst>
            <a:ext uri="{FF2B5EF4-FFF2-40B4-BE49-F238E27FC236}">
              <a16:creationId xmlns:a16="http://schemas.microsoft.com/office/drawing/2014/main" id="{AEE0B14C-0842-4994-BE07-4B8E8013899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46" name="Text Box 1">
          <a:extLst>
            <a:ext uri="{FF2B5EF4-FFF2-40B4-BE49-F238E27FC236}">
              <a16:creationId xmlns:a16="http://schemas.microsoft.com/office/drawing/2014/main" id="{6C7CA9E6-2386-46A0-A10B-2B1001265F8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47" name="Text Box 2">
          <a:extLst>
            <a:ext uri="{FF2B5EF4-FFF2-40B4-BE49-F238E27FC236}">
              <a16:creationId xmlns:a16="http://schemas.microsoft.com/office/drawing/2014/main" id="{E89DA6EA-CE49-4A68-93D8-12FA43035D28}"/>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48" name="Text Box 1">
          <a:extLst>
            <a:ext uri="{FF2B5EF4-FFF2-40B4-BE49-F238E27FC236}">
              <a16:creationId xmlns:a16="http://schemas.microsoft.com/office/drawing/2014/main" id="{F9191663-7C65-4469-B5F9-2EC2043001A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49" name="Text Box 2">
          <a:extLst>
            <a:ext uri="{FF2B5EF4-FFF2-40B4-BE49-F238E27FC236}">
              <a16:creationId xmlns:a16="http://schemas.microsoft.com/office/drawing/2014/main" id="{ABC0F470-03FF-4B72-A0CD-A949FBB5141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50" name="Text Box 1">
          <a:extLst>
            <a:ext uri="{FF2B5EF4-FFF2-40B4-BE49-F238E27FC236}">
              <a16:creationId xmlns:a16="http://schemas.microsoft.com/office/drawing/2014/main" id="{94C326B8-3994-4492-89A1-755E5EF1C23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51" name="Text Box 2">
          <a:extLst>
            <a:ext uri="{FF2B5EF4-FFF2-40B4-BE49-F238E27FC236}">
              <a16:creationId xmlns:a16="http://schemas.microsoft.com/office/drawing/2014/main" id="{257528F6-1E56-4D61-9FC1-8E1C1CF337D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52" name="Text Box 1">
          <a:extLst>
            <a:ext uri="{FF2B5EF4-FFF2-40B4-BE49-F238E27FC236}">
              <a16:creationId xmlns:a16="http://schemas.microsoft.com/office/drawing/2014/main" id="{87F0F788-183C-41FB-A4D9-501145478B3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53" name="Text Box 2">
          <a:extLst>
            <a:ext uri="{FF2B5EF4-FFF2-40B4-BE49-F238E27FC236}">
              <a16:creationId xmlns:a16="http://schemas.microsoft.com/office/drawing/2014/main" id="{6752AFCB-8896-413C-AAA4-CDD2A5EC8AF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54" name="Text Box 1">
          <a:extLst>
            <a:ext uri="{FF2B5EF4-FFF2-40B4-BE49-F238E27FC236}">
              <a16:creationId xmlns:a16="http://schemas.microsoft.com/office/drawing/2014/main" id="{BED56B2F-44AD-48FA-82DE-917E15E54FD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55" name="Text Box 2">
          <a:extLst>
            <a:ext uri="{FF2B5EF4-FFF2-40B4-BE49-F238E27FC236}">
              <a16:creationId xmlns:a16="http://schemas.microsoft.com/office/drawing/2014/main" id="{D21C498A-541C-4534-9DA4-7D1A13F7171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56" name="Text Box 1">
          <a:extLst>
            <a:ext uri="{FF2B5EF4-FFF2-40B4-BE49-F238E27FC236}">
              <a16:creationId xmlns:a16="http://schemas.microsoft.com/office/drawing/2014/main" id="{7284BDD4-B1D7-4BCD-9C6F-1633A6715E2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57" name="Text Box 2">
          <a:extLst>
            <a:ext uri="{FF2B5EF4-FFF2-40B4-BE49-F238E27FC236}">
              <a16:creationId xmlns:a16="http://schemas.microsoft.com/office/drawing/2014/main" id="{5FF9248A-B6CD-4A52-9618-0E123454568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58" name="Text Box 1">
          <a:extLst>
            <a:ext uri="{FF2B5EF4-FFF2-40B4-BE49-F238E27FC236}">
              <a16:creationId xmlns:a16="http://schemas.microsoft.com/office/drawing/2014/main" id="{436F9EB7-8234-4B7E-9F62-708C448B81C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59" name="Text Box 2">
          <a:extLst>
            <a:ext uri="{FF2B5EF4-FFF2-40B4-BE49-F238E27FC236}">
              <a16:creationId xmlns:a16="http://schemas.microsoft.com/office/drawing/2014/main" id="{ABE2DD83-EC9F-4478-BAA8-FCB0A23AEF6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60" name="Text Box 1">
          <a:extLst>
            <a:ext uri="{FF2B5EF4-FFF2-40B4-BE49-F238E27FC236}">
              <a16:creationId xmlns:a16="http://schemas.microsoft.com/office/drawing/2014/main" id="{844F3884-E43C-4F88-A9A4-8A7A68C355D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61" name="Text Box 2">
          <a:extLst>
            <a:ext uri="{FF2B5EF4-FFF2-40B4-BE49-F238E27FC236}">
              <a16:creationId xmlns:a16="http://schemas.microsoft.com/office/drawing/2014/main" id="{33A373A2-ED3E-4A18-8C65-6EB2A16792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62" name="Text Box 1">
          <a:extLst>
            <a:ext uri="{FF2B5EF4-FFF2-40B4-BE49-F238E27FC236}">
              <a16:creationId xmlns:a16="http://schemas.microsoft.com/office/drawing/2014/main" id="{DA05EE06-1AAA-48E1-9A5F-FA3043C7C5D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63" name="Text Box 2">
          <a:extLst>
            <a:ext uri="{FF2B5EF4-FFF2-40B4-BE49-F238E27FC236}">
              <a16:creationId xmlns:a16="http://schemas.microsoft.com/office/drawing/2014/main" id="{E8B0D805-9A13-4A95-AB32-AF652E601F6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64" name="Text Box 1">
          <a:extLst>
            <a:ext uri="{FF2B5EF4-FFF2-40B4-BE49-F238E27FC236}">
              <a16:creationId xmlns:a16="http://schemas.microsoft.com/office/drawing/2014/main" id="{8A63B23F-1F87-49A8-896E-7CBD900D194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65" name="Text Box 2">
          <a:extLst>
            <a:ext uri="{FF2B5EF4-FFF2-40B4-BE49-F238E27FC236}">
              <a16:creationId xmlns:a16="http://schemas.microsoft.com/office/drawing/2014/main" id="{8EB8A082-2BCA-4D20-AFAD-1945749BF10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66" name="Text Box 1">
          <a:extLst>
            <a:ext uri="{FF2B5EF4-FFF2-40B4-BE49-F238E27FC236}">
              <a16:creationId xmlns:a16="http://schemas.microsoft.com/office/drawing/2014/main" id="{1FE01419-E977-40D3-9820-61721DE31C6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67" name="Text Box 2">
          <a:extLst>
            <a:ext uri="{FF2B5EF4-FFF2-40B4-BE49-F238E27FC236}">
              <a16:creationId xmlns:a16="http://schemas.microsoft.com/office/drawing/2014/main" id="{C43673FA-002F-43CA-BE8A-72779FB66D1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68" name="Text Box 1">
          <a:extLst>
            <a:ext uri="{FF2B5EF4-FFF2-40B4-BE49-F238E27FC236}">
              <a16:creationId xmlns:a16="http://schemas.microsoft.com/office/drawing/2014/main" id="{8EE0F6A9-04ED-416D-A71B-C33E03A3220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69" name="Text Box 2">
          <a:extLst>
            <a:ext uri="{FF2B5EF4-FFF2-40B4-BE49-F238E27FC236}">
              <a16:creationId xmlns:a16="http://schemas.microsoft.com/office/drawing/2014/main" id="{5E4F1EE5-D76E-4F70-932C-506738DAA13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70" name="Text Box 1">
          <a:extLst>
            <a:ext uri="{FF2B5EF4-FFF2-40B4-BE49-F238E27FC236}">
              <a16:creationId xmlns:a16="http://schemas.microsoft.com/office/drawing/2014/main" id="{A577E763-1C85-4C60-ACF9-D314302D5AA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71" name="Text Box 2">
          <a:extLst>
            <a:ext uri="{FF2B5EF4-FFF2-40B4-BE49-F238E27FC236}">
              <a16:creationId xmlns:a16="http://schemas.microsoft.com/office/drawing/2014/main" id="{8AA52C2A-8F36-494F-9AF2-015CDAFA2E4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72" name="Text Box 1">
          <a:extLst>
            <a:ext uri="{FF2B5EF4-FFF2-40B4-BE49-F238E27FC236}">
              <a16:creationId xmlns:a16="http://schemas.microsoft.com/office/drawing/2014/main" id="{DD3721D4-CD39-4E39-9E58-900E05DE51B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73" name="Text Box 2">
          <a:extLst>
            <a:ext uri="{FF2B5EF4-FFF2-40B4-BE49-F238E27FC236}">
              <a16:creationId xmlns:a16="http://schemas.microsoft.com/office/drawing/2014/main" id="{35A0E383-7826-446A-86A1-6D2D1253CE8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74" name="Text Box 1">
          <a:extLst>
            <a:ext uri="{FF2B5EF4-FFF2-40B4-BE49-F238E27FC236}">
              <a16:creationId xmlns:a16="http://schemas.microsoft.com/office/drawing/2014/main" id="{763628C4-8C90-4B61-8930-329B2E9BFBF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75" name="Text Box 2">
          <a:extLst>
            <a:ext uri="{FF2B5EF4-FFF2-40B4-BE49-F238E27FC236}">
              <a16:creationId xmlns:a16="http://schemas.microsoft.com/office/drawing/2014/main" id="{EAB3A9BC-FABA-45EB-931A-8CD42941C74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76" name="Text Box 1">
          <a:extLst>
            <a:ext uri="{FF2B5EF4-FFF2-40B4-BE49-F238E27FC236}">
              <a16:creationId xmlns:a16="http://schemas.microsoft.com/office/drawing/2014/main" id="{0EC4532F-DB36-4C25-9E55-2FDF4E26BBA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77" name="Text Box 2">
          <a:extLst>
            <a:ext uri="{FF2B5EF4-FFF2-40B4-BE49-F238E27FC236}">
              <a16:creationId xmlns:a16="http://schemas.microsoft.com/office/drawing/2014/main" id="{A4814842-2033-4345-8082-3F112D981E3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78" name="Text Box 1">
          <a:extLst>
            <a:ext uri="{FF2B5EF4-FFF2-40B4-BE49-F238E27FC236}">
              <a16:creationId xmlns:a16="http://schemas.microsoft.com/office/drawing/2014/main" id="{945CD495-C540-45F1-8BD9-7FD41BB0D50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79" name="Text Box 2">
          <a:extLst>
            <a:ext uri="{FF2B5EF4-FFF2-40B4-BE49-F238E27FC236}">
              <a16:creationId xmlns:a16="http://schemas.microsoft.com/office/drawing/2014/main" id="{0E6B3FE5-4BDA-45B0-AD22-B55CBB28B96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80" name="Text Box 1">
          <a:extLst>
            <a:ext uri="{FF2B5EF4-FFF2-40B4-BE49-F238E27FC236}">
              <a16:creationId xmlns:a16="http://schemas.microsoft.com/office/drawing/2014/main" id="{3DE921D0-2F41-47FB-B3B6-4A166BF5D31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81" name="Text Box 2">
          <a:extLst>
            <a:ext uri="{FF2B5EF4-FFF2-40B4-BE49-F238E27FC236}">
              <a16:creationId xmlns:a16="http://schemas.microsoft.com/office/drawing/2014/main" id="{D76189B6-05F1-4823-AFB6-EE5FB4F8F02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82" name="Text Box 1">
          <a:extLst>
            <a:ext uri="{FF2B5EF4-FFF2-40B4-BE49-F238E27FC236}">
              <a16:creationId xmlns:a16="http://schemas.microsoft.com/office/drawing/2014/main" id="{65A8119C-F634-45B5-BD0B-F194F5F33BE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83" name="Text Box 2">
          <a:extLst>
            <a:ext uri="{FF2B5EF4-FFF2-40B4-BE49-F238E27FC236}">
              <a16:creationId xmlns:a16="http://schemas.microsoft.com/office/drawing/2014/main" id="{04E3935F-298A-4357-A048-0772F5492F4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84" name="Text Box 1">
          <a:extLst>
            <a:ext uri="{FF2B5EF4-FFF2-40B4-BE49-F238E27FC236}">
              <a16:creationId xmlns:a16="http://schemas.microsoft.com/office/drawing/2014/main" id="{B53B6653-3F2F-426B-BFCE-8EF5733C92B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85" name="Text Box 2">
          <a:extLst>
            <a:ext uri="{FF2B5EF4-FFF2-40B4-BE49-F238E27FC236}">
              <a16:creationId xmlns:a16="http://schemas.microsoft.com/office/drawing/2014/main" id="{CCED333B-90E6-498F-9ADE-0DF24378823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86" name="Text Box 1">
          <a:extLst>
            <a:ext uri="{FF2B5EF4-FFF2-40B4-BE49-F238E27FC236}">
              <a16:creationId xmlns:a16="http://schemas.microsoft.com/office/drawing/2014/main" id="{D3A0B967-93D6-4C65-8D48-5B2DC686D77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87" name="Text Box 2">
          <a:extLst>
            <a:ext uri="{FF2B5EF4-FFF2-40B4-BE49-F238E27FC236}">
              <a16:creationId xmlns:a16="http://schemas.microsoft.com/office/drawing/2014/main" id="{D6DEBE54-BC7E-414E-BE60-A1A6572CE3C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88" name="Text Box 1">
          <a:extLst>
            <a:ext uri="{FF2B5EF4-FFF2-40B4-BE49-F238E27FC236}">
              <a16:creationId xmlns:a16="http://schemas.microsoft.com/office/drawing/2014/main" id="{48D52219-1222-49E3-BB66-0AB27F68CCD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89" name="Text Box 2">
          <a:extLst>
            <a:ext uri="{FF2B5EF4-FFF2-40B4-BE49-F238E27FC236}">
              <a16:creationId xmlns:a16="http://schemas.microsoft.com/office/drawing/2014/main" id="{B2C6B6A4-15C4-4879-8881-688C63FFF5B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90" name="Text Box 1">
          <a:extLst>
            <a:ext uri="{FF2B5EF4-FFF2-40B4-BE49-F238E27FC236}">
              <a16:creationId xmlns:a16="http://schemas.microsoft.com/office/drawing/2014/main" id="{A70D3D48-A441-41D8-BDBD-E50DA730F6B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91" name="Text Box 2">
          <a:extLst>
            <a:ext uri="{FF2B5EF4-FFF2-40B4-BE49-F238E27FC236}">
              <a16:creationId xmlns:a16="http://schemas.microsoft.com/office/drawing/2014/main" id="{1E671A55-0B6B-477E-9BEC-764C2AE6FF3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92" name="Text Box 1">
          <a:extLst>
            <a:ext uri="{FF2B5EF4-FFF2-40B4-BE49-F238E27FC236}">
              <a16:creationId xmlns:a16="http://schemas.microsoft.com/office/drawing/2014/main" id="{339ED263-474E-4112-8345-F69E89DC269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93" name="Text Box 2">
          <a:extLst>
            <a:ext uri="{FF2B5EF4-FFF2-40B4-BE49-F238E27FC236}">
              <a16:creationId xmlns:a16="http://schemas.microsoft.com/office/drawing/2014/main" id="{12D0CB65-0B58-445F-BFC9-F9AFA44D3F9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94" name="Text Box 1">
          <a:extLst>
            <a:ext uri="{FF2B5EF4-FFF2-40B4-BE49-F238E27FC236}">
              <a16:creationId xmlns:a16="http://schemas.microsoft.com/office/drawing/2014/main" id="{313AC123-656C-45ED-8C0A-5A049A28CB7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95" name="Text Box 2">
          <a:extLst>
            <a:ext uri="{FF2B5EF4-FFF2-40B4-BE49-F238E27FC236}">
              <a16:creationId xmlns:a16="http://schemas.microsoft.com/office/drawing/2014/main" id="{00384755-22A4-4A2B-9989-DB3C5636769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96" name="Text Box 1">
          <a:extLst>
            <a:ext uri="{FF2B5EF4-FFF2-40B4-BE49-F238E27FC236}">
              <a16:creationId xmlns:a16="http://schemas.microsoft.com/office/drawing/2014/main" id="{057143B2-3AE6-4F8A-A546-3EF03A240E5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97" name="Text Box 2">
          <a:extLst>
            <a:ext uri="{FF2B5EF4-FFF2-40B4-BE49-F238E27FC236}">
              <a16:creationId xmlns:a16="http://schemas.microsoft.com/office/drawing/2014/main" id="{16D8601F-B95B-43B1-A46C-8C2D3EC8085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98" name="Text Box 1">
          <a:extLst>
            <a:ext uri="{FF2B5EF4-FFF2-40B4-BE49-F238E27FC236}">
              <a16:creationId xmlns:a16="http://schemas.microsoft.com/office/drawing/2014/main" id="{4117172C-F08A-40F4-8FAB-1A9C869994C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99" name="Text Box 2">
          <a:extLst>
            <a:ext uri="{FF2B5EF4-FFF2-40B4-BE49-F238E27FC236}">
              <a16:creationId xmlns:a16="http://schemas.microsoft.com/office/drawing/2014/main" id="{113EAA2A-91FC-44F6-A326-FD344D1472E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00" name="Text Box 1">
          <a:extLst>
            <a:ext uri="{FF2B5EF4-FFF2-40B4-BE49-F238E27FC236}">
              <a16:creationId xmlns:a16="http://schemas.microsoft.com/office/drawing/2014/main" id="{4F226630-D424-4138-BF10-10F4B2FAFCF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01" name="Text Box 2">
          <a:extLst>
            <a:ext uri="{FF2B5EF4-FFF2-40B4-BE49-F238E27FC236}">
              <a16:creationId xmlns:a16="http://schemas.microsoft.com/office/drawing/2014/main" id="{B3AFC381-9956-476A-80B7-E6295DAEF37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02" name="Text Box 1">
          <a:extLst>
            <a:ext uri="{FF2B5EF4-FFF2-40B4-BE49-F238E27FC236}">
              <a16:creationId xmlns:a16="http://schemas.microsoft.com/office/drawing/2014/main" id="{BA66127A-2018-4A8B-8B34-3E9001463F3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003" name="Text Box 2">
          <a:extLst>
            <a:ext uri="{FF2B5EF4-FFF2-40B4-BE49-F238E27FC236}">
              <a16:creationId xmlns:a16="http://schemas.microsoft.com/office/drawing/2014/main" id="{6F0E765D-2F36-4836-B3FA-4B698F6D588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04" name="Text Box 1">
          <a:extLst>
            <a:ext uri="{FF2B5EF4-FFF2-40B4-BE49-F238E27FC236}">
              <a16:creationId xmlns:a16="http://schemas.microsoft.com/office/drawing/2014/main" id="{1EA193AB-906E-4BD7-9B2D-F7991C9A256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05" name="Text Box 2">
          <a:extLst>
            <a:ext uri="{FF2B5EF4-FFF2-40B4-BE49-F238E27FC236}">
              <a16:creationId xmlns:a16="http://schemas.microsoft.com/office/drawing/2014/main" id="{92BDFC82-5DCE-49DA-9634-8A8E56BD55B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06" name="Text Box 1">
          <a:extLst>
            <a:ext uri="{FF2B5EF4-FFF2-40B4-BE49-F238E27FC236}">
              <a16:creationId xmlns:a16="http://schemas.microsoft.com/office/drawing/2014/main" id="{629CACB5-201F-4BDE-AD2C-D71DFF67635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007" name="Text Box 2">
          <a:extLst>
            <a:ext uri="{FF2B5EF4-FFF2-40B4-BE49-F238E27FC236}">
              <a16:creationId xmlns:a16="http://schemas.microsoft.com/office/drawing/2014/main" id="{0B466318-B652-493B-B70C-17253E08928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08" name="Text Box 1">
          <a:extLst>
            <a:ext uri="{FF2B5EF4-FFF2-40B4-BE49-F238E27FC236}">
              <a16:creationId xmlns:a16="http://schemas.microsoft.com/office/drawing/2014/main" id="{6A1404B3-A8C5-4A6C-A105-58288E0EE06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09" name="Text Box 2">
          <a:extLst>
            <a:ext uri="{FF2B5EF4-FFF2-40B4-BE49-F238E27FC236}">
              <a16:creationId xmlns:a16="http://schemas.microsoft.com/office/drawing/2014/main" id="{58510B17-EFF1-46AA-AFBB-646115223F3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10" name="Text Box 1">
          <a:extLst>
            <a:ext uri="{FF2B5EF4-FFF2-40B4-BE49-F238E27FC236}">
              <a16:creationId xmlns:a16="http://schemas.microsoft.com/office/drawing/2014/main" id="{112E6868-9A48-4EE2-A9A9-3FA2FB772D1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11" name="Text Box 2">
          <a:extLst>
            <a:ext uri="{FF2B5EF4-FFF2-40B4-BE49-F238E27FC236}">
              <a16:creationId xmlns:a16="http://schemas.microsoft.com/office/drawing/2014/main" id="{AA57C11B-D9FB-433A-BF9C-412DDA4CEB6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12" name="Text Box 1">
          <a:extLst>
            <a:ext uri="{FF2B5EF4-FFF2-40B4-BE49-F238E27FC236}">
              <a16:creationId xmlns:a16="http://schemas.microsoft.com/office/drawing/2014/main" id="{416A4463-13DF-46F4-AEE6-99058F0700E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13" name="Text Box 2">
          <a:extLst>
            <a:ext uri="{FF2B5EF4-FFF2-40B4-BE49-F238E27FC236}">
              <a16:creationId xmlns:a16="http://schemas.microsoft.com/office/drawing/2014/main" id="{87A3479B-AFD4-4767-9A86-63DEFCAD643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14" name="Text Box 1">
          <a:extLst>
            <a:ext uri="{FF2B5EF4-FFF2-40B4-BE49-F238E27FC236}">
              <a16:creationId xmlns:a16="http://schemas.microsoft.com/office/drawing/2014/main" id="{6B4EA133-2015-4DE1-B7CF-C7D84DAB08A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15" name="Text Box 2">
          <a:extLst>
            <a:ext uri="{FF2B5EF4-FFF2-40B4-BE49-F238E27FC236}">
              <a16:creationId xmlns:a16="http://schemas.microsoft.com/office/drawing/2014/main" id="{67D2BF5E-DDAC-4AA3-8598-BC9BC80C937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16" name="Text Box 1">
          <a:extLst>
            <a:ext uri="{FF2B5EF4-FFF2-40B4-BE49-F238E27FC236}">
              <a16:creationId xmlns:a16="http://schemas.microsoft.com/office/drawing/2014/main" id="{CFFBC058-8EB8-4514-8A03-84DF148B30C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17" name="Text Box 2">
          <a:extLst>
            <a:ext uri="{FF2B5EF4-FFF2-40B4-BE49-F238E27FC236}">
              <a16:creationId xmlns:a16="http://schemas.microsoft.com/office/drawing/2014/main" id="{26640769-752C-4BCE-AC1C-6712EF76B23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18" name="Text Box 1">
          <a:extLst>
            <a:ext uri="{FF2B5EF4-FFF2-40B4-BE49-F238E27FC236}">
              <a16:creationId xmlns:a16="http://schemas.microsoft.com/office/drawing/2014/main" id="{8C727644-6E94-4310-840A-D900D943861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19" name="Text Box 2">
          <a:extLst>
            <a:ext uri="{FF2B5EF4-FFF2-40B4-BE49-F238E27FC236}">
              <a16:creationId xmlns:a16="http://schemas.microsoft.com/office/drawing/2014/main" id="{23216788-8B63-4D36-A726-32D4A158920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20" name="Text Box 1">
          <a:extLst>
            <a:ext uri="{FF2B5EF4-FFF2-40B4-BE49-F238E27FC236}">
              <a16:creationId xmlns:a16="http://schemas.microsoft.com/office/drawing/2014/main" id="{34ACA86F-713B-478E-A480-6826604E0DE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21" name="Text Box 2">
          <a:extLst>
            <a:ext uri="{FF2B5EF4-FFF2-40B4-BE49-F238E27FC236}">
              <a16:creationId xmlns:a16="http://schemas.microsoft.com/office/drawing/2014/main" id="{146754E4-E63B-44A2-8C01-FB2048580B1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22" name="Text Box 1">
          <a:extLst>
            <a:ext uri="{FF2B5EF4-FFF2-40B4-BE49-F238E27FC236}">
              <a16:creationId xmlns:a16="http://schemas.microsoft.com/office/drawing/2014/main" id="{9A27B0A1-DA73-4321-A673-098E9BF271E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23" name="Text Box 2">
          <a:extLst>
            <a:ext uri="{FF2B5EF4-FFF2-40B4-BE49-F238E27FC236}">
              <a16:creationId xmlns:a16="http://schemas.microsoft.com/office/drawing/2014/main" id="{3E667C28-135E-4887-805D-F6DE2299D76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24" name="Text Box 1">
          <a:extLst>
            <a:ext uri="{FF2B5EF4-FFF2-40B4-BE49-F238E27FC236}">
              <a16:creationId xmlns:a16="http://schemas.microsoft.com/office/drawing/2014/main" id="{341FA7AC-5FF4-451E-84A3-54627580BE8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25" name="Text Box 2">
          <a:extLst>
            <a:ext uri="{FF2B5EF4-FFF2-40B4-BE49-F238E27FC236}">
              <a16:creationId xmlns:a16="http://schemas.microsoft.com/office/drawing/2014/main" id="{A3613B64-2B8C-4AB9-9A7F-DBDB007B362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26" name="Text Box 1">
          <a:extLst>
            <a:ext uri="{FF2B5EF4-FFF2-40B4-BE49-F238E27FC236}">
              <a16:creationId xmlns:a16="http://schemas.microsoft.com/office/drawing/2014/main" id="{CF658EA5-D8F3-48B9-AB69-F346042156E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27" name="Text Box 2">
          <a:extLst>
            <a:ext uri="{FF2B5EF4-FFF2-40B4-BE49-F238E27FC236}">
              <a16:creationId xmlns:a16="http://schemas.microsoft.com/office/drawing/2014/main" id="{1AB24082-0CC8-4071-9ADE-B56BB444562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28" name="Text Box 1">
          <a:extLst>
            <a:ext uri="{FF2B5EF4-FFF2-40B4-BE49-F238E27FC236}">
              <a16:creationId xmlns:a16="http://schemas.microsoft.com/office/drawing/2014/main" id="{ACACFE50-210D-4A30-9376-A7A3EB15B80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29" name="Text Box 2">
          <a:extLst>
            <a:ext uri="{FF2B5EF4-FFF2-40B4-BE49-F238E27FC236}">
              <a16:creationId xmlns:a16="http://schemas.microsoft.com/office/drawing/2014/main" id="{9F3C399E-AFCC-4A29-AAF2-2727B6D36AC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30" name="Text Box 1">
          <a:extLst>
            <a:ext uri="{FF2B5EF4-FFF2-40B4-BE49-F238E27FC236}">
              <a16:creationId xmlns:a16="http://schemas.microsoft.com/office/drawing/2014/main" id="{F2BFC1FB-237D-454D-A27A-1D397D4D42F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031" name="Text Box 2">
          <a:extLst>
            <a:ext uri="{FF2B5EF4-FFF2-40B4-BE49-F238E27FC236}">
              <a16:creationId xmlns:a16="http://schemas.microsoft.com/office/drawing/2014/main" id="{88317D53-563A-4DCC-A262-B416C17D38C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32" name="Text Box 1">
          <a:extLst>
            <a:ext uri="{FF2B5EF4-FFF2-40B4-BE49-F238E27FC236}">
              <a16:creationId xmlns:a16="http://schemas.microsoft.com/office/drawing/2014/main" id="{1E9834B4-7A0C-407E-B51D-61BE08A2261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033" name="Text Box 2">
          <a:extLst>
            <a:ext uri="{FF2B5EF4-FFF2-40B4-BE49-F238E27FC236}">
              <a16:creationId xmlns:a16="http://schemas.microsoft.com/office/drawing/2014/main" id="{614FDE7C-166E-4E65-8E96-CEC71CBBD39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34" name="Text Box 1">
          <a:extLst>
            <a:ext uri="{FF2B5EF4-FFF2-40B4-BE49-F238E27FC236}">
              <a16:creationId xmlns:a16="http://schemas.microsoft.com/office/drawing/2014/main" id="{A1157BD2-385D-4953-B412-64B7E97793F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35" name="Text Box 2">
          <a:extLst>
            <a:ext uri="{FF2B5EF4-FFF2-40B4-BE49-F238E27FC236}">
              <a16:creationId xmlns:a16="http://schemas.microsoft.com/office/drawing/2014/main" id="{B59D2C7F-6AFA-44A7-90B6-EBC7525148C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36" name="Text Box 1">
          <a:extLst>
            <a:ext uri="{FF2B5EF4-FFF2-40B4-BE49-F238E27FC236}">
              <a16:creationId xmlns:a16="http://schemas.microsoft.com/office/drawing/2014/main" id="{2669665B-48D8-4A40-938C-B15FE2BC2C4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37" name="Text Box 2">
          <a:extLst>
            <a:ext uri="{FF2B5EF4-FFF2-40B4-BE49-F238E27FC236}">
              <a16:creationId xmlns:a16="http://schemas.microsoft.com/office/drawing/2014/main" id="{30926C15-E980-4617-A3C7-34EA91DFCC4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38" name="Text Box 1">
          <a:extLst>
            <a:ext uri="{FF2B5EF4-FFF2-40B4-BE49-F238E27FC236}">
              <a16:creationId xmlns:a16="http://schemas.microsoft.com/office/drawing/2014/main" id="{10989AC7-0AC0-4513-8C67-33FC7477EA5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39" name="Text Box 2">
          <a:extLst>
            <a:ext uri="{FF2B5EF4-FFF2-40B4-BE49-F238E27FC236}">
              <a16:creationId xmlns:a16="http://schemas.microsoft.com/office/drawing/2014/main" id="{0E75D74D-0C0C-47B0-B5FB-DD5B8B202F0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40" name="Text Box 1">
          <a:extLst>
            <a:ext uri="{FF2B5EF4-FFF2-40B4-BE49-F238E27FC236}">
              <a16:creationId xmlns:a16="http://schemas.microsoft.com/office/drawing/2014/main" id="{F0C234AC-4DE4-4374-A992-BC41496D6F2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41" name="Text Box 2">
          <a:extLst>
            <a:ext uri="{FF2B5EF4-FFF2-40B4-BE49-F238E27FC236}">
              <a16:creationId xmlns:a16="http://schemas.microsoft.com/office/drawing/2014/main" id="{620DF486-D44E-4DD5-A4D7-A5573F8152E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42" name="Text Box 1">
          <a:extLst>
            <a:ext uri="{FF2B5EF4-FFF2-40B4-BE49-F238E27FC236}">
              <a16:creationId xmlns:a16="http://schemas.microsoft.com/office/drawing/2014/main" id="{0AE65A89-4376-4DB5-9E32-5087BA8E880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043" name="Text Box 2">
          <a:extLst>
            <a:ext uri="{FF2B5EF4-FFF2-40B4-BE49-F238E27FC236}">
              <a16:creationId xmlns:a16="http://schemas.microsoft.com/office/drawing/2014/main" id="{32535393-1BB9-46C5-B5B1-2BDE8838A518}"/>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44" name="Text Box 1">
          <a:extLst>
            <a:ext uri="{FF2B5EF4-FFF2-40B4-BE49-F238E27FC236}">
              <a16:creationId xmlns:a16="http://schemas.microsoft.com/office/drawing/2014/main" id="{D68397DA-5A79-49E8-9967-AD2F21F6002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045" name="Text Box 2">
          <a:extLst>
            <a:ext uri="{FF2B5EF4-FFF2-40B4-BE49-F238E27FC236}">
              <a16:creationId xmlns:a16="http://schemas.microsoft.com/office/drawing/2014/main" id="{5EEFBAB5-F9AE-4DAF-AC5C-87B1AB17CB6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46" name="Text Box 1">
          <a:extLst>
            <a:ext uri="{FF2B5EF4-FFF2-40B4-BE49-F238E27FC236}">
              <a16:creationId xmlns:a16="http://schemas.microsoft.com/office/drawing/2014/main" id="{6B3EC1B8-DA08-4D89-BE8D-A7BF95B4581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47" name="Text Box 2">
          <a:extLst>
            <a:ext uri="{FF2B5EF4-FFF2-40B4-BE49-F238E27FC236}">
              <a16:creationId xmlns:a16="http://schemas.microsoft.com/office/drawing/2014/main" id="{85193A04-8346-4B53-9DFA-1ABC0D32CB0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48" name="Text Box 1">
          <a:extLst>
            <a:ext uri="{FF2B5EF4-FFF2-40B4-BE49-F238E27FC236}">
              <a16:creationId xmlns:a16="http://schemas.microsoft.com/office/drawing/2014/main" id="{05C6B1C4-9D87-413C-B3CF-912C34BC9A2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49" name="Text Box 2">
          <a:extLst>
            <a:ext uri="{FF2B5EF4-FFF2-40B4-BE49-F238E27FC236}">
              <a16:creationId xmlns:a16="http://schemas.microsoft.com/office/drawing/2014/main" id="{1D6E8A56-55CB-4DE2-A295-646D2C195A3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50" name="Text Box 1">
          <a:extLst>
            <a:ext uri="{FF2B5EF4-FFF2-40B4-BE49-F238E27FC236}">
              <a16:creationId xmlns:a16="http://schemas.microsoft.com/office/drawing/2014/main" id="{399F6E04-ACAB-4209-8E0B-52D2F44645E8}"/>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051" name="Text Box 2">
          <a:extLst>
            <a:ext uri="{FF2B5EF4-FFF2-40B4-BE49-F238E27FC236}">
              <a16:creationId xmlns:a16="http://schemas.microsoft.com/office/drawing/2014/main" id="{7E62F28D-EBD2-4DE5-BE59-E69851773AB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52" name="Text Box 1">
          <a:extLst>
            <a:ext uri="{FF2B5EF4-FFF2-40B4-BE49-F238E27FC236}">
              <a16:creationId xmlns:a16="http://schemas.microsoft.com/office/drawing/2014/main" id="{63DA3CBC-161E-4989-A008-2255691DD65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053" name="Text Box 2">
          <a:extLst>
            <a:ext uri="{FF2B5EF4-FFF2-40B4-BE49-F238E27FC236}">
              <a16:creationId xmlns:a16="http://schemas.microsoft.com/office/drawing/2014/main" id="{7CEA635D-992B-4243-B54D-63DB4C56CC9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54" name="Text Box 1">
          <a:extLst>
            <a:ext uri="{FF2B5EF4-FFF2-40B4-BE49-F238E27FC236}">
              <a16:creationId xmlns:a16="http://schemas.microsoft.com/office/drawing/2014/main" id="{9BF96EE3-FFE6-4C75-BEAC-44822212D08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55" name="Text Box 2">
          <a:extLst>
            <a:ext uri="{FF2B5EF4-FFF2-40B4-BE49-F238E27FC236}">
              <a16:creationId xmlns:a16="http://schemas.microsoft.com/office/drawing/2014/main" id="{EFCDCEB6-00E8-4C15-92C3-3AC8496CF47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56" name="Text Box 1">
          <a:extLst>
            <a:ext uri="{FF2B5EF4-FFF2-40B4-BE49-F238E27FC236}">
              <a16:creationId xmlns:a16="http://schemas.microsoft.com/office/drawing/2014/main" id="{545D075F-8D70-40D8-BE22-276C8EE1BAC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57" name="Text Box 2">
          <a:extLst>
            <a:ext uri="{FF2B5EF4-FFF2-40B4-BE49-F238E27FC236}">
              <a16:creationId xmlns:a16="http://schemas.microsoft.com/office/drawing/2014/main" id="{69DCE94E-916F-4E4E-99C9-E29A4DE5BC4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58" name="Text Box 1">
          <a:extLst>
            <a:ext uri="{FF2B5EF4-FFF2-40B4-BE49-F238E27FC236}">
              <a16:creationId xmlns:a16="http://schemas.microsoft.com/office/drawing/2014/main" id="{B6D2461C-6FDD-4FC3-98F2-069E9A49197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059" name="Text Box 2">
          <a:extLst>
            <a:ext uri="{FF2B5EF4-FFF2-40B4-BE49-F238E27FC236}">
              <a16:creationId xmlns:a16="http://schemas.microsoft.com/office/drawing/2014/main" id="{41E6417D-F2C6-4C9C-B836-EAF60248E6E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60" name="Text Box 1">
          <a:extLst>
            <a:ext uri="{FF2B5EF4-FFF2-40B4-BE49-F238E27FC236}">
              <a16:creationId xmlns:a16="http://schemas.microsoft.com/office/drawing/2014/main" id="{D64F9A4A-3F7F-41AC-91BA-182DEF07BD3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61" name="Text Box 2">
          <a:extLst>
            <a:ext uri="{FF2B5EF4-FFF2-40B4-BE49-F238E27FC236}">
              <a16:creationId xmlns:a16="http://schemas.microsoft.com/office/drawing/2014/main" id="{FB9DED55-20E5-4A42-B06C-A39FBDED046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62" name="Text Box 1">
          <a:extLst>
            <a:ext uri="{FF2B5EF4-FFF2-40B4-BE49-F238E27FC236}">
              <a16:creationId xmlns:a16="http://schemas.microsoft.com/office/drawing/2014/main" id="{8591611C-F256-40EA-A923-7A245230A9BD}"/>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063" name="Text Box 2">
          <a:extLst>
            <a:ext uri="{FF2B5EF4-FFF2-40B4-BE49-F238E27FC236}">
              <a16:creationId xmlns:a16="http://schemas.microsoft.com/office/drawing/2014/main" id="{EDF8E423-D8BD-4034-B14D-2C5D9CF0299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64" name="Text Box 1">
          <a:extLst>
            <a:ext uri="{FF2B5EF4-FFF2-40B4-BE49-F238E27FC236}">
              <a16:creationId xmlns:a16="http://schemas.microsoft.com/office/drawing/2014/main" id="{2D8774B5-10DE-41F4-B8B4-BC4D64B9428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065" name="Text Box 2">
          <a:extLst>
            <a:ext uri="{FF2B5EF4-FFF2-40B4-BE49-F238E27FC236}">
              <a16:creationId xmlns:a16="http://schemas.microsoft.com/office/drawing/2014/main" id="{B94AEC3E-53F0-4856-AB68-6F986C5656D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66" name="Text Box 1">
          <a:extLst>
            <a:ext uri="{FF2B5EF4-FFF2-40B4-BE49-F238E27FC236}">
              <a16:creationId xmlns:a16="http://schemas.microsoft.com/office/drawing/2014/main" id="{D04333B0-A06E-4BE6-A80F-BA86CB9A26B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67" name="Text Box 2">
          <a:extLst>
            <a:ext uri="{FF2B5EF4-FFF2-40B4-BE49-F238E27FC236}">
              <a16:creationId xmlns:a16="http://schemas.microsoft.com/office/drawing/2014/main" id="{CBDB77F8-06B1-4C4F-AC29-6244CD7F2B9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68" name="Text Box 1">
          <a:extLst>
            <a:ext uri="{FF2B5EF4-FFF2-40B4-BE49-F238E27FC236}">
              <a16:creationId xmlns:a16="http://schemas.microsoft.com/office/drawing/2014/main" id="{8ADA3FAB-D90E-4726-9CE0-F747859E311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69" name="Text Box 2">
          <a:extLst>
            <a:ext uri="{FF2B5EF4-FFF2-40B4-BE49-F238E27FC236}">
              <a16:creationId xmlns:a16="http://schemas.microsoft.com/office/drawing/2014/main" id="{A028D767-F775-4E74-8FBE-92B12F88CE0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70" name="Text Box 1">
          <a:extLst>
            <a:ext uri="{FF2B5EF4-FFF2-40B4-BE49-F238E27FC236}">
              <a16:creationId xmlns:a16="http://schemas.microsoft.com/office/drawing/2014/main" id="{9173ADF7-8A7F-4F19-B8FE-35CAECE2FAA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71" name="Text Box 2">
          <a:extLst>
            <a:ext uri="{FF2B5EF4-FFF2-40B4-BE49-F238E27FC236}">
              <a16:creationId xmlns:a16="http://schemas.microsoft.com/office/drawing/2014/main" id="{4965B966-BEEE-460D-916E-D18A2573EBB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72" name="Text Box 1">
          <a:extLst>
            <a:ext uri="{FF2B5EF4-FFF2-40B4-BE49-F238E27FC236}">
              <a16:creationId xmlns:a16="http://schemas.microsoft.com/office/drawing/2014/main" id="{2059CC28-9402-49ED-96C5-92DD91F8E8A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073" name="Text Box 2">
          <a:extLst>
            <a:ext uri="{FF2B5EF4-FFF2-40B4-BE49-F238E27FC236}">
              <a16:creationId xmlns:a16="http://schemas.microsoft.com/office/drawing/2014/main" id="{C3FA877D-1CDC-41AD-9C74-E0CDB39C21B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74" name="Text Box 1">
          <a:extLst>
            <a:ext uri="{FF2B5EF4-FFF2-40B4-BE49-F238E27FC236}">
              <a16:creationId xmlns:a16="http://schemas.microsoft.com/office/drawing/2014/main" id="{0926C262-4096-4C36-B332-89F8CD8AE85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75" name="Text Box 2">
          <a:extLst>
            <a:ext uri="{FF2B5EF4-FFF2-40B4-BE49-F238E27FC236}">
              <a16:creationId xmlns:a16="http://schemas.microsoft.com/office/drawing/2014/main" id="{B14B1545-60D1-4406-97B9-FB28468B196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76" name="Text Box 1">
          <a:extLst>
            <a:ext uri="{FF2B5EF4-FFF2-40B4-BE49-F238E27FC236}">
              <a16:creationId xmlns:a16="http://schemas.microsoft.com/office/drawing/2014/main" id="{87239AEC-0600-4351-8041-7EF4BFCF8C6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077" name="Text Box 2">
          <a:extLst>
            <a:ext uri="{FF2B5EF4-FFF2-40B4-BE49-F238E27FC236}">
              <a16:creationId xmlns:a16="http://schemas.microsoft.com/office/drawing/2014/main" id="{6D0EF54F-8229-44C1-A9E1-2FDE56CCC52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78" name="Text Box 1">
          <a:extLst>
            <a:ext uri="{FF2B5EF4-FFF2-40B4-BE49-F238E27FC236}">
              <a16:creationId xmlns:a16="http://schemas.microsoft.com/office/drawing/2014/main" id="{17754E8A-21DE-41E1-A6A6-70BA34C02BC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79" name="Text Box 2">
          <a:extLst>
            <a:ext uri="{FF2B5EF4-FFF2-40B4-BE49-F238E27FC236}">
              <a16:creationId xmlns:a16="http://schemas.microsoft.com/office/drawing/2014/main" id="{9162C30B-9D03-41FE-81B0-1AB714A2F21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80" name="Text Box 1">
          <a:extLst>
            <a:ext uri="{FF2B5EF4-FFF2-40B4-BE49-F238E27FC236}">
              <a16:creationId xmlns:a16="http://schemas.microsoft.com/office/drawing/2014/main" id="{5576FC82-EAAF-4BCB-B16E-2CF3BDBA5BB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81" name="Text Box 2">
          <a:extLst>
            <a:ext uri="{FF2B5EF4-FFF2-40B4-BE49-F238E27FC236}">
              <a16:creationId xmlns:a16="http://schemas.microsoft.com/office/drawing/2014/main" id="{68379637-246C-41A2-BE4C-75AC9BA7BD8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82" name="Text Box 1">
          <a:extLst>
            <a:ext uri="{FF2B5EF4-FFF2-40B4-BE49-F238E27FC236}">
              <a16:creationId xmlns:a16="http://schemas.microsoft.com/office/drawing/2014/main" id="{E8129793-9FE2-4D20-A9E7-E8F678059B6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83" name="Text Box 2">
          <a:extLst>
            <a:ext uri="{FF2B5EF4-FFF2-40B4-BE49-F238E27FC236}">
              <a16:creationId xmlns:a16="http://schemas.microsoft.com/office/drawing/2014/main" id="{846F8C0E-3376-4A58-A9B5-E1B7F7D5661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84" name="Text Box 1">
          <a:extLst>
            <a:ext uri="{FF2B5EF4-FFF2-40B4-BE49-F238E27FC236}">
              <a16:creationId xmlns:a16="http://schemas.microsoft.com/office/drawing/2014/main" id="{6146A71C-FEE6-48F7-AADC-AC12C9AD4D6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85" name="Text Box 2">
          <a:extLst>
            <a:ext uri="{FF2B5EF4-FFF2-40B4-BE49-F238E27FC236}">
              <a16:creationId xmlns:a16="http://schemas.microsoft.com/office/drawing/2014/main" id="{2640FDE4-8B8D-485F-A917-0D44B5C1C4D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86" name="Text Box 1">
          <a:extLst>
            <a:ext uri="{FF2B5EF4-FFF2-40B4-BE49-F238E27FC236}">
              <a16:creationId xmlns:a16="http://schemas.microsoft.com/office/drawing/2014/main" id="{6011659B-386D-4E8A-8862-F75FD5B5DDF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87" name="Text Box 2">
          <a:extLst>
            <a:ext uri="{FF2B5EF4-FFF2-40B4-BE49-F238E27FC236}">
              <a16:creationId xmlns:a16="http://schemas.microsoft.com/office/drawing/2014/main" id="{5C9CCC04-C734-42A5-8EBD-D34D30CAC8F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88" name="Text Box 1">
          <a:extLst>
            <a:ext uri="{FF2B5EF4-FFF2-40B4-BE49-F238E27FC236}">
              <a16:creationId xmlns:a16="http://schemas.microsoft.com/office/drawing/2014/main" id="{EA25726E-03B7-4431-A809-DCA74DA1E51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89" name="Text Box 2">
          <a:extLst>
            <a:ext uri="{FF2B5EF4-FFF2-40B4-BE49-F238E27FC236}">
              <a16:creationId xmlns:a16="http://schemas.microsoft.com/office/drawing/2014/main" id="{9EE2B39E-7F19-4FE4-89CE-4D3EAFA07C3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90" name="Text Box 1">
          <a:extLst>
            <a:ext uri="{FF2B5EF4-FFF2-40B4-BE49-F238E27FC236}">
              <a16:creationId xmlns:a16="http://schemas.microsoft.com/office/drawing/2014/main" id="{98BC7440-C783-4950-BC3A-0A875E65FB3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91" name="Text Box 2">
          <a:extLst>
            <a:ext uri="{FF2B5EF4-FFF2-40B4-BE49-F238E27FC236}">
              <a16:creationId xmlns:a16="http://schemas.microsoft.com/office/drawing/2014/main" id="{1EDBF8FB-234C-4F14-8A61-D49BCC6CDC6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92" name="Text Box 1">
          <a:extLst>
            <a:ext uri="{FF2B5EF4-FFF2-40B4-BE49-F238E27FC236}">
              <a16:creationId xmlns:a16="http://schemas.microsoft.com/office/drawing/2014/main" id="{6CDF2121-0DF0-461A-A9E2-7BD95180205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93" name="Text Box 2">
          <a:extLst>
            <a:ext uri="{FF2B5EF4-FFF2-40B4-BE49-F238E27FC236}">
              <a16:creationId xmlns:a16="http://schemas.microsoft.com/office/drawing/2014/main" id="{B6A2E48D-3AF3-4F8F-9012-B5672124424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094" name="Text Box 2">
          <a:extLst>
            <a:ext uri="{FF2B5EF4-FFF2-40B4-BE49-F238E27FC236}">
              <a16:creationId xmlns:a16="http://schemas.microsoft.com/office/drawing/2014/main" id="{FE4C84D2-DFD7-45A1-A477-0A6048631764}"/>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95" name="Text Box 1">
          <a:extLst>
            <a:ext uri="{FF2B5EF4-FFF2-40B4-BE49-F238E27FC236}">
              <a16:creationId xmlns:a16="http://schemas.microsoft.com/office/drawing/2014/main" id="{132FD4F5-422A-41BA-BD22-619B72C55CE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96" name="Text Box 2">
          <a:extLst>
            <a:ext uri="{FF2B5EF4-FFF2-40B4-BE49-F238E27FC236}">
              <a16:creationId xmlns:a16="http://schemas.microsoft.com/office/drawing/2014/main" id="{D6CBA526-80BA-4C96-9B35-A463999A1A6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97" name="Text Box 1">
          <a:extLst>
            <a:ext uri="{FF2B5EF4-FFF2-40B4-BE49-F238E27FC236}">
              <a16:creationId xmlns:a16="http://schemas.microsoft.com/office/drawing/2014/main" id="{28574685-7493-44E9-B22B-D41F1498EE4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98" name="Text Box 2">
          <a:extLst>
            <a:ext uri="{FF2B5EF4-FFF2-40B4-BE49-F238E27FC236}">
              <a16:creationId xmlns:a16="http://schemas.microsoft.com/office/drawing/2014/main" id="{56B890DD-1C62-41B4-B74A-63BEA80650D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99" name="Text Box 1">
          <a:extLst>
            <a:ext uri="{FF2B5EF4-FFF2-40B4-BE49-F238E27FC236}">
              <a16:creationId xmlns:a16="http://schemas.microsoft.com/office/drawing/2014/main" id="{44959487-AC9A-484E-8A2C-AAB758F4A338}"/>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100" name="Text Box 2">
          <a:extLst>
            <a:ext uri="{FF2B5EF4-FFF2-40B4-BE49-F238E27FC236}">
              <a16:creationId xmlns:a16="http://schemas.microsoft.com/office/drawing/2014/main" id="{1281EDCD-0ACF-4E5F-BFDC-008C549FDDB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01" name="Text Box 1">
          <a:extLst>
            <a:ext uri="{FF2B5EF4-FFF2-40B4-BE49-F238E27FC236}">
              <a16:creationId xmlns:a16="http://schemas.microsoft.com/office/drawing/2014/main" id="{B96DDE17-8999-4E2C-AC29-3BF9E58DFB4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02" name="Text Box 2">
          <a:extLst>
            <a:ext uri="{FF2B5EF4-FFF2-40B4-BE49-F238E27FC236}">
              <a16:creationId xmlns:a16="http://schemas.microsoft.com/office/drawing/2014/main" id="{E4502FDE-9337-48DA-8D0B-F43EA7CF0CC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103" name="Text Box 2">
          <a:extLst>
            <a:ext uri="{FF2B5EF4-FFF2-40B4-BE49-F238E27FC236}">
              <a16:creationId xmlns:a16="http://schemas.microsoft.com/office/drawing/2014/main" id="{7CF31692-37A7-47E8-B2E4-EEAB8983E1F1}"/>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04" name="Text Box 1">
          <a:extLst>
            <a:ext uri="{FF2B5EF4-FFF2-40B4-BE49-F238E27FC236}">
              <a16:creationId xmlns:a16="http://schemas.microsoft.com/office/drawing/2014/main" id="{AFDCA60B-C448-44B6-A3DF-0B488252D4F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05" name="Text Box 2">
          <a:extLst>
            <a:ext uri="{FF2B5EF4-FFF2-40B4-BE49-F238E27FC236}">
              <a16:creationId xmlns:a16="http://schemas.microsoft.com/office/drawing/2014/main" id="{57763FC2-AB5F-4B64-8B62-EA15E5379FB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106" name="Text Box 2">
          <a:extLst>
            <a:ext uri="{FF2B5EF4-FFF2-40B4-BE49-F238E27FC236}">
              <a16:creationId xmlns:a16="http://schemas.microsoft.com/office/drawing/2014/main" id="{BB8BD72A-E5B3-45C7-8660-AF06A66A5D6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07" name="Text Box 1">
          <a:extLst>
            <a:ext uri="{FF2B5EF4-FFF2-40B4-BE49-F238E27FC236}">
              <a16:creationId xmlns:a16="http://schemas.microsoft.com/office/drawing/2014/main" id="{F8A81240-FEAF-4C90-A904-3321D72B4CF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08" name="Text Box 2">
          <a:extLst>
            <a:ext uri="{FF2B5EF4-FFF2-40B4-BE49-F238E27FC236}">
              <a16:creationId xmlns:a16="http://schemas.microsoft.com/office/drawing/2014/main" id="{EDFA450D-2A15-46A1-9780-C85ABF3F227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109" name="Text Box 2">
          <a:extLst>
            <a:ext uri="{FF2B5EF4-FFF2-40B4-BE49-F238E27FC236}">
              <a16:creationId xmlns:a16="http://schemas.microsoft.com/office/drawing/2014/main" id="{2FD13601-4705-4E7B-88F5-0B94B382FCEB}"/>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10" name="Text Box 1">
          <a:extLst>
            <a:ext uri="{FF2B5EF4-FFF2-40B4-BE49-F238E27FC236}">
              <a16:creationId xmlns:a16="http://schemas.microsoft.com/office/drawing/2014/main" id="{62CB17B8-C6FD-4A17-BD6E-D6E3980807C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11" name="Text Box 2">
          <a:extLst>
            <a:ext uri="{FF2B5EF4-FFF2-40B4-BE49-F238E27FC236}">
              <a16:creationId xmlns:a16="http://schemas.microsoft.com/office/drawing/2014/main" id="{F179FCDB-B59B-4859-8F2C-7E24D012ACA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112" name="Text Box 2">
          <a:extLst>
            <a:ext uri="{FF2B5EF4-FFF2-40B4-BE49-F238E27FC236}">
              <a16:creationId xmlns:a16="http://schemas.microsoft.com/office/drawing/2014/main" id="{B7A99027-23A3-4F59-BB27-B2E6A68CA86B}"/>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13" name="Text Box 1">
          <a:extLst>
            <a:ext uri="{FF2B5EF4-FFF2-40B4-BE49-F238E27FC236}">
              <a16:creationId xmlns:a16="http://schemas.microsoft.com/office/drawing/2014/main" id="{EA26ABBD-9D37-4370-8A68-71C8B0AFBFE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14" name="Text Box 2">
          <a:extLst>
            <a:ext uri="{FF2B5EF4-FFF2-40B4-BE49-F238E27FC236}">
              <a16:creationId xmlns:a16="http://schemas.microsoft.com/office/drawing/2014/main" id="{9B0E52CC-C837-4BC1-9F97-3F874EE9DC0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115" name="Text Box 2">
          <a:extLst>
            <a:ext uri="{FF2B5EF4-FFF2-40B4-BE49-F238E27FC236}">
              <a16:creationId xmlns:a16="http://schemas.microsoft.com/office/drawing/2014/main" id="{4F99A1D1-123B-49C8-90DB-18FA6D9862C2}"/>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16" name="Text Box 1">
          <a:extLst>
            <a:ext uri="{FF2B5EF4-FFF2-40B4-BE49-F238E27FC236}">
              <a16:creationId xmlns:a16="http://schemas.microsoft.com/office/drawing/2014/main" id="{830C4BCB-8C39-40CC-B39A-9E1AADAF6E9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17" name="Text Box 2">
          <a:extLst>
            <a:ext uri="{FF2B5EF4-FFF2-40B4-BE49-F238E27FC236}">
              <a16:creationId xmlns:a16="http://schemas.microsoft.com/office/drawing/2014/main" id="{7070284B-7FCB-46DF-BE6A-9E6CFCE3876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118" name="Text Box 2">
          <a:extLst>
            <a:ext uri="{FF2B5EF4-FFF2-40B4-BE49-F238E27FC236}">
              <a16:creationId xmlns:a16="http://schemas.microsoft.com/office/drawing/2014/main" id="{128C82FE-E87A-47C1-8865-9D12338355E4}"/>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19" name="Text Box 1">
          <a:extLst>
            <a:ext uri="{FF2B5EF4-FFF2-40B4-BE49-F238E27FC236}">
              <a16:creationId xmlns:a16="http://schemas.microsoft.com/office/drawing/2014/main" id="{D010A25B-3797-4478-B4A0-90877415528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20" name="Text Box 2">
          <a:extLst>
            <a:ext uri="{FF2B5EF4-FFF2-40B4-BE49-F238E27FC236}">
              <a16:creationId xmlns:a16="http://schemas.microsoft.com/office/drawing/2014/main" id="{A11613DD-FD20-46E4-9BFE-655959671A7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21" name="Text Box 1">
          <a:extLst>
            <a:ext uri="{FF2B5EF4-FFF2-40B4-BE49-F238E27FC236}">
              <a16:creationId xmlns:a16="http://schemas.microsoft.com/office/drawing/2014/main" id="{1E22B322-1B9F-4E1E-B083-FD74793EBC6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22" name="Text Box 2">
          <a:extLst>
            <a:ext uri="{FF2B5EF4-FFF2-40B4-BE49-F238E27FC236}">
              <a16:creationId xmlns:a16="http://schemas.microsoft.com/office/drawing/2014/main" id="{760BE02C-13C7-49E9-83CB-4FBE6F57C66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23" name="Text Box 1">
          <a:extLst>
            <a:ext uri="{FF2B5EF4-FFF2-40B4-BE49-F238E27FC236}">
              <a16:creationId xmlns:a16="http://schemas.microsoft.com/office/drawing/2014/main" id="{5D019142-9C05-4B28-A38E-9D75707B363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24" name="Text Box 2">
          <a:extLst>
            <a:ext uri="{FF2B5EF4-FFF2-40B4-BE49-F238E27FC236}">
              <a16:creationId xmlns:a16="http://schemas.microsoft.com/office/drawing/2014/main" id="{279368D7-2907-4B00-9B53-DDB5F6166E8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125" name="Text Box 1">
          <a:extLst>
            <a:ext uri="{FF2B5EF4-FFF2-40B4-BE49-F238E27FC236}">
              <a16:creationId xmlns:a16="http://schemas.microsoft.com/office/drawing/2014/main" id="{8A734871-E5E1-4115-84F0-0622521C5740}"/>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126" name="Text Box 2">
          <a:extLst>
            <a:ext uri="{FF2B5EF4-FFF2-40B4-BE49-F238E27FC236}">
              <a16:creationId xmlns:a16="http://schemas.microsoft.com/office/drawing/2014/main" id="{53844A4F-A12D-4BBF-8B7E-ABCB4EB0199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27" name="Text Box 1">
          <a:extLst>
            <a:ext uri="{FF2B5EF4-FFF2-40B4-BE49-F238E27FC236}">
              <a16:creationId xmlns:a16="http://schemas.microsoft.com/office/drawing/2014/main" id="{D851E9D1-CB5F-4457-9EE2-1BAFD1B881C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28" name="Text Box 2">
          <a:extLst>
            <a:ext uri="{FF2B5EF4-FFF2-40B4-BE49-F238E27FC236}">
              <a16:creationId xmlns:a16="http://schemas.microsoft.com/office/drawing/2014/main" id="{8F7BD795-4849-44BC-B002-D0241ADBC59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129" name="Text Box 1">
          <a:extLst>
            <a:ext uri="{FF2B5EF4-FFF2-40B4-BE49-F238E27FC236}">
              <a16:creationId xmlns:a16="http://schemas.microsoft.com/office/drawing/2014/main" id="{A9A2A99A-6FB6-497F-ADFE-EB3936B576F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130" name="Text Box 2">
          <a:extLst>
            <a:ext uri="{FF2B5EF4-FFF2-40B4-BE49-F238E27FC236}">
              <a16:creationId xmlns:a16="http://schemas.microsoft.com/office/drawing/2014/main" id="{D917E765-4D74-4AF0-BC03-5D3B6097BFE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31" name="Text Box 1">
          <a:extLst>
            <a:ext uri="{FF2B5EF4-FFF2-40B4-BE49-F238E27FC236}">
              <a16:creationId xmlns:a16="http://schemas.microsoft.com/office/drawing/2014/main" id="{0AB1D30A-E4DE-47A0-8E8F-307F797109F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32" name="Text Box 2">
          <a:extLst>
            <a:ext uri="{FF2B5EF4-FFF2-40B4-BE49-F238E27FC236}">
              <a16:creationId xmlns:a16="http://schemas.microsoft.com/office/drawing/2014/main" id="{58090A57-453F-4BAB-A351-5EEB0656FA0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33" name="Text Box 1">
          <a:extLst>
            <a:ext uri="{FF2B5EF4-FFF2-40B4-BE49-F238E27FC236}">
              <a16:creationId xmlns:a16="http://schemas.microsoft.com/office/drawing/2014/main" id="{0F8D08B7-B38F-4C87-9EE2-1877CC59118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34" name="Text Box 2">
          <a:extLst>
            <a:ext uri="{FF2B5EF4-FFF2-40B4-BE49-F238E27FC236}">
              <a16:creationId xmlns:a16="http://schemas.microsoft.com/office/drawing/2014/main" id="{443CA5FC-A2F6-45BF-A782-37FC77ECB0A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135" name="Text Box 1">
          <a:extLst>
            <a:ext uri="{FF2B5EF4-FFF2-40B4-BE49-F238E27FC236}">
              <a16:creationId xmlns:a16="http://schemas.microsoft.com/office/drawing/2014/main" id="{B6A23B4C-6920-4263-83A5-5457164B39A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136" name="Text Box 2">
          <a:extLst>
            <a:ext uri="{FF2B5EF4-FFF2-40B4-BE49-F238E27FC236}">
              <a16:creationId xmlns:a16="http://schemas.microsoft.com/office/drawing/2014/main" id="{C0F9C26A-7FF0-4AAC-8246-521A43249C07}"/>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137" name="Text Box 2">
          <a:extLst>
            <a:ext uri="{FF2B5EF4-FFF2-40B4-BE49-F238E27FC236}">
              <a16:creationId xmlns:a16="http://schemas.microsoft.com/office/drawing/2014/main" id="{85D45295-20CE-4996-B527-76A5B7EFA1A1}"/>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38" name="Text Box 1">
          <a:extLst>
            <a:ext uri="{FF2B5EF4-FFF2-40B4-BE49-F238E27FC236}">
              <a16:creationId xmlns:a16="http://schemas.microsoft.com/office/drawing/2014/main" id="{D82E3B38-CCFD-4833-B6EE-18597825479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39" name="Text Box 2">
          <a:extLst>
            <a:ext uri="{FF2B5EF4-FFF2-40B4-BE49-F238E27FC236}">
              <a16:creationId xmlns:a16="http://schemas.microsoft.com/office/drawing/2014/main" id="{43EB304A-89CC-4AA9-A08F-C5A951C7B9C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40" name="Text Box 1">
          <a:extLst>
            <a:ext uri="{FF2B5EF4-FFF2-40B4-BE49-F238E27FC236}">
              <a16:creationId xmlns:a16="http://schemas.microsoft.com/office/drawing/2014/main" id="{8133E1B6-8742-4F90-8EF4-70469CEF524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41" name="Text Box 2">
          <a:extLst>
            <a:ext uri="{FF2B5EF4-FFF2-40B4-BE49-F238E27FC236}">
              <a16:creationId xmlns:a16="http://schemas.microsoft.com/office/drawing/2014/main" id="{DD46F96A-7713-49D8-A59B-85B1000186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142" name="Text Box 1">
          <a:extLst>
            <a:ext uri="{FF2B5EF4-FFF2-40B4-BE49-F238E27FC236}">
              <a16:creationId xmlns:a16="http://schemas.microsoft.com/office/drawing/2014/main" id="{36A5EFA3-3B94-41A3-81C2-558DA03EA55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143" name="Text Box 2">
          <a:extLst>
            <a:ext uri="{FF2B5EF4-FFF2-40B4-BE49-F238E27FC236}">
              <a16:creationId xmlns:a16="http://schemas.microsoft.com/office/drawing/2014/main" id="{4196DCAA-DF60-4606-BF20-A97786B6684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44" name="Text Box 1">
          <a:extLst>
            <a:ext uri="{FF2B5EF4-FFF2-40B4-BE49-F238E27FC236}">
              <a16:creationId xmlns:a16="http://schemas.microsoft.com/office/drawing/2014/main" id="{CBA2A22A-AFAD-4D79-9816-043BD2D76D3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45" name="Text Box 2">
          <a:extLst>
            <a:ext uri="{FF2B5EF4-FFF2-40B4-BE49-F238E27FC236}">
              <a16:creationId xmlns:a16="http://schemas.microsoft.com/office/drawing/2014/main" id="{0BE84AA7-2B3B-4FA1-8E45-4E4BC6B3F48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146" name="Text Box 2">
          <a:extLst>
            <a:ext uri="{FF2B5EF4-FFF2-40B4-BE49-F238E27FC236}">
              <a16:creationId xmlns:a16="http://schemas.microsoft.com/office/drawing/2014/main" id="{847F7C80-5E84-4197-9D6D-B1EA6584C46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47" name="Text Box 1">
          <a:extLst>
            <a:ext uri="{FF2B5EF4-FFF2-40B4-BE49-F238E27FC236}">
              <a16:creationId xmlns:a16="http://schemas.microsoft.com/office/drawing/2014/main" id="{B0D6F887-F643-43D3-9840-825DFA96488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48" name="Text Box 2">
          <a:extLst>
            <a:ext uri="{FF2B5EF4-FFF2-40B4-BE49-F238E27FC236}">
              <a16:creationId xmlns:a16="http://schemas.microsoft.com/office/drawing/2014/main" id="{7C60ADD9-D1E1-4B57-BB33-9B9E1885B29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149" name="Text Box 2">
          <a:extLst>
            <a:ext uri="{FF2B5EF4-FFF2-40B4-BE49-F238E27FC236}">
              <a16:creationId xmlns:a16="http://schemas.microsoft.com/office/drawing/2014/main" id="{3F22B0E7-CEDD-4C76-ADB5-31A9B7EEC2B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50" name="Text Box 1">
          <a:extLst>
            <a:ext uri="{FF2B5EF4-FFF2-40B4-BE49-F238E27FC236}">
              <a16:creationId xmlns:a16="http://schemas.microsoft.com/office/drawing/2014/main" id="{28C488CF-52DD-4C5C-8EA3-7B498C45261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51" name="Text Box 2">
          <a:extLst>
            <a:ext uri="{FF2B5EF4-FFF2-40B4-BE49-F238E27FC236}">
              <a16:creationId xmlns:a16="http://schemas.microsoft.com/office/drawing/2014/main" id="{4F13687A-7EF4-4E22-A868-144B677F516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152" name="Text Box 2">
          <a:extLst>
            <a:ext uri="{FF2B5EF4-FFF2-40B4-BE49-F238E27FC236}">
              <a16:creationId xmlns:a16="http://schemas.microsoft.com/office/drawing/2014/main" id="{42229DD3-16C0-4439-AAF3-B5707A14CB57}"/>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53" name="Text Box 1">
          <a:extLst>
            <a:ext uri="{FF2B5EF4-FFF2-40B4-BE49-F238E27FC236}">
              <a16:creationId xmlns:a16="http://schemas.microsoft.com/office/drawing/2014/main" id="{D4E6DE49-0CF9-4698-A8CE-1FF337BD6FC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54" name="Text Box 2">
          <a:extLst>
            <a:ext uri="{FF2B5EF4-FFF2-40B4-BE49-F238E27FC236}">
              <a16:creationId xmlns:a16="http://schemas.microsoft.com/office/drawing/2014/main" id="{BD187EA0-EE75-4FFE-B022-87073FF373C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155" name="Text Box 2">
          <a:extLst>
            <a:ext uri="{FF2B5EF4-FFF2-40B4-BE49-F238E27FC236}">
              <a16:creationId xmlns:a16="http://schemas.microsoft.com/office/drawing/2014/main" id="{6EDE5185-279F-4F6D-BD33-B6E039776DDE}"/>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56" name="Text Box 1">
          <a:extLst>
            <a:ext uri="{FF2B5EF4-FFF2-40B4-BE49-F238E27FC236}">
              <a16:creationId xmlns:a16="http://schemas.microsoft.com/office/drawing/2014/main" id="{B0E2EB08-E10D-405E-895B-125EBE8FB3D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57" name="Text Box 2">
          <a:extLst>
            <a:ext uri="{FF2B5EF4-FFF2-40B4-BE49-F238E27FC236}">
              <a16:creationId xmlns:a16="http://schemas.microsoft.com/office/drawing/2014/main" id="{3DBB3294-E4B5-4920-8B3F-8D06464E244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158" name="Text Box 2">
          <a:extLst>
            <a:ext uri="{FF2B5EF4-FFF2-40B4-BE49-F238E27FC236}">
              <a16:creationId xmlns:a16="http://schemas.microsoft.com/office/drawing/2014/main" id="{7F086322-F5E7-417C-8568-0FFBE3BF9B6F}"/>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59" name="Text Box 1">
          <a:extLst>
            <a:ext uri="{FF2B5EF4-FFF2-40B4-BE49-F238E27FC236}">
              <a16:creationId xmlns:a16="http://schemas.microsoft.com/office/drawing/2014/main" id="{42964690-C374-4E0F-A128-8E7D6CC565A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60" name="Text Box 2">
          <a:extLst>
            <a:ext uri="{FF2B5EF4-FFF2-40B4-BE49-F238E27FC236}">
              <a16:creationId xmlns:a16="http://schemas.microsoft.com/office/drawing/2014/main" id="{B18D759C-715C-458A-929C-A35E8B2A824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161" name="Text Box 2">
          <a:extLst>
            <a:ext uri="{FF2B5EF4-FFF2-40B4-BE49-F238E27FC236}">
              <a16:creationId xmlns:a16="http://schemas.microsoft.com/office/drawing/2014/main" id="{9765BCFF-AC66-4007-8BE4-FC095A26755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62" name="Text Box 1">
          <a:extLst>
            <a:ext uri="{FF2B5EF4-FFF2-40B4-BE49-F238E27FC236}">
              <a16:creationId xmlns:a16="http://schemas.microsoft.com/office/drawing/2014/main" id="{401008FF-73A1-47B2-84B4-0726E70517F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63" name="Text Box 2">
          <a:extLst>
            <a:ext uri="{FF2B5EF4-FFF2-40B4-BE49-F238E27FC236}">
              <a16:creationId xmlns:a16="http://schemas.microsoft.com/office/drawing/2014/main" id="{00F470C8-8CE2-40FE-8815-B6449B87667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64" name="Text Box 1">
          <a:extLst>
            <a:ext uri="{FF2B5EF4-FFF2-40B4-BE49-F238E27FC236}">
              <a16:creationId xmlns:a16="http://schemas.microsoft.com/office/drawing/2014/main" id="{C0C13B39-84E4-4C6B-B115-64486E80375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65" name="Text Box 2">
          <a:extLst>
            <a:ext uri="{FF2B5EF4-FFF2-40B4-BE49-F238E27FC236}">
              <a16:creationId xmlns:a16="http://schemas.microsoft.com/office/drawing/2014/main" id="{CE4E7A15-1529-4BB1-94BE-480BC734DBC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66" name="Text Box 1">
          <a:extLst>
            <a:ext uri="{FF2B5EF4-FFF2-40B4-BE49-F238E27FC236}">
              <a16:creationId xmlns:a16="http://schemas.microsoft.com/office/drawing/2014/main" id="{F2CCAEB2-1441-4CA8-9694-53339FC7278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67" name="Text Box 2">
          <a:extLst>
            <a:ext uri="{FF2B5EF4-FFF2-40B4-BE49-F238E27FC236}">
              <a16:creationId xmlns:a16="http://schemas.microsoft.com/office/drawing/2014/main" id="{861A25E9-B5C6-440C-B409-ED7B25B68FF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168" name="Text Box 1">
          <a:extLst>
            <a:ext uri="{FF2B5EF4-FFF2-40B4-BE49-F238E27FC236}">
              <a16:creationId xmlns:a16="http://schemas.microsoft.com/office/drawing/2014/main" id="{894D0617-4E16-4E00-B76F-B4C0C85308AD}"/>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169" name="Text Box 2">
          <a:extLst>
            <a:ext uri="{FF2B5EF4-FFF2-40B4-BE49-F238E27FC236}">
              <a16:creationId xmlns:a16="http://schemas.microsoft.com/office/drawing/2014/main" id="{8CCD4742-0AC0-42D5-AAAF-9C33DE0835D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70" name="Text Box 1">
          <a:extLst>
            <a:ext uri="{FF2B5EF4-FFF2-40B4-BE49-F238E27FC236}">
              <a16:creationId xmlns:a16="http://schemas.microsoft.com/office/drawing/2014/main" id="{980B2001-0CB8-49FE-AA49-A5011885509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71" name="Text Box 2">
          <a:extLst>
            <a:ext uri="{FF2B5EF4-FFF2-40B4-BE49-F238E27FC236}">
              <a16:creationId xmlns:a16="http://schemas.microsoft.com/office/drawing/2014/main" id="{97D03880-F22A-4708-B8AA-5F1D10F777B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172" name="Text Box 1">
          <a:extLst>
            <a:ext uri="{FF2B5EF4-FFF2-40B4-BE49-F238E27FC236}">
              <a16:creationId xmlns:a16="http://schemas.microsoft.com/office/drawing/2014/main" id="{8817DB12-1F4D-463E-B106-FBCC7F1A478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173" name="Text Box 2">
          <a:extLst>
            <a:ext uri="{FF2B5EF4-FFF2-40B4-BE49-F238E27FC236}">
              <a16:creationId xmlns:a16="http://schemas.microsoft.com/office/drawing/2014/main" id="{ADFCDA90-509D-4C0D-A764-9E7BAE34828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74" name="Text Box 1">
          <a:extLst>
            <a:ext uri="{FF2B5EF4-FFF2-40B4-BE49-F238E27FC236}">
              <a16:creationId xmlns:a16="http://schemas.microsoft.com/office/drawing/2014/main" id="{E789FB51-E1F7-457A-98BA-C457573C23D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75" name="Text Box 2">
          <a:extLst>
            <a:ext uri="{FF2B5EF4-FFF2-40B4-BE49-F238E27FC236}">
              <a16:creationId xmlns:a16="http://schemas.microsoft.com/office/drawing/2014/main" id="{44B07965-5194-4114-9651-EB33F869B21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76" name="Text Box 1">
          <a:extLst>
            <a:ext uri="{FF2B5EF4-FFF2-40B4-BE49-F238E27FC236}">
              <a16:creationId xmlns:a16="http://schemas.microsoft.com/office/drawing/2014/main" id="{5FA4A68E-DF28-4334-AA65-1AF621CDB05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77" name="Text Box 2">
          <a:extLst>
            <a:ext uri="{FF2B5EF4-FFF2-40B4-BE49-F238E27FC236}">
              <a16:creationId xmlns:a16="http://schemas.microsoft.com/office/drawing/2014/main" id="{76F4CEE9-985A-4002-8A0E-FBF50A825A8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178" name="Text Box 1">
          <a:extLst>
            <a:ext uri="{FF2B5EF4-FFF2-40B4-BE49-F238E27FC236}">
              <a16:creationId xmlns:a16="http://schemas.microsoft.com/office/drawing/2014/main" id="{013F50C3-E7E5-4741-8D59-EA4E9355856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179" name="Text Box 2">
          <a:extLst>
            <a:ext uri="{FF2B5EF4-FFF2-40B4-BE49-F238E27FC236}">
              <a16:creationId xmlns:a16="http://schemas.microsoft.com/office/drawing/2014/main" id="{0D90EBA6-F58D-4BCB-AA96-817E53E5718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80" name="Text Box 1">
          <a:extLst>
            <a:ext uri="{FF2B5EF4-FFF2-40B4-BE49-F238E27FC236}">
              <a16:creationId xmlns:a16="http://schemas.microsoft.com/office/drawing/2014/main" id="{6A063657-71E2-47FA-9620-FB1C1F0E352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81" name="Text Box 2">
          <a:extLst>
            <a:ext uri="{FF2B5EF4-FFF2-40B4-BE49-F238E27FC236}">
              <a16:creationId xmlns:a16="http://schemas.microsoft.com/office/drawing/2014/main" id="{477E0B6A-2CD8-45E4-A270-3D68A381C7B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82" name="Text Box 2">
          <a:extLst>
            <a:ext uri="{FF2B5EF4-FFF2-40B4-BE49-F238E27FC236}">
              <a16:creationId xmlns:a16="http://schemas.microsoft.com/office/drawing/2014/main" id="{2A8F926A-AAED-4BEE-9C60-1F7CE64F1F3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183" name="Text Box 1">
          <a:extLst>
            <a:ext uri="{FF2B5EF4-FFF2-40B4-BE49-F238E27FC236}">
              <a16:creationId xmlns:a16="http://schemas.microsoft.com/office/drawing/2014/main" id="{E8FEDD4F-9DC4-402D-A9EB-678EB95896D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184" name="Text Box 2">
          <a:extLst>
            <a:ext uri="{FF2B5EF4-FFF2-40B4-BE49-F238E27FC236}">
              <a16:creationId xmlns:a16="http://schemas.microsoft.com/office/drawing/2014/main" id="{42D44206-4B6C-4B41-A0D2-6A746524EDF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85" name="Text Box 1">
          <a:extLst>
            <a:ext uri="{FF2B5EF4-FFF2-40B4-BE49-F238E27FC236}">
              <a16:creationId xmlns:a16="http://schemas.microsoft.com/office/drawing/2014/main" id="{282BBF65-A879-4427-93DD-3FC2C78E3EF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86" name="Text Box 2">
          <a:extLst>
            <a:ext uri="{FF2B5EF4-FFF2-40B4-BE49-F238E27FC236}">
              <a16:creationId xmlns:a16="http://schemas.microsoft.com/office/drawing/2014/main" id="{9091668A-3E2E-4D9E-9DD2-9B499980F61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187" name="Text Box 1">
          <a:extLst>
            <a:ext uri="{FF2B5EF4-FFF2-40B4-BE49-F238E27FC236}">
              <a16:creationId xmlns:a16="http://schemas.microsoft.com/office/drawing/2014/main" id="{07A8174F-6116-43C1-8A8A-607249095AC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188" name="Text Box 2">
          <a:extLst>
            <a:ext uri="{FF2B5EF4-FFF2-40B4-BE49-F238E27FC236}">
              <a16:creationId xmlns:a16="http://schemas.microsoft.com/office/drawing/2014/main" id="{7320A004-07ED-4036-A20B-BEA160D4AD86}"/>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189" name="Text Box 1">
          <a:extLst>
            <a:ext uri="{FF2B5EF4-FFF2-40B4-BE49-F238E27FC236}">
              <a16:creationId xmlns:a16="http://schemas.microsoft.com/office/drawing/2014/main" id="{F8C7CCDC-199D-4934-880E-F6E8C927DDA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190" name="Text Box 2">
          <a:extLst>
            <a:ext uri="{FF2B5EF4-FFF2-40B4-BE49-F238E27FC236}">
              <a16:creationId xmlns:a16="http://schemas.microsoft.com/office/drawing/2014/main" id="{6CA85145-DABD-4100-AD01-AC7E0ADDAF8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91" name="Text Box 1">
          <a:extLst>
            <a:ext uri="{FF2B5EF4-FFF2-40B4-BE49-F238E27FC236}">
              <a16:creationId xmlns:a16="http://schemas.microsoft.com/office/drawing/2014/main" id="{4D19B5CF-695D-432B-A416-D554FC6E2DE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92" name="Text Box 2">
          <a:extLst>
            <a:ext uri="{FF2B5EF4-FFF2-40B4-BE49-F238E27FC236}">
              <a16:creationId xmlns:a16="http://schemas.microsoft.com/office/drawing/2014/main" id="{F90C7FFC-6002-4A46-9A1F-F5D719CCA5D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193" name="Text Box 1">
          <a:extLst>
            <a:ext uri="{FF2B5EF4-FFF2-40B4-BE49-F238E27FC236}">
              <a16:creationId xmlns:a16="http://schemas.microsoft.com/office/drawing/2014/main" id="{15F00385-3894-4BA1-98DA-D6D53FE8391D}"/>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194" name="Text Box 2">
          <a:extLst>
            <a:ext uri="{FF2B5EF4-FFF2-40B4-BE49-F238E27FC236}">
              <a16:creationId xmlns:a16="http://schemas.microsoft.com/office/drawing/2014/main" id="{6304B019-4D1B-41A1-B2B7-C409C153402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195" name="Text Box 1">
          <a:extLst>
            <a:ext uri="{FF2B5EF4-FFF2-40B4-BE49-F238E27FC236}">
              <a16:creationId xmlns:a16="http://schemas.microsoft.com/office/drawing/2014/main" id="{0D196748-8F73-420D-B490-B901BF9835F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196" name="Text Box 2">
          <a:extLst>
            <a:ext uri="{FF2B5EF4-FFF2-40B4-BE49-F238E27FC236}">
              <a16:creationId xmlns:a16="http://schemas.microsoft.com/office/drawing/2014/main" id="{C33CF000-9216-41E7-8DD5-050B0E1E879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97" name="Text Box 1">
          <a:extLst>
            <a:ext uri="{FF2B5EF4-FFF2-40B4-BE49-F238E27FC236}">
              <a16:creationId xmlns:a16="http://schemas.microsoft.com/office/drawing/2014/main" id="{5310D1B9-E014-4495-963C-01F142CD640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98" name="Text Box 2">
          <a:extLst>
            <a:ext uri="{FF2B5EF4-FFF2-40B4-BE49-F238E27FC236}">
              <a16:creationId xmlns:a16="http://schemas.microsoft.com/office/drawing/2014/main" id="{46528DD0-465D-41B0-9CB4-D1A240F151D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199" name="Text Box 1">
          <a:extLst>
            <a:ext uri="{FF2B5EF4-FFF2-40B4-BE49-F238E27FC236}">
              <a16:creationId xmlns:a16="http://schemas.microsoft.com/office/drawing/2014/main" id="{6AC3A696-DE50-414D-9F0B-BC3518CF113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00" name="Text Box 2">
          <a:extLst>
            <a:ext uri="{FF2B5EF4-FFF2-40B4-BE49-F238E27FC236}">
              <a16:creationId xmlns:a16="http://schemas.microsoft.com/office/drawing/2014/main" id="{6B9501F5-19C3-4825-B207-F1F23BD22FF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01" name="Text Box 1">
          <a:extLst>
            <a:ext uri="{FF2B5EF4-FFF2-40B4-BE49-F238E27FC236}">
              <a16:creationId xmlns:a16="http://schemas.microsoft.com/office/drawing/2014/main" id="{107967D3-DB44-4908-B9DC-308413C87CE8}"/>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02" name="Text Box 2">
          <a:extLst>
            <a:ext uri="{FF2B5EF4-FFF2-40B4-BE49-F238E27FC236}">
              <a16:creationId xmlns:a16="http://schemas.microsoft.com/office/drawing/2014/main" id="{879A9253-0B4B-4DD0-B6E3-77EACF44748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03" name="Text Box 1">
          <a:extLst>
            <a:ext uri="{FF2B5EF4-FFF2-40B4-BE49-F238E27FC236}">
              <a16:creationId xmlns:a16="http://schemas.microsoft.com/office/drawing/2014/main" id="{0F98B65F-8584-4516-B8D4-E9F746E45DE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04" name="Text Box 2">
          <a:extLst>
            <a:ext uri="{FF2B5EF4-FFF2-40B4-BE49-F238E27FC236}">
              <a16:creationId xmlns:a16="http://schemas.microsoft.com/office/drawing/2014/main" id="{804EEC70-EC44-448D-86C8-D5995AF978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205" name="Text Box 2">
          <a:extLst>
            <a:ext uri="{FF2B5EF4-FFF2-40B4-BE49-F238E27FC236}">
              <a16:creationId xmlns:a16="http://schemas.microsoft.com/office/drawing/2014/main" id="{83AFA900-6ECD-4F45-BEF6-F528D2139D27}"/>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06" name="Text Box 1">
          <a:extLst>
            <a:ext uri="{FF2B5EF4-FFF2-40B4-BE49-F238E27FC236}">
              <a16:creationId xmlns:a16="http://schemas.microsoft.com/office/drawing/2014/main" id="{FBFB6FCF-FF73-4362-9932-0F2453EFF82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07" name="Text Box 2">
          <a:extLst>
            <a:ext uri="{FF2B5EF4-FFF2-40B4-BE49-F238E27FC236}">
              <a16:creationId xmlns:a16="http://schemas.microsoft.com/office/drawing/2014/main" id="{BE061F2B-542C-4C15-9F3B-1B847D7830F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08" name="Text Box 1">
          <a:extLst>
            <a:ext uri="{FF2B5EF4-FFF2-40B4-BE49-F238E27FC236}">
              <a16:creationId xmlns:a16="http://schemas.microsoft.com/office/drawing/2014/main" id="{C875C398-9FA7-49E4-944C-61A420E5793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09" name="Text Box 2">
          <a:extLst>
            <a:ext uri="{FF2B5EF4-FFF2-40B4-BE49-F238E27FC236}">
              <a16:creationId xmlns:a16="http://schemas.microsoft.com/office/drawing/2014/main" id="{65C7630F-E81C-445A-B94F-C95569C4D11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10" name="Text Box 1">
          <a:extLst>
            <a:ext uri="{FF2B5EF4-FFF2-40B4-BE49-F238E27FC236}">
              <a16:creationId xmlns:a16="http://schemas.microsoft.com/office/drawing/2014/main" id="{18D3D427-44F9-4C28-AD07-32FE6CFCED5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11" name="Text Box 2">
          <a:extLst>
            <a:ext uri="{FF2B5EF4-FFF2-40B4-BE49-F238E27FC236}">
              <a16:creationId xmlns:a16="http://schemas.microsoft.com/office/drawing/2014/main" id="{5439C02B-6C37-4659-AF5B-18A6735512C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12" name="Text Box 1">
          <a:extLst>
            <a:ext uri="{FF2B5EF4-FFF2-40B4-BE49-F238E27FC236}">
              <a16:creationId xmlns:a16="http://schemas.microsoft.com/office/drawing/2014/main" id="{EABDA6C6-293B-42B7-ACE1-FEA4AC21EC0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13" name="Text Box 2">
          <a:extLst>
            <a:ext uri="{FF2B5EF4-FFF2-40B4-BE49-F238E27FC236}">
              <a16:creationId xmlns:a16="http://schemas.microsoft.com/office/drawing/2014/main" id="{E4085E59-D897-48A4-A615-18E6512A823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214" name="Text Box 2">
          <a:extLst>
            <a:ext uri="{FF2B5EF4-FFF2-40B4-BE49-F238E27FC236}">
              <a16:creationId xmlns:a16="http://schemas.microsoft.com/office/drawing/2014/main" id="{34EF526A-66B0-4635-A370-64DA554AED88}"/>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15" name="Text Box 1">
          <a:extLst>
            <a:ext uri="{FF2B5EF4-FFF2-40B4-BE49-F238E27FC236}">
              <a16:creationId xmlns:a16="http://schemas.microsoft.com/office/drawing/2014/main" id="{D9400FA0-DD5D-403C-A85C-1A6544DA2B0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16" name="Text Box 2">
          <a:extLst>
            <a:ext uri="{FF2B5EF4-FFF2-40B4-BE49-F238E27FC236}">
              <a16:creationId xmlns:a16="http://schemas.microsoft.com/office/drawing/2014/main" id="{334567C5-524A-4A7F-A3E4-36F64BC6DDB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217" name="Text Box 2">
          <a:extLst>
            <a:ext uri="{FF2B5EF4-FFF2-40B4-BE49-F238E27FC236}">
              <a16:creationId xmlns:a16="http://schemas.microsoft.com/office/drawing/2014/main" id="{A032FE0B-3C33-4E8E-900F-1A7EF1DD6C9B}"/>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18" name="Text Box 1">
          <a:extLst>
            <a:ext uri="{FF2B5EF4-FFF2-40B4-BE49-F238E27FC236}">
              <a16:creationId xmlns:a16="http://schemas.microsoft.com/office/drawing/2014/main" id="{C6268A68-D4F5-417B-8AB3-AC89BB63553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19" name="Text Box 2">
          <a:extLst>
            <a:ext uri="{FF2B5EF4-FFF2-40B4-BE49-F238E27FC236}">
              <a16:creationId xmlns:a16="http://schemas.microsoft.com/office/drawing/2014/main" id="{10F41603-5783-4D24-8476-1C6BA12F3AD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220" name="Text Box 2">
          <a:extLst>
            <a:ext uri="{FF2B5EF4-FFF2-40B4-BE49-F238E27FC236}">
              <a16:creationId xmlns:a16="http://schemas.microsoft.com/office/drawing/2014/main" id="{D202DBE8-67C5-4E63-9900-A4E2AA6A4344}"/>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21" name="Text Box 1">
          <a:extLst>
            <a:ext uri="{FF2B5EF4-FFF2-40B4-BE49-F238E27FC236}">
              <a16:creationId xmlns:a16="http://schemas.microsoft.com/office/drawing/2014/main" id="{A7B072BF-8A06-43FC-AAD9-FAA8ADD8081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22" name="Text Box 2">
          <a:extLst>
            <a:ext uri="{FF2B5EF4-FFF2-40B4-BE49-F238E27FC236}">
              <a16:creationId xmlns:a16="http://schemas.microsoft.com/office/drawing/2014/main" id="{E2144673-357D-44A9-928B-92AA7DA7BE4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223" name="Text Box 2">
          <a:extLst>
            <a:ext uri="{FF2B5EF4-FFF2-40B4-BE49-F238E27FC236}">
              <a16:creationId xmlns:a16="http://schemas.microsoft.com/office/drawing/2014/main" id="{3D7660E5-16EE-4445-8ADB-DD2CBD05956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24" name="Text Box 1">
          <a:extLst>
            <a:ext uri="{FF2B5EF4-FFF2-40B4-BE49-F238E27FC236}">
              <a16:creationId xmlns:a16="http://schemas.microsoft.com/office/drawing/2014/main" id="{DD353180-99A3-4EF7-ACD1-83E33F19D30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25" name="Text Box 2">
          <a:extLst>
            <a:ext uri="{FF2B5EF4-FFF2-40B4-BE49-F238E27FC236}">
              <a16:creationId xmlns:a16="http://schemas.microsoft.com/office/drawing/2014/main" id="{EE86FABE-8B14-4BDF-B8AD-45B9EED0913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226" name="Text Box 2">
          <a:extLst>
            <a:ext uri="{FF2B5EF4-FFF2-40B4-BE49-F238E27FC236}">
              <a16:creationId xmlns:a16="http://schemas.microsoft.com/office/drawing/2014/main" id="{E26FA86B-16BE-43F2-8D16-982BA7588B44}"/>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27" name="Text Box 1">
          <a:extLst>
            <a:ext uri="{FF2B5EF4-FFF2-40B4-BE49-F238E27FC236}">
              <a16:creationId xmlns:a16="http://schemas.microsoft.com/office/drawing/2014/main" id="{B0737A19-7DF6-4969-A2AB-44EAE077A4F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28" name="Text Box 2">
          <a:extLst>
            <a:ext uri="{FF2B5EF4-FFF2-40B4-BE49-F238E27FC236}">
              <a16:creationId xmlns:a16="http://schemas.microsoft.com/office/drawing/2014/main" id="{3D47A140-9568-40BF-A84F-20F31123300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229" name="Text Box 2">
          <a:extLst>
            <a:ext uri="{FF2B5EF4-FFF2-40B4-BE49-F238E27FC236}">
              <a16:creationId xmlns:a16="http://schemas.microsoft.com/office/drawing/2014/main" id="{F5D7045F-E2F9-4DE2-B672-4C26A199F65A}"/>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30" name="Text Box 1">
          <a:extLst>
            <a:ext uri="{FF2B5EF4-FFF2-40B4-BE49-F238E27FC236}">
              <a16:creationId xmlns:a16="http://schemas.microsoft.com/office/drawing/2014/main" id="{B38E5D4B-640B-47F8-B912-53750F294AA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31" name="Text Box 2">
          <a:extLst>
            <a:ext uri="{FF2B5EF4-FFF2-40B4-BE49-F238E27FC236}">
              <a16:creationId xmlns:a16="http://schemas.microsoft.com/office/drawing/2014/main" id="{5420AF8C-2B82-45EA-9A52-56F7786E87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32" name="Text Box 1">
          <a:extLst>
            <a:ext uri="{FF2B5EF4-FFF2-40B4-BE49-F238E27FC236}">
              <a16:creationId xmlns:a16="http://schemas.microsoft.com/office/drawing/2014/main" id="{8601F014-CF4B-4C23-A508-67896022166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33" name="Text Box 2">
          <a:extLst>
            <a:ext uri="{FF2B5EF4-FFF2-40B4-BE49-F238E27FC236}">
              <a16:creationId xmlns:a16="http://schemas.microsoft.com/office/drawing/2014/main" id="{8214D42E-DBFB-4132-85FD-B000456727C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34" name="Text Box 1">
          <a:extLst>
            <a:ext uri="{FF2B5EF4-FFF2-40B4-BE49-F238E27FC236}">
              <a16:creationId xmlns:a16="http://schemas.microsoft.com/office/drawing/2014/main" id="{69B4A85F-B5CA-4F59-AC7C-A370CF86270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35" name="Text Box 2">
          <a:extLst>
            <a:ext uri="{FF2B5EF4-FFF2-40B4-BE49-F238E27FC236}">
              <a16:creationId xmlns:a16="http://schemas.microsoft.com/office/drawing/2014/main" id="{1355EA7F-64C0-4D7B-997E-2C9F70C5DFE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36" name="Text Box 1">
          <a:extLst>
            <a:ext uri="{FF2B5EF4-FFF2-40B4-BE49-F238E27FC236}">
              <a16:creationId xmlns:a16="http://schemas.microsoft.com/office/drawing/2014/main" id="{17F9E999-F4C3-4E4E-9B83-D703E14B3FE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37" name="Text Box 2">
          <a:extLst>
            <a:ext uri="{FF2B5EF4-FFF2-40B4-BE49-F238E27FC236}">
              <a16:creationId xmlns:a16="http://schemas.microsoft.com/office/drawing/2014/main" id="{C2AB46B4-31FA-4744-AD97-C759D62E64D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38" name="Text Box 1">
          <a:extLst>
            <a:ext uri="{FF2B5EF4-FFF2-40B4-BE49-F238E27FC236}">
              <a16:creationId xmlns:a16="http://schemas.microsoft.com/office/drawing/2014/main" id="{810CE64C-844B-4CDC-9FF9-61C3DC0C274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39" name="Text Box 2">
          <a:extLst>
            <a:ext uri="{FF2B5EF4-FFF2-40B4-BE49-F238E27FC236}">
              <a16:creationId xmlns:a16="http://schemas.microsoft.com/office/drawing/2014/main" id="{1B0A8F28-938B-4C21-B08E-6ECBC8C2CF2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40" name="Text Box 1">
          <a:extLst>
            <a:ext uri="{FF2B5EF4-FFF2-40B4-BE49-F238E27FC236}">
              <a16:creationId xmlns:a16="http://schemas.microsoft.com/office/drawing/2014/main" id="{BCCC4DC9-0343-4F5F-815D-AED34E57C8D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41" name="Text Box 2">
          <a:extLst>
            <a:ext uri="{FF2B5EF4-FFF2-40B4-BE49-F238E27FC236}">
              <a16:creationId xmlns:a16="http://schemas.microsoft.com/office/drawing/2014/main" id="{AFE93DA3-F5EF-4BFE-8113-3EDC5D82755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42" name="Text Box 2">
          <a:extLst>
            <a:ext uri="{FF2B5EF4-FFF2-40B4-BE49-F238E27FC236}">
              <a16:creationId xmlns:a16="http://schemas.microsoft.com/office/drawing/2014/main" id="{A7539ADC-A5FA-4A1C-9333-DB634634DD7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43" name="Text Box 1">
          <a:extLst>
            <a:ext uri="{FF2B5EF4-FFF2-40B4-BE49-F238E27FC236}">
              <a16:creationId xmlns:a16="http://schemas.microsoft.com/office/drawing/2014/main" id="{295C861C-17B7-4ADB-83E5-7E12932133D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44" name="Text Box 2">
          <a:extLst>
            <a:ext uri="{FF2B5EF4-FFF2-40B4-BE49-F238E27FC236}">
              <a16:creationId xmlns:a16="http://schemas.microsoft.com/office/drawing/2014/main" id="{3A451D87-0F42-4230-A0F9-D62557115E9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45" name="Text Box 1">
          <a:extLst>
            <a:ext uri="{FF2B5EF4-FFF2-40B4-BE49-F238E27FC236}">
              <a16:creationId xmlns:a16="http://schemas.microsoft.com/office/drawing/2014/main" id="{0F3EC4F1-B9B1-4A8E-9E00-54F110A7C105}"/>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46" name="Text Box 2">
          <a:extLst>
            <a:ext uri="{FF2B5EF4-FFF2-40B4-BE49-F238E27FC236}">
              <a16:creationId xmlns:a16="http://schemas.microsoft.com/office/drawing/2014/main" id="{D6FAE596-2579-4D58-83A5-8CA7E4955FD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47" name="Text Box 1">
          <a:extLst>
            <a:ext uri="{FF2B5EF4-FFF2-40B4-BE49-F238E27FC236}">
              <a16:creationId xmlns:a16="http://schemas.microsoft.com/office/drawing/2014/main" id="{7F5A013E-5BA8-46C2-A06E-5BC812E3281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48" name="Text Box 2">
          <a:extLst>
            <a:ext uri="{FF2B5EF4-FFF2-40B4-BE49-F238E27FC236}">
              <a16:creationId xmlns:a16="http://schemas.microsoft.com/office/drawing/2014/main" id="{25061469-2C6F-4A45-A95E-EAA03FED629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49" name="Text Box 2">
          <a:extLst>
            <a:ext uri="{FF2B5EF4-FFF2-40B4-BE49-F238E27FC236}">
              <a16:creationId xmlns:a16="http://schemas.microsoft.com/office/drawing/2014/main" id="{5BA89745-FF5A-4337-AA41-280DE412547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50" name="Text Box 1">
          <a:extLst>
            <a:ext uri="{FF2B5EF4-FFF2-40B4-BE49-F238E27FC236}">
              <a16:creationId xmlns:a16="http://schemas.microsoft.com/office/drawing/2014/main" id="{512E80E1-FA17-4E58-9834-EAEFBF27F21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51" name="Text Box 2">
          <a:extLst>
            <a:ext uri="{FF2B5EF4-FFF2-40B4-BE49-F238E27FC236}">
              <a16:creationId xmlns:a16="http://schemas.microsoft.com/office/drawing/2014/main" id="{AB10AE79-D7C2-4207-A5BB-DCE7C4BC80B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52" name="Text Box 1">
          <a:extLst>
            <a:ext uri="{FF2B5EF4-FFF2-40B4-BE49-F238E27FC236}">
              <a16:creationId xmlns:a16="http://schemas.microsoft.com/office/drawing/2014/main" id="{43CD9B90-FCAA-4F76-A6D1-317AB9A1B3F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53" name="Text Box 2">
          <a:extLst>
            <a:ext uri="{FF2B5EF4-FFF2-40B4-BE49-F238E27FC236}">
              <a16:creationId xmlns:a16="http://schemas.microsoft.com/office/drawing/2014/main" id="{B6DA7B1D-8E00-40A9-9D65-ACBACB362FE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54" name="Text Box 1">
          <a:extLst>
            <a:ext uri="{FF2B5EF4-FFF2-40B4-BE49-F238E27FC236}">
              <a16:creationId xmlns:a16="http://schemas.microsoft.com/office/drawing/2014/main" id="{2CD3B45F-450C-4B58-A3E8-48B02A7BB6B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55" name="Text Box 2">
          <a:extLst>
            <a:ext uri="{FF2B5EF4-FFF2-40B4-BE49-F238E27FC236}">
              <a16:creationId xmlns:a16="http://schemas.microsoft.com/office/drawing/2014/main" id="{98E3CFC0-D908-48AA-BCE7-EEA36B11DDF7}"/>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56" name="Text Box 1">
          <a:extLst>
            <a:ext uri="{FF2B5EF4-FFF2-40B4-BE49-F238E27FC236}">
              <a16:creationId xmlns:a16="http://schemas.microsoft.com/office/drawing/2014/main" id="{B7F614E4-83FA-48EA-934F-2732A0C6397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57" name="Text Box 2">
          <a:extLst>
            <a:ext uri="{FF2B5EF4-FFF2-40B4-BE49-F238E27FC236}">
              <a16:creationId xmlns:a16="http://schemas.microsoft.com/office/drawing/2014/main" id="{22E8FE5A-5E8D-4A8F-81C2-BE46C523D27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58" name="Text Box 1">
          <a:extLst>
            <a:ext uri="{FF2B5EF4-FFF2-40B4-BE49-F238E27FC236}">
              <a16:creationId xmlns:a16="http://schemas.microsoft.com/office/drawing/2014/main" id="{E5860FDF-849B-4AD5-B56E-EEC19E26A67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59" name="Text Box 2">
          <a:extLst>
            <a:ext uri="{FF2B5EF4-FFF2-40B4-BE49-F238E27FC236}">
              <a16:creationId xmlns:a16="http://schemas.microsoft.com/office/drawing/2014/main" id="{FEE3FC3E-DE5A-4B81-80AC-D24A2F11793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60" name="Text Box 1">
          <a:extLst>
            <a:ext uri="{FF2B5EF4-FFF2-40B4-BE49-F238E27FC236}">
              <a16:creationId xmlns:a16="http://schemas.microsoft.com/office/drawing/2014/main" id="{1248F955-2587-4D08-8CA0-4DBBFCC8FC0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61" name="Text Box 2">
          <a:extLst>
            <a:ext uri="{FF2B5EF4-FFF2-40B4-BE49-F238E27FC236}">
              <a16:creationId xmlns:a16="http://schemas.microsoft.com/office/drawing/2014/main" id="{570BDBFA-218B-46CB-B5F4-1986BF4F1F8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62" name="Text Box 1">
          <a:extLst>
            <a:ext uri="{FF2B5EF4-FFF2-40B4-BE49-F238E27FC236}">
              <a16:creationId xmlns:a16="http://schemas.microsoft.com/office/drawing/2014/main" id="{80A5CA7C-A477-4109-B855-F6BCEE99D54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63" name="Text Box 2">
          <a:extLst>
            <a:ext uri="{FF2B5EF4-FFF2-40B4-BE49-F238E27FC236}">
              <a16:creationId xmlns:a16="http://schemas.microsoft.com/office/drawing/2014/main" id="{EF7A9385-643B-48BB-8821-BF533E637FA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64" name="Text Box 1">
          <a:extLst>
            <a:ext uri="{FF2B5EF4-FFF2-40B4-BE49-F238E27FC236}">
              <a16:creationId xmlns:a16="http://schemas.microsoft.com/office/drawing/2014/main" id="{8838C1DE-CE3F-4D81-8435-7670F60ECE7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65" name="Text Box 2">
          <a:extLst>
            <a:ext uri="{FF2B5EF4-FFF2-40B4-BE49-F238E27FC236}">
              <a16:creationId xmlns:a16="http://schemas.microsoft.com/office/drawing/2014/main" id="{824D51D7-7CD5-4239-85BB-65ABEDCE117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66" name="Text Box 1">
          <a:extLst>
            <a:ext uri="{FF2B5EF4-FFF2-40B4-BE49-F238E27FC236}">
              <a16:creationId xmlns:a16="http://schemas.microsoft.com/office/drawing/2014/main" id="{864D982B-365E-4EDC-AC8C-039898B57CA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67" name="Text Box 2">
          <a:extLst>
            <a:ext uri="{FF2B5EF4-FFF2-40B4-BE49-F238E27FC236}">
              <a16:creationId xmlns:a16="http://schemas.microsoft.com/office/drawing/2014/main" id="{AB0DEB8C-4035-47D3-964F-D6BA4F644827}"/>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68" name="Text Box 1">
          <a:extLst>
            <a:ext uri="{FF2B5EF4-FFF2-40B4-BE49-F238E27FC236}">
              <a16:creationId xmlns:a16="http://schemas.microsoft.com/office/drawing/2014/main" id="{70F8A449-C2E1-4BFC-A9F7-4CC7A506251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69" name="Text Box 2">
          <a:extLst>
            <a:ext uri="{FF2B5EF4-FFF2-40B4-BE49-F238E27FC236}">
              <a16:creationId xmlns:a16="http://schemas.microsoft.com/office/drawing/2014/main" id="{58C4EAC2-2A6F-402D-9DFB-EB6348167FE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70" name="Text Box 1">
          <a:extLst>
            <a:ext uri="{FF2B5EF4-FFF2-40B4-BE49-F238E27FC236}">
              <a16:creationId xmlns:a16="http://schemas.microsoft.com/office/drawing/2014/main" id="{D83EA708-9490-4F95-8727-EA2A9865FD7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71" name="Text Box 2">
          <a:extLst>
            <a:ext uri="{FF2B5EF4-FFF2-40B4-BE49-F238E27FC236}">
              <a16:creationId xmlns:a16="http://schemas.microsoft.com/office/drawing/2014/main" id="{5F75FC89-C913-490B-8C1C-3F2CC690FFF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72" name="Text Box 1">
          <a:extLst>
            <a:ext uri="{FF2B5EF4-FFF2-40B4-BE49-F238E27FC236}">
              <a16:creationId xmlns:a16="http://schemas.microsoft.com/office/drawing/2014/main" id="{F733A54C-5996-4A5A-AB88-218912A8B84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73" name="Text Box 2">
          <a:extLst>
            <a:ext uri="{FF2B5EF4-FFF2-40B4-BE49-F238E27FC236}">
              <a16:creationId xmlns:a16="http://schemas.microsoft.com/office/drawing/2014/main" id="{FDEC7CA9-A751-4878-BD1B-C54F4130D3F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74" name="Text Box 1">
          <a:extLst>
            <a:ext uri="{FF2B5EF4-FFF2-40B4-BE49-F238E27FC236}">
              <a16:creationId xmlns:a16="http://schemas.microsoft.com/office/drawing/2014/main" id="{9720F134-4C48-4667-A6C8-CA1302722AA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75" name="Text Box 2">
          <a:extLst>
            <a:ext uri="{FF2B5EF4-FFF2-40B4-BE49-F238E27FC236}">
              <a16:creationId xmlns:a16="http://schemas.microsoft.com/office/drawing/2014/main" id="{4AB28608-A29B-40CF-9AAB-85CA676C830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76" name="Text Box 1">
          <a:extLst>
            <a:ext uri="{FF2B5EF4-FFF2-40B4-BE49-F238E27FC236}">
              <a16:creationId xmlns:a16="http://schemas.microsoft.com/office/drawing/2014/main" id="{54C8C131-7FF6-4E1D-8382-064090A0F1F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77" name="Text Box 2">
          <a:extLst>
            <a:ext uri="{FF2B5EF4-FFF2-40B4-BE49-F238E27FC236}">
              <a16:creationId xmlns:a16="http://schemas.microsoft.com/office/drawing/2014/main" id="{5F861977-CBCE-4D1A-8F70-337A792B998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78" name="Text Box 1">
          <a:extLst>
            <a:ext uri="{FF2B5EF4-FFF2-40B4-BE49-F238E27FC236}">
              <a16:creationId xmlns:a16="http://schemas.microsoft.com/office/drawing/2014/main" id="{010E4B6D-E181-4933-B0B6-971FA56A5AD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79" name="Text Box 2">
          <a:extLst>
            <a:ext uri="{FF2B5EF4-FFF2-40B4-BE49-F238E27FC236}">
              <a16:creationId xmlns:a16="http://schemas.microsoft.com/office/drawing/2014/main" id="{B439B7F4-ECD7-4C3A-9523-E71A5C50388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80" name="Text Box 1">
          <a:extLst>
            <a:ext uri="{FF2B5EF4-FFF2-40B4-BE49-F238E27FC236}">
              <a16:creationId xmlns:a16="http://schemas.microsoft.com/office/drawing/2014/main" id="{D31D9A75-846E-4883-BAE0-EA0C89148B5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81" name="Text Box 2">
          <a:extLst>
            <a:ext uri="{FF2B5EF4-FFF2-40B4-BE49-F238E27FC236}">
              <a16:creationId xmlns:a16="http://schemas.microsoft.com/office/drawing/2014/main" id="{0D115509-3FE6-4E05-93F8-303B60AEBE8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82" name="Text Box 1">
          <a:extLst>
            <a:ext uri="{FF2B5EF4-FFF2-40B4-BE49-F238E27FC236}">
              <a16:creationId xmlns:a16="http://schemas.microsoft.com/office/drawing/2014/main" id="{D7A57C6E-0A6E-42B5-8896-1304C470978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83" name="Text Box 2">
          <a:extLst>
            <a:ext uri="{FF2B5EF4-FFF2-40B4-BE49-F238E27FC236}">
              <a16:creationId xmlns:a16="http://schemas.microsoft.com/office/drawing/2014/main" id="{1C9852EA-3A1D-467C-8988-107EC664AF96}"/>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84" name="Text Box 1">
          <a:extLst>
            <a:ext uri="{FF2B5EF4-FFF2-40B4-BE49-F238E27FC236}">
              <a16:creationId xmlns:a16="http://schemas.microsoft.com/office/drawing/2014/main" id="{14FE490C-CE9D-4A46-92EB-949C2C7468A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85" name="Text Box 2">
          <a:extLst>
            <a:ext uri="{FF2B5EF4-FFF2-40B4-BE49-F238E27FC236}">
              <a16:creationId xmlns:a16="http://schemas.microsoft.com/office/drawing/2014/main" id="{5BD0C5D8-60EC-425F-B2A8-9627CED5D84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86" name="Text Box 1">
          <a:extLst>
            <a:ext uri="{FF2B5EF4-FFF2-40B4-BE49-F238E27FC236}">
              <a16:creationId xmlns:a16="http://schemas.microsoft.com/office/drawing/2014/main" id="{EAF086E6-A674-451B-B8BF-EEC0F89AC7C0}"/>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87" name="Text Box 2">
          <a:extLst>
            <a:ext uri="{FF2B5EF4-FFF2-40B4-BE49-F238E27FC236}">
              <a16:creationId xmlns:a16="http://schemas.microsoft.com/office/drawing/2014/main" id="{98C64E0A-0540-4E79-B16E-A301BF2B097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88" name="Text Box 1">
          <a:extLst>
            <a:ext uri="{FF2B5EF4-FFF2-40B4-BE49-F238E27FC236}">
              <a16:creationId xmlns:a16="http://schemas.microsoft.com/office/drawing/2014/main" id="{8561D5B8-35A7-423B-AA26-1168EE6EA8E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89" name="Text Box 2">
          <a:extLst>
            <a:ext uri="{FF2B5EF4-FFF2-40B4-BE49-F238E27FC236}">
              <a16:creationId xmlns:a16="http://schemas.microsoft.com/office/drawing/2014/main" id="{E91E9FA0-36EB-46E8-A304-584BBD5C7A5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90" name="Text Box 1">
          <a:extLst>
            <a:ext uri="{FF2B5EF4-FFF2-40B4-BE49-F238E27FC236}">
              <a16:creationId xmlns:a16="http://schemas.microsoft.com/office/drawing/2014/main" id="{586BCC56-F618-419A-A6EF-1FDE1CDE07C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91" name="Text Box 2">
          <a:extLst>
            <a:ext uri="{FF2B5EF4-FFF2-40B4-BE49-F238E27FC236}">
              <a16:creationId xmlns:a16="http://schemas.microsoft.com/office/drawing/2014/main" id="{CF62914F-0EAB-45C8-84E1-56887406C21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92" name="Text Box 1">
          <a:extLst>
            <a:ext uri="{FF2B5EF4-FFF2-40B4-BE49-F238E27FC236}">
              <a16:creationId xmlns:a16="http://schemas.microsoft.com/office/drawing/2014/main" id="{81CCAF8D-4C01-4D69-8700-09C5E8AC6D5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93" name="Text Box 2">
          <a:extLst>
            <a:ext uri="{FF2B5EF4-FFF2-40B4-BE49-F238E27FC236}">
              <a16:creationId xmlns:a16="http://schemas.microsoft.com/office/drawing/2014/main" id="{7EC6A9CC-F317-4130-9E12-2E7D4A210B6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94" name="Text Box 1">
          <a:extLst>
            <a:ext uri="{FF2B5EF4-FFF2-40B4-BE49-F238E27FC236}">
              <a16:creationId xmlns:a16="http://schemas.microsoft.com/office/drawing/2014/main" id="{3AA73CAD-8F40-4A6C-847E-79073838635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95" name="Text Box 2">
          <a:extLst>
            <a:ext uri="{FF2B5EF4-FFF2-40B4-BE49-F238E27FC236}">
              <a16:creationId xmlns:a16="http://schemas.microsoft.com/office/drawing/2014/main" id="{6ED71CD0-C9E1-4309-BDD3-3B84EFB07CC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96" name="Text Box 1">
          <a:extLst>
            <a:ext uri="{FF2B5EF4-FFF2-40B4-BE49-F238E27FC236}">
              <a16:creationId xmlns:a16="http://schemas.microsoft.com/office/drawing/2014/main" id="{492CF875-0123-4586-9AC9-CAF47BF42A7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97" name="Text Box 2">
          <a:extLst>
            <a:ext uri="{FF2B5EF4-FFF2-40B4-BE49-F238E27FC236}">
              <a16:creationId xmlns:a16="http://schemas.microsoft.com/office/drawing/2014/main" id="{00B61325-4172-4FEC-9CBE-8F53EA6D014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98" name="Text Box 1">
          <a:extLst>
            <a:ext uri="{FF2B5EF4-FFF2-40B4-BE49-F238E27FC236}">
              <a16:creationId xmlns:a16="http://schemas.microsoft.com/office/drawing/2014/main" id="{44AE16F6-9E17-4C69-97A0-68765CBCC58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99" name="Text Box 2">
          <a:extLst>
            <a:ext uri="{FF2B5EF4-FFF2-40B4-BE49-F238E27FC236}">
              <a16:creationId xmlns:a16="http://schemas.microsoft.com/office/drawing/2014/main" id="{7C3C737C-D1B7-4776-857F-ADDDA56BC4D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300" name="Text Box 1">
          <a:extLst>
            <a:ext uri="{FF2B5EF4-FFF2-40B4-BE49-F238E27FC236}">
              <a16:creationId xmlns:a16="http://schemas.microsoft.com/office/drawing/2014/main" id="{3C3B7A10-7EF6-4B23-A1D5-4A36599F3BB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301" name="Text Box 2">
          <a:extLst>
            <a:ext uri="{FF2B5EF4-FFF2-40B4-BE49-F238E27FC236}">
              <a16:creationId xmlns:a16="http://schemas.microsoft.com/office/drawing/2014/main" id="{C24A093C-A246-4858-AF2F-34E87716E3E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02" name="Text Box 1">
          <a:extLst>
            <a:ext uri="{FF2B5EF4-FFF2-40B4-BE49-F238E27FC236}">
              <a16:creationId xmlns:a16="http://schemas.microsoft.com/office/drawing/2014/main" id="{6E08D2B2-3613-4F91-9C6B-D12818A99AB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03" name="Text Box 2">
          <a:extLst>
            <a:ext uri="{FF2B5EF4-FFF2-40B4-BE49-F238E27FC236}">
              <a16:creationId xmlns:a16="http://schemas.microsoft.com/office/drawing/2014/main" id="{B7C12B02-6CCC-4D0D-8517-F242E2D7F7C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304" name="Text Box 1">
          <a:extLst>
            <a:ext uri="{FF2B5EF4-FFF2-40B4-BE49-F238E27FC236}">
              <a16:creationId xmlns:a16="http://schemas.microsoft.com/office/drawing/2014/main" id="{D74F3FEA-9B70-4A19-A632-610C570F36D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305" name="Text Box 2">
          <a:extLst>
            <a:ext uri="{FF2B5EF4-FFF2-40B4-BE49-F238E27FC236}">
              <a16:creationId xmlns:a16="http://schemas.microsoft.com/office/drawing/2014/main" id="{C794C49C-52E5-41D9-9196-2DC338EE11E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06" name="Text Box 1">
          <a:extLst>
            <a:ext uri="{FF2B5EF4-FFF2-40B4-BE49-F238E27FC236}">
              <a16:creationId xmlns:a16="http://schemas.microsoft.com/office/drawing/2014/main" id="{4F3EF49B-723E-4033-AB2D-070CE93C71E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07" name="Text Box 2">
          <a:extLst>
            <a:ext uri="{FF2B5EF4-FFF2-40B4-BE49-F238E27FC236}">
              <a16:creationId xmlns:a16="http://schemas.microsoft.com/office/drawing/2014/main" id="{847F36EE-C302-4CF4-8136-243CC1EA4F1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08" name="Text Box 1">
          <a:extLst>
            <a:ext uri="{FF2B5EF4-FFF2-40B4-BE49-F238E27FC236}">
              <a16:creationId xmlns:a16="http://schemas.microsoft.com/office/drawing/2014/main" id="{D15560F2-C2A2-41AF-BB3B-B33A5FD00E3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09" name="Text Box 2">
          <a:extLst>
            <a:ext uri="{FF2B5EF4-FFF2-40B4-BE49-F238E27FC236}">
              <a16:creationId xmlns:a16="http://schemas.microsoft.com/office/drawing/2014/main" id="{EF0EDCCE-8515-4DA4-BE47-5BE7B613C2E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10" name="Text Box 1">
          <a:extLst>
            <a:ext uri="{FF2B5EF4-FFF2-40B4-BE49-F238E27FC236}">
              <a16:creationId xmlns:a16="http://schemas.microsoft.com/office/drawing/2014/main" id="{BFDD0502-FC9F-4A3C-9E0C-D9AB502C66C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11" name="Text Box 2">
          <a:extLst>
            <a:ext uri="{FF2B5EF4-FFF2-40B4-BE49-F238E27FC236}">
              <a16:creationId xmlns:a16="http://schemas.microsoft.com/office/drawing/2014/main" id="{29247756-1311-4B25-9F11-F5BBD99F0FE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12" name="Text Box 1">
          <a:extLst>
            <a:ext uri="{FF2B5EF4-FFF2-40B4-BE49-F238E27FC236}">
              <a16:creationId xmlns:a16="http://schemas.microsoft.com/office/drawing/2014/main" id="{6B7496ED-3953-4523-A6F3-A6A73A129B5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13" name="Text Box 2">
          <a:extLst>
            <a:ext uri="{FF2B5EF4-FFF2-40B4-BE49-F238E27FC236}">
              <a16:creationId xmlns:a16="http://schemas.microsoft.com/office/drawing/2014/main" id="{07BED8A3-1270-4E4A-9450-9C5DD441381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14" name="Text Box 1">
          <a:extLst>
            <a:ext uri="{FF2B5EF4-FFF2-40B4-BE49-F238E27FC236}">
              <a16:creationId xmlns:a16="http://schemas.microsoft.com/office/drawing/2014/main" id="{39E9CA9E-1331-4432-A0A1-B6886749AE2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15" name="Text Box 2">
          <a:extLst>
            <a:ext uri="{FF2B5EF4-FFF2-40B4-BE49-F238E27FC236}">
              <a16:creationId xmlns:a16="http://schemas.microsoft.com/office/drawing/2014/main" id="{50B1D62A-CDCF-4267-BAA7-1CDBE691619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16" name="Text Box 1">
          <a:extLst>
            <a:ext uri="{FF2B5EF4-FFF2-40B4-BE49-F238E27FC236}">
              <a16:creationId xmlns:a16="http://schemas.microsoft.com/office/drawing/2014/main" id="{260672DA-C2EC-4105-86F0-31F883E162F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17" name="Text Box 2">
          <a:extLst>
            <a:ext uri="{FF2B5EF4-FFF2-40B4-BE49-F238E27FC236}">
              <a16:creationId xmlns:a16="http://schemas.microsoft.com/office/drawing/2014/main" id="{04C2A6A1-F4A4-44DF-8B9E-86AD53A7F9A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18" name="Text Box 1">
          <a:extLst>
            <a:ext uri="{FF2B5EF4-FFF2-40B4-BE49-F238E27FC236}">
              <a16:creationId xmlns:a16="http://schemas.microsoft.com/office/drawing/2014/main" id="{570402C7-ECA9-46F3-9074-CCBEB7FC29A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19" name="Text Box 2">
          <a:extLst>
            <a:ext uri="{FF2B5EF4-FFF2-40B4-BE49-F238E27FC236}">
              <a16:creationId xmlns:a16="http://schemas.microsoft.com/office/drawing/2014/main" id="{4A05CD26-8BC5-4240-86FE-13449C3B794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20" name="Text Box 1">
          <a:extLst>
            <a:ext uri="{FF2B5EF4-FFF2-40B4-BE49-F238E27FC236}">
              <a16:creationId xmlns:a16="http://schemas.microsoft.com/office/drawing/2014/main" id="{07823166-ABCE-4838-AA0E-E1CCFBC3734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21" name="Text Box 2">
          <a:extLst>
            <a:ext uri="{FF2B5EF4-FFF2-40B4-BE49-F238E27FC236}">
              <a16:creationId xmlns:a16="http://schemas.microsoft.com/office/drawing/2014/main" id="{F567D7DA-9DED-4383-8EF9-CA388630207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22" name="Text Box 1">
          <a:extLst>
            <a:ext uri="{FF2B5EF4-FFF2-40B4-BE49-F238E27FC236}">
              <a16:creationId xmlns:a16="http://schemas.microsoft.com/office/drawing/2014/main" id="{66DD678A-FC50-4714-BE74-AE0940CF6C9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23" name="Text Box 2">
          <a:extLst>
            <a:ext uri="{FF2B5EF4-FFF2-40B4-BE49-F238E27FC236}">
              <a16:creationId xmlns:a16="http://schemas.microsoft.com/office/drawing/2014/main" id="{D29F9371-D8EF-45A6-B4CD-8EFE56AE040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24" name="Text Box 1">
          <a:extLst>
            <a:ext uri="{FF2B5EF4-FFF2-40B4-BE49-F238E27FC236}">
              <a16:creationId xmlns:a16="http://schemas.microsoft.com/office/drawing/2014/main" id="{A31AB372-341F-476A-8E6D-41D952D24C0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25" name="Text Box 2">
          <a:extLst>
            <a:ext uri="{FF2B5EF4-FFF2-40B4-BE49-F238E27FC236}">
              <a16:creationId xmlns:a16="http://schemas.microsoft.com/office/drawing/2014/main" id="{3D9ACD5A-89ED-4067-9E38-3B3E007D039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26" name="Text Box 1">
          <a:extLst>
            <a:ext uri="{FF2B5EF4-FFF2-40B4-BE49-F238E27FC236}">
              <a16:creationId xmlns:a16="http://schemas.microsoft.com/office/drawing/2014/main" id="{BED8E0BA-F0AD-4881-B14A-F5BDB96DB42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27" name="Text Box 2">
          <a:extLst>
            <a:ext uri="{FF2B5EF4-FFF2-40B4-BE49-F238E27FC236}">
              <a16:creationId xmlns:a16="http://schemas.microsoft.com/office/drawing/2014/main" id="{85B60BE6-948D-4977-B250-9BF0B734A4F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28" name="Text Box 1">
          <a:extLst>
            <a:ext uri="{FF2B5EF4-FFF2-40B4-BE49-F238E27FC236}">
              <a16:creationId xmlns:a16="http://schemas.microsoft.com/office/drawing/2014/main" id="{8B321B64-7B97-4DDD-ADF8-D137B379001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29" name="Text Box 2">
          <a:extLst>
            <a:ext uri="{FF2B5EF4-FFF2-40B4-BE49-F238E27FC236}">
              <a16:creationId xmlns:a16="http://schemas.microsoft.com/office/drawing/2014/main" id="{F59155DE-F563-454B-B79E-0B9A7E9C91B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30" name="Text Box 1">
          <a:extLst>
            <a:ext uri="{FF2B5EF4-FFF2-40B4-BE49-F238E27FC236}">
              <a16:creationId xmlns:a16="http://schemas.microsoft.com/office/drawing/2014/main" id="{8EE5066E-D573-4A02-9565-97D60DE6C4F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31" name="Text Box 2">
          <a:extLst>
            <a:ext uri="{FF2B5EF4-FFF2-40B4-BE49-F238E27FC236}">
              <a16:creationId xmlns:a16="http://schemas.microsoft.com/office/drawing/2014/main" id="{749030D7-F2EC-426F-BA06-B13226B2EA0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32" name="Text Box 1">
          <a:extLst>
            <a:ext uri="{FF2B5EF4-FFF2-40B4-BE49-F238E27FC236}">
              <a16:creationId xmlns:a16="http://schemas.microsoft.com/office/drawing/2014/main" id="{009E73D7-DB6D-4359-83D1-8FCEC1A906C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33" name="Text Box 2">
          <a:extLst>
            <a:ext uri="{FF2B5EF4-FFF2-40B4-BE49-F238E27FC236}">
              <a16:creationId xmlns:a16="http://schemas.microsoft.com/office/drawing/2014/main" id="{23FF45D1-9575-4A34-BBB1-47C091F251E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34" name="Text Box 1">
          <a:extLst>
            <a:ext uri="{FF2B5EF4-FFF2-40B4-BE49-F238E27FC236}">
              <a16:creationId xmlns:a16="http://schemas.microsoft.com/office/drawing/2014/main" id="{8B3FBB38-223A-45A0-B87B-11027752AF9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35" name="Text Box 2">
          <a:extLst>
            <a:ext uri="{FF2B5EF4-FFF2-40B4-BE49-F238E27FC236}">
              <a16:creationId xmlns:a16="http://schemas.microsoft.com/office/drawing/2014/main" id="{69B45BEB-CBC6-4720-952C-40AAAF4EA49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36" name="Text Box 1">
          <a:extLst>
            <a:ext uri="{FF2B5EF4-FFF2-40B4-BE49-F238E27FC236}">
              <a16:creationId xmlns:a16="http://schemas.microsoft.com/office/drawing/2014/main" id="{ABD4F21F-A7E2-4DCC-A3D4-E8DD7B20F48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37" name="Text Box 2">
          <a:extLst>
            <a:ext uri="{FF2B5EF4-FFF2-40B4-BE49-F238E27FC236}">
              <a16:creationId xmlns:a16="http://schemas.microsoft.com/office/drawing/2014/main" id="{6AB48AB5-7C07-47ED-AE9B-161D71D1A9C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338" name="Text Box 1">
          <a:extLst>
            <a:ext uri="{FF2B5EF4-FFF2-40B4-BE49-F238E27FC236}">
              <a16:creationId xmlns:a16="http://schemas.microsoft.com/office/drawing/2014/main" id="{9E388905-2077-47E8-8043-E30E715F1D28}"/>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339" name="Text Box 2">
          <a:extLst>
            <a:ext uri="{FF2B5EF4-FFF2-40B4-BE49-F238E27FC236}">
              <a16:creationId xmlns:a16="http://schemas.microsoft.com/office/drawing/2014/main" id="{C2C05D0B-32A4-4620-959F-3967AFC2F10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40" name="Text Box 1">
          <a:extLst>
            <a:ext uri="{FF2B5EF4-FFF2-40B4-BE49-F238E27FC236}">
              <a16:creationId xmlns:a16="http://schemas.microsoft.com/office/drawing/2014/main" id="{5CAC7659-6BB6-492A-82EE-2AD128B6E47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41" name="Text Box 2">
          <a:extLst>
            <a:ext uri="{FF2B5EF4-FFF2-40B4-BE49-F238E27FC236}">
              <a16:creationId xmlns:a16="http://schemas.microsoft.com/office/drawing/2014/main" id="{9D870970-CC93-4F5C-8264-9C17D83D0EF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342" name="Text Box 1">
          <a:extLst>
            <a:ext uri="{FF2B5EF4-FFF2-40B4-BE49-F238E27FC236}">
              <a16:creationId xmlns:a16="http://schemas.microsoft.com/office/drawing/2014/main" id="{D59203F6-CAF7-4804-8D40-9AEA0B43A41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343" name="Text Box 2">
          <a:extLst>
            <a:ext uri="{FF2B5EF4-FFF2-40B4-BE49-F238E27FC236}">
              <a16:creationId xmlns:a16="http://schemas.microsoft.com/office/drawing/2014/main" id="{8D8E5A60-F29F-40AC-92B5-4C6EE8E08F3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44" name="Text Box 1">
          <a:extLst>
            <a:ext uri="{FF2B5EF4-FFF2-40B4-BE49-F238E27FC236}">
              <a16:creationId xmlns:a16="http://schemas.microsoft.com/office/drawing/2014/main" id="{4FA971D5-8D50-4B18-BA63-DB360A0E13A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45" name="Text Box 2">
          <a:extLst>
            <a:ext uri="{FF2B5EF4-FFF2-40B4-BE49-F238E27FC236}">
              <a16:creationId xmlns:a16="http://schemas.microsoft.com/office/drawing/2014/main" id="{BAA44214-BE93-4188-98E3-2B575DBA328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46" name="Text Box 1">
          <a:extLst>
            <a:ext uri="{FF2B5EF4-FFF2-40B4-BE49-F238E27FC236}">
              <a16:creationId xmlns:a16="http://schemas.microsoft.com/office/drawing/2014/main" id="{6E47B389-DB2B-42CA-BD80-7C1D352B1E1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47" name="Text Box 2">
          <a:extLst>
            <a:ext uri="{FF2B5EF4-FFF2-40B4-BE49-F238E27FC236}">
              <a16:creationId xmlns:a16="http://schemas.microsoft.com/office/drawing/2014/main" id="{A0F96144-805E-4685-B05C-C7D5A7B0C98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48" name="Text Box 1">
          <a:extLst>
            <a:ext uri="{FF2B5EF4-FFF2-40B4-BE49-F238E27FC236}">
              <a16:creationId xmlns:a16="http://schemas.microsoft.com/office/drawing/2014/main" id="{59EFDC19-1AA0-4500-9C02-A79E2B7892D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49" name="Text Box 2">
          <a:extLst>
            <a:ext uri="{FF2B5EF4-FFF2-40B4-BE49-F238E27FC236}">
              <a16:creationId xmlns:a16="http://schemas.microsoft.com/office/drawing/2014/main" id="{188D42AE-1A95-4C96-A488-9B1613F53DE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50" name="Text Box 1">
          <a:extLst>
            <a:ext uri="{FF2B5EF4-FFF2-40B4-BE49-F238E27FC236}">
              <a16:creationId xmlns:a16="http://schemas.microsoft.com/office/drawing/2014/main" id="{95D54FBC-2CF7-40B3-B1C4-E386C84E70B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51" name="Text Box 2">
          <a:extLst>
            <a:ext uri="{FF2B5EF4-FFF2-40B4-BE49-F238E27FC236}">
              <a16:creationId xmlns:a16="http://schemas.microsoft.com/office/drawing/2014/main" id="{55C083FA-39B5-4875-A884-40024E83906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52" name="Text Box 1">
          <a:extLst>
            <a:ext uri="{FF2B5EF4-FFF2-40B4-BE49-F238E27FC236}">
              <a16:creationId xmlns:a16="http://schemas.microsoft.com/office/drawing/2014/main" id="{FED22AC4-CE6C-4A87-9906-5E008EF8F2C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53" name="Text Box 2">
          <a:extLst>
            <a:ext uri="{FF2B5EF4-FFF2-40B4-BE49-F238E27FC236}">
              <a16:creationId xmlns:a16="http://schemas.microsoft.com/office/drawing/2014/main" id="{B67F011C-CA3C-442D-BDD6-D22B68CF95D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54" name="Text Box 1">
          <a:extLst>
            <a:ext uri="{FF2B5EF4-FFF2-40B4-BE49-F238E27FC236}">
              <a16:creationId xmlns:a16="http://schemas.microsoft.com/office/drawing/2014/main" id="{353641CB-B6C1-4109-98EB-AECE6E77EF2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55" name="Text Box 2">
          <a:extLst>
            <a:ext uri="{FF2B5EF4-FFF2-40B4-BE49-F238E27FC236}">
              <a16:creationId xmlns:a16="http://schemas.microsoft.com/office/drawing/2014/main" id="{33B6DC4E-51F7-4911-9B8A-9C34AC79CF4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56" name="Text Box 1">
          <a:extLst>
            <a:ext uri="{FF2B5EF4-FFF2-40B4-BE49-F238E27FC236}">
              <a16:creationId xmlns:a16="http://schemas.microsoft.com/office/drawing/2014/main" id="{76818498-1E85-496E-83B2-613323D464B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57" name="Text Box 2">
          <a:extLst>
            <a:ext uri="{FF2B5EF4-FFF2-40B4-BE49-F238E27FC236}">
              <a16:creationId xmlns:a16="http://schemas.microsoft.com/office/drawing/2014/main" id="{418797F2-8023-43AE-9B6F-9E089D35363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58" name="Text Box 1">
          <a:extLst>
            <a:ext uri="{FF2B5EF4-FFF2-40B4-BE49-F238E27FC236}">
              <a16:creationId xmlns:a16="http://schemas.microsoft.com/office/drawing/2014/main" id="{FF13736D-B554-45F9-A4D7-C5F6C3194F2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59" name="Text Box 2">
          <a:extLst>
            <a:ext uri="{FF2B5EF4-FFF2-40B4-BE49-F238E27FC236}">
              <a16:creationId xmlns:a16="http://schemas.microsoft.com/office/drawing/2014/main" id="{C707B919-8406-4D15-AF90-97BE31601D8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60" name="Text Box 1">
          <a:extLst>
            <a:ext uri="{FF2B5EF4-FFF2-40B4-BE49-F238E27FC236}">
              <a16:creationId xmlns:a16="http://schemas.microsoft.com/office/drawing/2014/main" id="{962594CA-B357-4654-9292-29E3537BE2C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61" name="Text Box 2">
          <a:extLst>
            <a:ext uri="{FF2B5EF4-FFF2-40B4-BE49-F238E27FC236}">
              <a16:creationId xmlns:a16="http://schemas.microsoft.com/office/drawing/2014/main" id="{B51D2AFB-1445-4DF5-ADE0-FDB2B7D6325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62" name="Text Box 1">
          <a:extLst>
            <a:ext uri="{FF2B5EF4-FFF2-40B4-BE49-F238E27FC236}">
              <a16:creationId xmlns:a16="http://schemas.microsoft.com/office/drawing/2014/main" id="{36E07D9B-3DC6-4200-ACDD-E83C0BAB31D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63" name="Text Box 2">
          <a:extLst>
            <a:ext uri="{FF2B5EF4-FFF2-40B4-BE49-F238E27FC236}">
              <a16:creationId xmlns:a16="http://schemas.microsoft.com/office/drawing/2014/main" id="{2DDF1C2A-0773-4B22-B30D-93629FC8449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64" name="Text Box 1">
          <a:extLst>
            <a:ext uri="{FF2B5EF4-FFF2-40B4-BE49-F238E27FC236}">
              <a16:creationId xmlns:a16="http://schemas.microsoft.com/office/drawing/2014/main" id="{9559F09C-5822-42FF-A58B-03F1150F42B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65" name="Text Box 2">
          <a:extLst>
            <a:ext uri="{FF2B5EF4-FFF2-40B4-BE49-F238E27FC236}">
              <a16:creationId xmlns:a16="http://schemas.microsoft.com/office/drawing/2014/main" id="{867401F9-A416-4657-A755-C9C9425504E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366" name="Text Box 1">
          <a:extLst>
            <a:ext uri="{FF2B5EF4-FFF2-40B4-BE49-F238E27FC236}">
              <a16:creationId xmlns:a16="http://schemas.microsoft.com/office/drawing/2014/main" id="{B4C0C653-69D9-4FDB-8A2A-1AC7EC37EFC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367" name="Text Box 2">
          <a:extLst>
            <a:ext uri="{FF2B5EF4-FFF2-40B4-BE49-F238E27FC236}">
              <a16:creationId xmlns:a16="http://schemas.microsoft.com/office/drawing/2014/main" id="{284BDBB3-CF2E-42B2-8F55-B626C7F1963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368" name="Text Box 1">
          <a:extLst>
            <a:ext uri="{FF2B5EF4-FFF2-40B4-BE49-F238E27FC236}">
              <a16:creationId xmlns:a16="http://schemas.microsoft.com/office/drawing/2014/main" id="{FBCA3D33-99F3-4FB5-872D-FCE450744B4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369" name="Text Box 2">
          <a:extLst>
            <a:ext uri="{FF2B5EF4-FFF2-40B4-BE49-F238E27FC236}">
              <a16:creationId xmlns:a16="http://schemas.microsoft.com/office/drawing/2014/main" id="{5B6CCF3A-C11F-4A28-B63F-99EF2A0FB6E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70" name="Text Box 1">
          <a:extLst>
            <a:ext uri="{FF2B5EF4-FFF2-40B4-BE49-F238E27FC236}">
              <a16:creationId xmlns:a16="http://schemas.microsoft.com/office/drawing/2014/main" id="{D2C5F2B3-15F3-44DC-BC93-69300F97F75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71" name="Text Box 2">
          <a:extLst>
            <a:ext uri="{FF2B5EF4-FFF2-40B4-BE49-F238E27FC236}">
              <a16:creationId xmlns:a16="http://schemas.microsoft.com/office/drawing/2014/main" id="{D04CEF27-2919-44D5-94E2-403EEBFC064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72" name="Text Box 1">
          <a:extLst>
            <a:ext uri="{FF2B5EF4-FFF2-40B4-BE49-F238E27FC236}">
              <a16:creationId xmlns:a16="http://schemas.microsoft.com/office/drawing/2014/main" id="{2770A4A3-18EB-4921-8E33-403D7A193EB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73" name="Text Box 2">
          <a:extLst>
            <a:ext uri="{FF2B5EF4-FFF2-40B4-BE49-F238E27FC236}">
              <a16:creationId xmlns:a16="http://schemas.microsoft.com/office/drawing/2014/main" id="{59E30C1F-5E07-46C5-9384-C81E911D109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74" name="Text Box 1">
          <a:extLst>
            <a:ext uri="{FF2B5EF4-FFF2-40B4-BE49-F238E27FC236}">
              <a16:creationId xmlns:a16="http://schemas.microsoft.com/office/drawing/2014/main" id="{8270476C-7CC2-4C92-9F6D-53AE6DAE28B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75" name="Text Box 2">
          <a:extLst>
            <a:ext uri="{FF2B5EF4-FFF2-40B4-BE49-F238E27FC236}">
              <a16:creationId xmlns:a16="http://schemas.microsoft.com/office/drawing/2014/main" id="{1B6EA372-3368-4F28-9FBE-B1375C60E4B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76" name="Text Box 1">
          <a:extLst>
            <a:ext uri="{FF2B5EF4-FFF2-40B4-BE49-F238E27FC236}">
              <a16:creationId xmlns:a16="http://schemas.microsoft.com/office/drawing/2014/main" id="{F204C06B-6A66-4B70-B84B-DA015D85CFF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77" name="Text Box 2">
          <a:extLst>
            <a:ext uri="{FF2B5EF4-FFF2-40B4-BE49-F238E27FC236}">
              <a16:creationId xmlns:a16="http://schemas.microsoft.com/office/drawing/2014/main" id="{BA238570-3995-42ED-921B-4360BA9E2F6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378" name="Text Box 1">
          <a:extLst>
            <a:ext uri="{FF2B5EF4-FFF2-40B4-BE49-F238E27FC236}">
              <a16:creationId xmlns:a16="http://schemas.microsoft.com/office/drawing/2014/main" id="{E5F11AF2-7170-48C7-B425-0A03DC23BD7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379" name="Text Box 2">
          <a:extLst>
            <a:ext uri="{FF2B5EF4-FFF2-40B4-BE49-F238E27FC236}">
              <a16:creationId xmlns:a16="http://schemas.microsoft.com/office/drawing/2014/main" id="{09DA0C82-F290-4C38-81FD-E0A9AF50EA58}"/>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380" name="Text Box 1">
          <a:extLst>
            <a:ext uri="{FF2B5EF4-FFF2-40B4-BE49-F238E27FC236}">
              <a16:creationId xmlns:a16="http://schemas.microsoft.com/office/drawing/2014/main" id="{42EF5AE9-634E-43A5-83E8-98126976C91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381" name="Text Box 2">
          <a:extLst>
            <a:ext uri="{FF2B5EF4-FFF2-40B4-BE49-F238E27FC236}">
              <a16:creationId xmlns:a16="http://schemas.microsoft.com/office/drawing/2014/main" id="{F8572228-09D7-4A32-A380-8A5ADA2163C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82" name="Text Box 1">
          <a:extLst>
            <a:ext uri="{FF2B5EF4-FFF2-40B4-BE49-F238E27FC236}">
              <a16:creationId xmlns:a16="http://schemas.microsoft.com/office/drawing/2014/main" id="{24A93E11-2137-4E8B-8C47-85E9566C060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83" name="Text Box 2">
          <a:extLst>
            <a:ext uri="{FF2B5EF4-FFF2-40B4-BE49-F238E27FC236}">
              <a16:creationId xmlns:a16="http://schemas.microsoft.com/office/drawing/2014/main" id="{1DA7D8CF-7EF9-4B88-A648-9EC1B06A6B7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84" name="Text Box 1">
          <a:extLst>
            <a:ext uri="{FF2B5EF4-FFF2-40B4-BE49-F238E27FC236}">
              <a16:creationId xmlns:a16="http://schemas.microsoft.com/office/drawing/2014/main" id="{1AF35FBA-BC4F-4120-8905-F34CE6D3C80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85" name="Text Box 2">
          <a:extLst>
            <a:ext uri="{FF2B5EF4-FFF2-40B4-BE49-F238E27FC236}">
              <a16:creationId xmlns:a16="http://schemas.microsoft.com/office/drawing/2014/main" id="{1C355B5D-5436-4584-B35E-C8306815B59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386" name="Text Box 1">
          <a:extLst>
            <a:ext uri="{FF2B5EF4-FFF2-40B4-BE49-F238E27FC236}">
              <a16:creationId xmlns:a16="http://schemas.microsoft.com/office/drawing/2014/main" id="{3544ECCF-1BE4-4F8C-97F0-7835BA797AE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387" name="Text Box 2">
          <a:extLst>
            <a:ext uri="{FF2B5EF4-FFF2-40B4-BE49-F238E27FC236}">
              <a16:creationId xmlns:a16="http://schemas.microsoft.com/office/drawing/2014/main" id="{D4AA7970-9C08-4B56-9DBC-E4281C6BA9E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388" name="Text Box 1">
          <a:extLst>
            <a:ext uri="{FF2B5EF4-FFF2-40B4-BE49-F238E27FC236}">
              <a16:creationId xmlns:a16="http://schemas.microsoft.com/office/drawing/2014/main" id="{6B1583F1-CE12-412C-96C1-D7D02A193ED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389" name="Text Box 2">
          <a:extLst>
            <a:ext uri="{FF2B5EF4-FFF2-40B4-BE49-F238E27FC236}">
              <a16:creationId xmlns:a16="http://schemas.microsoft.com/office/drawing/2014/main" id="{AC9899F2-F118-4F2A-BF02-0F5FC354DAB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90" name="Text Box 1">
          <a:extLst>
            <a:ext uri="{FF2B5EF4-FFF2-40B4-BE49-F238E27FC236}">
              <a16:creationId xmlns:a16="http://schemas.microsoft.com/office/drawing/2014/main" id="{BF1A0E64-67E2-4302-AA5B-7626EF3ACBE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91" name="Text Box 2">
          <a:extLst>
            <a:ext uri="{FF2B5EF4-FFF2-40B4-BE49-F238E27FC236}">
              <a16:creationId xmlns:a16="http://schemas.microsoft.com/office/drawing/2014/main" id="{627990A8-76D9-4DBB-A046-B0614EAE3D3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92" name="Text Box 1">
          <a:extLst>
            <a:ext uri="{FF2B5EF4-FFF2-40B4-BE49-F238E27FC236}">
              <a16:creationId xmlns:a16="http://schemas.microsoft.com/office/drawing/2014/main" id="{055D2F98-E834-46D8-9E3E-79B1D3DD2E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93" name="Text Box 2">
          <a:extLst>
            <a:ext uri="{FF2B5EF4-FFF2-40B4-BE49-F238E27FC236}">
              <a16:creationId xmlns:a16="http://schemas.microsoft.com/office/drawing/2014/main" id="{AD1884E4-A981-429A-B1F6-D0B6AE297E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394" name="Text Box 1">
          <a:extLst>
            <a:ext uri="{FF2B5EF4-FFF2-40B4-BE49-F238E27FC236}">
              <a16:creationId xmlns:a16="http://schemas.microsoft.com/office/drawing/2014/main" id="{DABA96FC-60D8-43D5-AEDF-2F867A62108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395" name="Text Box 2">
          <a:extLst>
            <a:ext uri="{FF2B5EF4-FFF2-40B4-BE49-F238E27FC236}">
              <a16:creationId xmlns:a16="http://schemas.microsoft.com/office/drawing/2014/main" id="{7C5FE7CE-C3BB-4C11-8AC8-22A61E9631A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96" name="Text Box 1">
          <a:extLst>
            <a:ext uri="{FF2B5EF4-FFF2-40B4-BE49-F238E27FC236}">
              <a16:creationId xmlns:a16="http://schemas.microsoft.com/office/drawing/2014/main" id="{B67BAC35-26CC-4AFB-BF5F-5F72F4B9516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97" name="Text Box 2">
          <a:extLst>
            <a:ext uri="{FF2B5EF4-FFF2-40B4-BE49-F238E27FC236}">
              <a16:creationId xmlns:a16="http://schemas.microsoft.com/office/drawing/2014/main" id="{A04B8FBD-BBE9-453A-ACD8-D2CC74E42E0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398" name="Text Box 1">
          <a:extLst>
            <a:ext uri="{FF2B5EF4-FFF2-40B4-BE49-F238E27FC236}">
              <a16:creationId xmlns:a16="http://schemas.microsoft.com/office/drawing/2014/main" id="{8000A44A-E001-4032-992A-CA264E1842A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399" name="Text Box 2">
          <a:extLst>
            <a:ext uri="{FF2B5EF4-FFF2-40B4-BE49-F238E27FC236}">
              <a16:creationId xmlns:a16="http://schemas.microsoft.com/office/drawing/2014/main" id="{F014E72E-0997-415E-96A9-BD476FFF356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400" name="Text Box 1">
          <a:extLst>
            <a:ext uri="{FF2B5EF4-FFF2-40B4-BE49-F238E27FC236}">
              <a16:creationId xmlns:a16="http://schemas.microsoft.com/office/drawing/2014/main" id="{242E854F-9A04-4599-9096-4AEBE831677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401" name="Text Box 2">
          <a:extLst>
            <a:ext uri="{FF2B5EF4-FFF2-40B4-BE49-F238E27FC236}">
              <a16:creationId xmlns:a16="http://schemas.microsoft.com/office/drawing/2014/main" id="{F6DA02C6-DDBF-41B3-AD65-A7C9CA8D802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02" name="Text Box 1">
          <a:extLst>
            <a:ext uri="{FF2B5EF4-FFF2-40B4-BE49-F238E27FC236}">
              <a16:creationId xmlns:a16="http://schemas.microsoft.com/office/drawing/2014/main" id="{33E87204-E603-4FC1-960D-11CFDB0566E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03" name="Text Box 2">
          <a:extLst>
            <a:ext uri="{FF2B5EF4-FFF2-40B4-BE49-F238E27FC236}">
              <a16:creationId xmlns:a16="http://schemas.microsoft.com/office/drawing/2014/main" id="{66F95D4F-8DB9-4F21-A898-2FD0ED79699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04" name="Text Box 1">
          <a:extLst>
            <a:ext uri="{FF2B5EF4-FFF2-40B4-BE49-F238E27FC236}">
              <a16:creationId xmlns:a16="http://schemas.microsoft.com/office/drawing/2014/main" id="{A0BCEA75-AF77-429C-B486-59C7915705E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05" name="Text Box 2">
          <a:extLst>
            <a:ext uri="{FF2B5EF4-FFF2-40B4-BE49-F238E27FC236}">
              <a16:creationId xmlns:a16="http://schemas.microsoft.com/office/drawing/2014/main" id="{28187466-8B7B-49F3-9983-5B57A2FEA65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06" name="Text Box 1">
          <a:extLst>
            <a:ext uri="{FF2B5EF4-FFF2-40B4-BE49-F238E27FC236}">
              <a16:creationId xmlns:a16="http://schemas.microsoft.com/office/drawing/2014/main" id="{B7D9EBD3-5F5E-4737-A2E1-A39C4F2B7FE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07" name="Text Box 2">
          <a:extLst>
            <a:ext uri="{FF2B5EF4-FFF2-40B4-BE49-F238E27FC236}">
              <a16:creationId xmlns:a16="http://schemas.microsoft.com/office/drawing/2014/main" id="{5C771E0A-4C0B-4E0D-81D1-366E3DC870D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408" name="Text Box 1">
          <a:extLst>
            <a:ext uri="{FF2B5EF4-FFF2-40B4-BE49-F238E27FC236}">
              <a16:creationId xmlns:a16="http://schemas.microsoft.com/office/drawing/2014/main" id="{5FCF7880-7BD1-41EA-95DF-66C178B9872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409" name="Text Box 2">
          <a:extLst>
            <a:ext uri="{FF2B5EF4-FFF2-40B4-BE49-F238E27FC236}">
              <a16:creationId xmlns:a16="http://schemas.microsoft.com/office/drawing/2014/main" id="{78B8B4F1-B85F-49DB-9B15-F93CAC9D410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10" name="Text Box 1">
          <a:extLst>
            <a:ext uri="{FF2B5EF4-FFF2-40B4-BE49-F238E27FC236}">
              <a16:creationId xmlns:a16="http://schemas.microsoft.com/office/drawing/2014/main" id="{034B8D21-4D39-4669-99EF-2FF31F124F5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11" name="Text Box 2">
          <a:extLst>
            <a:ext uri="{FF2B5EF4-FFF2-40B4-BE49-F238E27FC236}">
              <a16:creationId xmlns:a16="http://schemas.microsoft.com/office/drawing/2014/main" id="{7E32A43D-4392-4E2F-B12D-EAFE9AA11F5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412" name="Text Box 1">
          <a:extLst>
            <a:ext uri="{FF2B5EF4-FFF2-40B4-BE49-F238E27FC236}">
              <a16:creationId xmlns:a16="http://schemas.microsoft.com/office/drawing/2014/main" id="{DEF211EF-A242-4CF8-8D4D-BB98CDB3802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413" name="Text Box 2">
          <a:extLst>
            <a:ext uri="{FF2B5EF4-FFF2-40B4-BE49-F238E27FC236}">
              <a16:creationId xmlns:a16="http://schemas.microsoft.com/office/drawing/2014/main" id="{21362863-3BF7-4FF1-857E-9D74A27C7F1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14" name="Text Box 1">
          <a:extLst>
            <a:ext uri="{FF2B5EF4-FFF2-40B4-BE49-F238E27FC236}">
              <a16:creationId xmlns:a16="http://schemas.microsoft.com/office/drawing/2014/main" id="{AC7B2B46-0697-4BAC-8447-1437884FDE6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15" name="Text Box 2">
          <a:extLst>
            <a:ext uri="{FF2B5EF4-FFF2-40B4-BE49-F238E27FC236}">
              <a16:creationId xmlns:a16="http://schemas.microsoft.com/office/drawing/2014/main" id="{7345C568-6647-48DA-BD5A-F396FF588DD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16" name="Text Box 1">
          <a:extLst>
            <a:ext uri="{FF2B5EF4-FFF2-40B4-BE49-F238E27FC236}">
              <a16:creationId xmlns:a16="http://schemas.microsoft.com/office/drawing/2014/main" id="{E84CBFFC-8A7A-4A5A-AFB9-78F54567C86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17" name="Text Box 2">
          <a:extLst>
            <a:ext uri="{FF2B5EF4-FFF2-40B4-BE49-F238E27FC236}">
              <a16:creationId xmlns:a16="http://schemas.microsoft.com/office/drawing/2014/main" id="{D8A7882F-395B-4222-B294-1A19A4C55F4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18" name="Text Box 1">
          <a:extLst>
            <a:ext uri="{FF2B5EF4-FFF2-40B4-BE49-F238E27FC236}">
              <a16:creationId xmlns:a16="http://schemas.microsoft.com/office/drawing/2014/main" id="{B7B052A3-7101-45D8-9C04-E251818D7A0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19" name="Text Box 2">
          <a:extLst>
            <a:ext uri="{FF2B5EF4-FFF2-40B4-BE49-F238E27FC236}">
              <a16:creationId xmlns:a16="http://schemas.microsoft.com/office/drawing/2014/main" id="{EE3AFCA0-F9D6-4F97-9E5C-D164FAE9009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20" name="Text Box 1">
          <a:extLst>
            <a:ext uri="{FF2B5EF4-FFF2-40B4-BE49-F238E27FC236}">
              <a16:creationId xmlns:a16="http://schemas.microsoft.com/office/drawing/2014/main" id="{AB20ACAA-37CE-43F3-8CDD-52A37A03E98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21" name="Text Box 2">
          <a:extLst>
            <a:ext uri="{FF2B5EF4-FFF2-40B4-BE49-F238E27FC236}">
              <a16:creationId xmlns:a16="http://schemas.microsoft.com/office/drawing/2014/main" id="{F9348992-D845-49C9-94D0-783450847BC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22" name="Text Box 1">
          <a:extLst>
            <a:ext uri="{FF2B5EF4-FFF2-40B4-BE49-F238E27FC236}">
              <a16:creationId xmlns:a16="http://schemas.microsoft.com/office/drawing/2014/main" id="{4C3BDB30-3768-43E5-9E88-20A3DA98047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23" name="Text Box 2">
          <a:extLst>
            <a:ext uri="{FF2B5EF4-FFF2-40B4-BE49-F238E27FC236}">
              <a16:creationId xmlns:a16="http://schemas.microsoft.com/office/drawing/2014/main" id="{F40D4FE7-37A1-4591-B90F-1545868D8CA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24" name="Text Box 1">
          <a:extLst>
            <a:ext uri="{FF2B5EF4-FFF2-40B4-BE49-F238E27FC236}">
              <a16:creationId xmlns:a16="http://schemas.microsoft.com/office/drawing/2014/main" id="{CFF37374-E9FE-4FEC-A7E4-EDE16859C62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25" name="Text Box 2">
          <a:extLst>
            <a:ext uri="{FF2B5EF4-FFF2-40B4-BE49-F238E27FC236}">
              <a16:creationId xmlns:a16="http://schemas.microsoft.com/office/drawing/2014/main" id="{CDE68CEC-8601-4374-9E98-255883D6BB7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26" name="Text Box 1">
          <a:extLst>
            <a:ext uri="{FF2B5EF4-FFF2-40B4-BE49-F238E27FC236}">
              <a16:creationId xmlns:a16="http://schemas.microsoft.com/office/drawing/2014/main" id="{CD92A381-1580-4EF9-A3D8-B4F5BE3ED64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27" name="Text Box 2">
          <a:extLst>
            <a:ext uri="{FF2B5EF4-FFF2-40B4-BE49-F238E27FC236}">
              <a16:creationId xmlns:a16="http://schemas.microsoft.com/office/drawing/2014/main" id="{1F082134-ACA6-42C0-A007-9D17D3FE676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28" name="Text Box 1">
          <a:extLst>
            <a:ext uri="{FF2B5EF4-FFF2-40B4-BE49-F238E27FC236}">
              <a16:creationId xmlns:a16="http://schemas.microsoft.com/office/drawing/2014/main" id="{2D3FAAA4-ADF7-48A8-805D-79E17FA7781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29" name="Text Box 2">
          <a:extLst>
            <a:ext uri="{FF2B5EF4-FFF2-40B4-BE49-F238E27FC236}">
              <a16:creationId xmlns:a16="http://schemas.microsoft.com/office/drawing/2014/main" id="{5B6DBEF7-2033-496C-9C8E-5EEE5BBD70B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30" name="Text Box 2">
          <a:extLst>
            <a:ext uri="{FF2B5EF4-FFF2-40B4-BE49-F238E27FC236}">
              <a16:creationId xmlns:a16="http://schemas.microsoft.com/office/drawing/2014/main" id="{D76EA3C0-5EB6-40E4-9E95-0087E812E569}"/>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31" name="Text Box 1">
          <a:extLst>
            <a:ext uri="{FF2B5EF4-FFF2-40B4-BE49-F238E27FC236}">
              <a16:creationId xmlns:a16="http://schemas.microsoft.com/office/drawing/2014/main" id="{FF30B468-4A2E-444F-BF7C-4AEE917D038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32" name="Text Box 2">
          <a:extLst>
            <a:ext uri="{FF2B5EF4-FFF2-40B4-BE49-F238E27FC236}">
              <a16:creationId xmlns:a16="http://schemas.microsoft.com/office/drawing/2014/main" id="{AF9123F7-0CC8-4C74-AE60-95041D119BB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33" name="Text Box 1">
          <a:extLst>
            <a:ext uri="{FF2B5EF4-FFF2-40B4-BE49-F238E27FC236}">
              <a16:creationId xmlns:a16="http://schemas.microsoft.com/office/drawing/2014/main" id="{40308D05-673B-4CE6-A59A-B5F5D583815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34" name="Text Box 2">
          <a:extLst>
            <a:ext uri="{FF2B5EF4-FFF2-40B4-BE49-F238E27FC236}">
              <a16:creationId xmlns:a16="http://schemas.microsoft.com/office/drawing/2014/main" id="{9492DC04-5032-4C72-8F8C-E351D6902EB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435" name="Text Box 1">
          <a:extLst>
            <a:ext uri="{FF2B5EF4-FFF2-40B4-BE49-F238E27FC236}">
              <a16:creationId xmlns:a16="http://schemas.microsoft.com/office/drawing/2014/main" id="{00ABAB65-C49D-494A-A0DE-A8EF89B9F8A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436" name="Text Box 2">
          <a:extLst>
            <a:ext uri="{FF2B5EF4-FFF2-40B4-BE49-F238E27FC236}">
              <a16:creationId xmlns:a16="http://schemas.microsoft.com/office/drawing/2014/main" id="{C4E0FD76-8F25-4D28-99E9-A0FD430A36F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37" name="Text Box 1">
          <a:extLst>
            <a:ext uri="{FF2B5EF4-FFF2-40B4-BE49-F238E27FC236}">
              <a16:creationId xmlns:a16="http://schemas.microsoft.com/office/drawing/2014/main" id="{9F0958E9-18EB-49A0-84AA-BD7F9C7F55E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38" name="Text Box 2">
          <a:extLst>
            <a:ext uri="{FF2B5EF4-FFF2-40B4-BE49-F238E27FC236}">
              <a16:creationId xmlns:a16="http://schemas.microsoft.com/office/drawing/2014/main" id="{13345FD1-B56B-4997-A43A-93AB39308E1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39" name="Text Box 2">
          <a:extLst>
            <a:ext uri="{FF2B5EF4-FFF2-40B4-BE49-F238E27FC236}">
              <a16:creationId xmlns:a16="http://schemas.microsoft.com/office/drawing/2014/main" id="{62DF783B-1FB9-4994-B2C5-9C4C11C9F8F6}"/>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40" name="Text Box 1">
          <a:extLst>
            <a:ext uri="{FF2B5EF4-FFF2-40B4-BE49-F238E27FC236}">
              <a16:creationId xmlns:a16="http://schemas.microsoft.com/office/drawing/2014/main" id="{5039B4B7-E329-446B-A5C5-EA529C59755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41" name="Text Box 2">
          <a:extLst>
            <a:ext uri="{FF2B5EF4-FFF2-40B4-BE49-F238E27FC236}">
              <a16:creationId xmlns:a16="http://schemas.microsoft.com/office/drawing/2014/main" id="{548F5950-AE6E-4524-BAC5-8909253268B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42" name="Text Box 2">
          <a:extLst>
            <a:ext uri="{FF2B5EF4-FFF2-40B4-BE49-F238E27FC236}">
              <a16:creationId xmlns:a16="http://schemas.microsoft.com/office/drawing/2014/main" id="{B2F43D0C-A509-4070-9F21-EAA5046BFC6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43" name="Text Box 1">
          <a:extLst>
            <a:ext uri="{FF2B5EF4-FFF2-40B4-BE49-F238E27FC236}">
              <a16:creationId xmlns:a16="http://schemas.microsoft.com/office/drawing/2014/main" id="{E05FCAF1-6203-4EBD-AC46-D6D9A1F8796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44" name="Text Box 2">
          <a:extLst>
            <a:ext uri="{FF2B5EF4-FFF2-40B4-BE49-F238E27FC236}">
              <a16:creationId xmlns:a16="http://schemas.microsoft.com/office/drawing/2014/main" id="{1D4A9FC4-881F-41AD-89DF-DDEE85A5863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45" name="Text Box 2">
          <a:extLst>
            <a:ext uri="{FF2B5EF4-FFF2-40B4-BE49-F238E27FC236}">
              <a16:creationId xmlns:a16="http://schemas.microsoft.com/office/drawing/2014/main" id="{F9F3B043-8D2E-48AC-8E4C-589C96366CC2}"/>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46" name="Text Box 1">
          <a:extLst>
            <a:ext uri="{FF2B5EF4-FFF2-40B4-BE49-F238E27FC236}">
              <a16:creationId xmlns:a16="http://schemas.microsoft.com/office/drawing/2014/main" id="{A7E1A8ED-0E7E-4730-9FBB-F67FF944797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47" name="Text Box 2">
          <a:extLst>
            <a:ext uri="{FF2B5EF4-FFF2-40B4-BE49-F238E27FC236}">
              <a16:creationId xmlns:a16="http://schemas.microsoft.com/office/drawing/2014/main" id="{6D5A07C7-CA0F-4368-9C25-3EFE7EB2707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48" name="Text Box 2">
          <a:extLst>
            <a:ext uri="{FF2B5EF4-FFF2-40B4-BE49-F238E27FC236}">
              <a16:creationId xmlns:a16="http://schemas.microsoft.com/office/drawing/2014/main" id="{091B9A32-88DC-4CF5-B842-4AA7B545506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49" name="Text Box 1">
          <a:extLst>
            <a:ext uri="{FF2B5EF4-FFF2-40B4-BE49-F238E27FC236}">
              <a16:creationId xmlns:a16="http://schemas.microsoft.com/office/drawing/2014/main" id="{1E10B0FA-CBAE-431E-8908-4B9391CF55C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50" name="Text Box 2">
          <a:extLst>
            <a:ext uri="{FF2B5EF4-FFF2-40B4-BE49-F238E27FC236}">
              <a16:creationId xmlns:a16="http://schemas.microsoft.com/office/drawing/2014/main" id="{AC3D46D1-3AFC-452D-AD84-0CFB28AE40E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51" name="Text Box 2">
          <a:extLst>
            <a:ext uri="{FF2B5EF4-FFF2-40B4-BE49-F238E27FC236}">
              <a16:creationId xmlns:a16="http://schemas.microsoft.com/office/drawing/2014/main" id="{C81DBFFC-8486-42B7-85C5-45B3534B19F3}"/>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52" name="Text Box 1">
          <a:extLst>
            <a:ext uri="{FF2B5EF4-FFF2-40B4-BE49-F238E27FC236}">
              <a16:creationId xmlns:a16="http://schemas.microsoft.com/office/drawing/2014/main" id="{E48F404A-F4FD-47F0-A30A-2E749FCC568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53" name="Text Box 2">
          <a:extLst>
            <a:ext uri="{FF2B5EF4-FFF2-40B4-BE49-F238E27FC236}">
              <a16:creationId xmlns:a16="http://schemas.microsoft.com/office/drawing/2014/main" id="{A94C3458-9DEF-4FD3-A1D6-803F109AE62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54" name="Text Box 2">
          <a:extLst>
            <a:ext uri="{FF2B5EF4-FFF2-40B4-BE49-F238E27FC236}">
              <a16:creationId xmlns:a16="http://schemas.microsoft.com/office/drawing/2014/main" id="{1ABD2BF2-6385-4637-84DF-ACDEBCB4067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55" name="Text Box 1">
          <a:extLst>
            <a:ext uri="{FF2B5EF4-FFF2-40B4-BE49-F238E27FC236}">
              <a16:creationId xmlns:a16="http://schemas.microsoft.com/office/drawing/2014/main" id="{BA2AEDD5-91F1-4752-94A3-35FBE5BD958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56" name="Text Box 2">
          <a:extLst>
            <a:ext uri="{FF2B5EF4-FFF2-40B4-BE49-F238E27FC236}">
              <a16:creationId xmlns:a16="http://schemas.microsoft.com/office/drawing/2014/main" id="{3D56E0A7-6B40-431A-8CF7-03DCF9E30EC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57" name="Text Box 1">
          <a:extLst>
            <a:ext uri="{FF2B5EF4-FFF2-40B4-BE49-F238E27FC236}">
              <a16:creationId xmlns:a16="http://schemas.microsoft.com/office/drawing/2014/main" id="{45A4B0AF-310B-440F-B488-40EB690A623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58" name="Text Box 2">
          <a:extLst>
            <a:ext uri="{FF2B5EF4-FFF2-40B4-BE49-F238E27FC236}">
              <a16:creationId xmlns:a16="http://schemas.microsoft.com/office/drawing/2014/main" id="{A6F4305F-D059-4A07-8824-2AB9954D5BA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59" name="Text Box 1">
          <a:extLst>
            <a:ext uri="{FF2B5EF4-FFF2-40B4-BE49-F238E27FC236}">
              <a16:creationId xmlns:a16="http://schemas.microsoft.com/office/drawing/2014/main" id="{D1F64D88-0F27-49D7-9B85-D42CBED0492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60" name="Text Box 2">
          <a:extLst>
            <a:ext uri="{FF2B5EF4-FFF2-40B4-BE49-F238E27FC236}">
              <a16:creationId xmlns:a16="http://schemas.microsoft.com/office/drawing/2014/main" id="{EB36E18D-4FF3-4CDF-8610-9FB4BD338DB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461" name="Text Box 1">
          <a:extLst>
            <a:ext uri="{FF2B5EF4-FFF2-40B4-BE49-F238E27FC236}">
              <a16:creationId xmlns:a16="http://schemas.microsoft.com/office/drawing/2014/main" id="{80DF7293-AAE9-4453-AA4A-C2C42B9AF76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462" name="Text Box 2">
          <a:extLst>
            <a:ext uri="{FF2B5EF4-FFF2-40B4-BE49-F238E27FC236}">
              <a16:creationId xmlns:a16="http://schemas.microsoft.com/office/drawing/2014/main" id="{0C4EA48B-1C33-46B3-89A7-59D580956C9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63" name="Text Box 1">
          <a:extLst>
            <a:ext uri="{FF2B5EF4-FFF2-40B4-BE49-F238E27FC236}">
              <a16:creationId xmlns:a16="http://schemas.microsoft.com/office/drawing/2014/main" id="{968BB22F-315C-4C38-A080-56758FB3857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64" name="Text Box 2">
          <a:extLst>
            <a:ext uri="{FF2B5EF4-FFF2-40B4-BE49-F238E27FC236}">
              <a16:creationId xmlns:a16="http://schemas.microsoft.com/office/drawing/2014/main" id="{BDFA98F6-10E9-4756-BC83-BAB78CE4491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465" name="Text Box 1">
          <a:extLst>
            <a:ext uri="{FF2B5EF4-FFF2-40B4-BE49-F238E27FC236}">
              <a16:creationId xmlns:a16="http://schemas.microsoft.com/office/drawing/2014/main" id="{A847EB34-EEDF-457D-8409-9E0759BC10A5}"/>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466" name="Text Box 2">
          <a:extLst>
            <a:ext uri="{FF2B5EF4-FFF2-40B4-BE49-F238E27FC236}">
              <a16:creationId xmlns:a16="http://schemas.microsoft.com/office/drawing/2014/main" id="{5CC03C2C-F6C5-4A8C-BFAB-DE36F4EF70F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67" name="Text Box 1">
          <a:extLst>
            <a:ext uri="{FF2B5EF4-FFF2-40B4-BE49-F238E27FC236}">
              <a16:creationId xmlns:a16="http://schemas.microsoft.com/office/drawing/2014/main" id="{68FE9DD7-6DDB-4298-8171-B96A27A755C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68" name="Text Box 2">
          <a:extLst>
            <a:ext uri="{FF2B5EF4-FFF2-40B4-BE49-F238E27FC236}">
              <a16:creationId xmlns:a16="http://schemas.microsoft.com/office/drawing/2014/main" id="{073D1477-8B52-4F5E-B869-CF95956CD5B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69" name="Text Box 1">
          <a:extLst>
            <a:ext uri="{FF2B5EF4-FFF2-40B4-BE49-F238E27FC236}">
              <a16:creationId xmlns:a16="http://schemas.microsoft.com/office/drawing/2014/main" id="{CAC08BEA-828F-4EF8-BA77-E5F855D84AD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70" name="Text Box 2">
          <a:extLst>
            <a:ext uri="{FF2B5EF4-FFF2-40B4-BE49-F238E27FC236}">
              <a16:creationId xmlns:a16="http://schemas.microsoft.com/office/drawing/2014/main" id="{84D3D505-C4CA-427C-B1B4-ED9E9E66E4E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471" name="Text Box 1">
          <a:extLst>
            <a:ext uri="{FF2B5EF4-FFF2-40B4-BE49-F238E27FC236}">
              <a16:creationId xmlns:a16="http://schemas.microsoft.com/office/drawing/2014/main" id="{7D9E6744-C315-49F8-AFD2-9140BB83C19D}"/>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472" name="Text Box 2">
          <a:extLst>
            <a:ext uri="{FF2B5EF4-FFF2-40B4-BE49-F238E27FC236}">
              <a16:creationId xmlns:a16="http://schemas.microsoft.com/office/drawing/2014/main" id="{AFC82C57-96ED-44E8-9088-DC75B51AC66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73" name="Text Box 2">
          <a:extLst>
            <a:ext uri="{FF2B5EF4-FFF2-40B4-BE49-F238E27FC236}">
              <a16:creationId xmlns:a16="http://schemas.microsoft.com/office/drawing/2014/main" id="{D6668646-F254-4850-AB34-BB957903BF5A}"/>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74" name="Text Box 1">
          <a:extLst>
            <a:ext uri="{FF2B5EF4-FFF2-40B4-BE49-F238E27FC236}">
              <a16:creationId xmlns:a16="http://schemas.microsoft.com/office/drawing/2014/main" id="{7D4C2755-C475-422B-B50E-AB38B4A9B57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75" name="Text Box 2">
          <a:extLst>
            <a:ext uri="{FF2B5EF4-FFF2-40B4-BE49-F238E27FC236}">
              <a16:creationId xmlns:a16="http://schemas.microsoft.com/office/drawing/2014/main" id="{773DDD54-7359-498B-A671-629AA9A8C81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76" name="Text Box 1">
          <a:extLst>
            <a:ext uri="{FF2B5EF4-FFF2-40B4-BE49-F238E27FC236}">
              <a16:creationId xmlns:a16="http://schemas.microsoft.com/office/drawing/2014/main" id="{9BCDE5A8-0B56-4278-8AEE-C3AF09FEE5B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77" name="Text Box 2">
          <a:extLst>
            <a:ext uri="{FF2B5EF4-FFF2-40B4-BE49-F238E27FC236}">
              <a16:creationId xmlns:a16="http://schemas.microsoft.com/office/drawing/2014/main" id="{9728654E-0A80-4BEE-919E-175742526D0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478" name="Text Box 1">
          <a:extLst>
            <a:ext uri="{FF2B5EF4-FFF2-40B4-BE49-F238E27FC236}">
              <a16:creationId xmlns:a16="http://schemas.microsoft.com/office/drawing/2014/main" id="{6FD3BEFC-E35E-4122-AA52-D6C4E5E1D37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479" name="Text Box 2">
          <a:extLst>
            <a:ext uri="{FF2B5EF4-FFF2-40B4-BE49-F238E27FC236}">
              <a16:creationId xmlns:a16="http://schemas.microsoft.com/office/drawing/2014/main" id="{3A78B568-B429-4B94-84A1-70947495558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80" name="Text Box 1">
          <a:extLst>
            <a:ext uri="{FF2B5EF4-FFF2-40B4-BE49-F238E27FC236}">
              <a16:creationId xmlns:a16="http://schemas.microsoft.com/office/drawing/2014/main" id="{208D28EC-CB8B-47CE-A659-68C41052E14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81" name="Text Box 2">
          <a:extLst>
            <a:ext uri="{FF2B5EF4-FFF2-40B4-BE49-F238E27FC236}">
              <a16:creationId xmlns:a16="http://schemas.microsoft.com/office/drawing/2014/main" id="{33B3EF01-3694-42E2-A094-617C729C689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82" name="Text Box 2">
          <a:extLst>
            <a:ext uri="{FF2B5EF4-FFF2-40B4-BE49-F238E27FC236}">
              <a16:creationId xmlns:a16="http://schemas.microsoft.com/office/drawing/2014/main" id="{EE15FE0D-C8B5-4D6C-BEDC-01A27C9E0548}"/>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83" name="Text Box 1">
          <a:extLst>
            <a:ext uri="{FF2B5EF4-FFF2-40B4-BE49-F238E27FC236}">
              <a16:creationId xmlns:a16="http://schemas.microsoft.com/office/drawing/2014/main" id="{B06C713E-7D61-49FC-97AF-A18653E3E47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84" name="Text Box 2">
          <a:extLst>
            <a:ext uri="{FF2B5EF4-FFF2-40B4-BE49-F238E27FC236}">
              <a16:creationId xmlns:a16="http://schemas.microsoft.com/office/drawing/2014/main" id="{94530A4F-FE29-4B1A-AD80-79905778202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85" name="Text Box 2">
          <a:extLst>
            <a:ext uri="{FF2B5EF4-FFF2-40B4-BE49-F238E27FC236}">
              <a16:creationId xmlns:a16="http://schemas.microsoft.com/office/drawing/2014/main" id="{2230F268-2178-4229-A96A-F1BEABC80DD8}"/>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86" name="Text Box 1">
          <a:extLst>
            <a:ext uri="{FF2B5EF4-FFF2-40B4-BE49-F238E27FC236}">
              <a16:creationId xmlns:a16="http://schemas.microsoft.com/office/drawing/2014/main" id="{535080BA-D9FF-4E1D-BD30-19FD76EDA0D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87" name="Text Box 2">
          <a:extLst>
            <a:ext uri="{FF2B5EF4-FFF2-40B4-BE49-F238E27FC236}">
              <a16:creationId xmlns:a16="http://schemas.microsoft.com/office/drawing/2014/main" id="{4CDE8D6C-C106-4B07-A7C1-1F5BB4331C9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88" name="Text Box 2">
          <a:extLst>
            <a:ext uri="{FF2B5EF4-FFF2-40B4-BE49-F238E27FC236}">
              <a16:creationId xmlns:a16="http://schemas.microsoft.com/office/drawing/2014/main" id="{7F1D5D9F-E17E-4E4B-9DBE-64CF59404B09}"/>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89" name="Text Box 1">
          <a:extLst>
            <a:ext uri="{FF2B5EF4-FFF2-40B4-BE49-F238E27FC236}">
              <a16:creationId xmlns:a16="http://schemas.microsoft.com/office/drawing/2014/main" id="{51D95610-8DC3-48C7-9185-E76BDE87AAB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90" name="Text Box 2">
          <a:extLst>
            <a:ext uri="{FF2B5EF4-FFF2-40B4-BE49-F238E27FC236}">
              <a16:creationId xmlns:a16="http://schemas.microsoft.com/office/drawing/2014/main" id="{60A025DD-C037-4468-AF02-88CC9F72EF2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91" name="Text Box 2">
          <a:extLst>
            <a:ext uri="{FF2B5EF4-FFF2-40B4-BE49-F238E27FC236}">
              <a16:creationId xmlns:a16="http://schemas.microsoft.com/office/drawing/2014/main" id="{DFD9AFD5-03BA-4127-BBC4-3EEBE7EAA6A3}"/>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92" name="Text Box 1">
          <a:extLst>
            <a:ext uri="{FF2B5EF4-FFF2-40B4-BE49-F238E27FC236}">
              <a16:creationId xmlns:a16="http://schemas.microsoft.com/office/drawing/2014/main" id="{37DB8D6B-5FC0-48D4-87B3-F861857A0C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93" name="Text Box 2">
          <a:extLst>
            <a:ext uri="{FF2B5EF4-FFF2-40B4-BE49-F238E27FC236}">
              <a16:creationId xmlns:a16="http://schemas.microsoft.com/office/drawing/2014/main" id="{9FE7E551-BD31-4DFB-91F3-21FB6183FEA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94" name="Text Box 2">
          <a:extLst>
            <a:ext uri="{FF2B5EF4-FFF2-40B4-BE49-F238E27FC236}">
              <a16:creationId xmlns:a16="http://schemas.microsoft.com/office/drawing/2014/main" id="{B951B2F4-EA19-4D18-B4A3-7F222BB6BF22}"/>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95" name="Text Box 1">
          <a:extLst>
            <a:ext uri="{FF2B5EF4-FFF2-40B4-BE49-F238E27FC236}">
              <a16:creationId xmlns:a16="http://schemas.microsoft.com/office/drawing/2014/main" id="{2DCD43F1-35DA-421E-B5CA-CDDD0652F2E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96" name="Text Box 2">
          <a:extLst>
            <a:ext uri="{FF2B5EF4-FFF2-40B4-BE49-F238E27FC236}">
              <a16:creationId xmlns:a16="http://schemas.microsoft.com/office/drawing/2014/main" id="{B6C7E244-92BE-4EA0-8D88-70906170EDA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97" name="Text Box 2">
          <a:extLst>
            <a:ext uri="{FF2B5EF4-FFF2-40B4-BE49-F238E27FC236}">
              <a16:creationId xmlns:a16="http://schemas.microsoft.com/office/drawing/2014/main" id="{1A4635D3-6E30-47C4-A769-C9B61B83058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98" name="Text Box 1">
          <a:extLst>
            <a:ext uri="{FF2B5EF4-FFF2-40B4-BE49-F238E27FC236}">
              <a16:creationId xmlns:a16="http://schemas.microsoft.com/office/drawing/2014/main" id="{78A2CC35-D561-43E1-B644-BDB1EAAA471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99" name="Text Box 2">
          <a:extLst>
            <a:ext uri="{FF2B5EF4-FFF2-40B4-BE49-F238E27FC236}">
              <a16:creationId xmlns:a16="http://schemas.microsoft.com/office/drawing/2014/main" id="{68BFD66C-1AA8-4BA2-8998-9E7F618CDA7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00" name="Text Box 1">
          <a:extLst>
            <a:ext uri="{FF2B5EF4-FFF2-40B4-BE49-F238E27FC236}">
              <a16:creationId xmlns:a16="http://schemas.microsoft.com/office/drawing/2014/main" id="{9EC8FA21-358C-4418-BDE8-0D068ADA24E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01" name="Text Box 2">
          <a:extLst>
            <a:ext uri="{FF2B5EF4-FFF2-40B4-BE49-F238E27FC236}">
              <a16:creationId xmlns:a16="http://schemas.microsoft.com/office/drawing/2014/main" id="{27C4AD40-8BC1-4123-A1C5-3373F8966DC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02" name="Text Box 1">
          <a:extLst>
            <a:ext uri="{FF2B5EF4-FFF2-40B4-BE49-F238E27FC236}">
              <a16:creationId xmlns:a16="http://schemas.microsoft.com/office/drawing/2014/main" id="{F47294D5-0329-4E16-9320-2C756E0E100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03" name="Text Box 2">
          <a:extLst>
            <a:ext uri="{FF2B5EF4-FFF2-40B4-BE49-F238E27FC236}">
              <a16:creationId xmlns:a16="http://schemas.microsoft.com/office/drawing/2014/main" id="{1545472F-C4E6-47AD-B95E-196680BB33C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04" name="Text Box 1">
          <a:extLst>
            <a:ext uri="{FF2B5EF4-FFF2-40B4-BE49-F238E27FC236}">
              <a16:creationId xmlns:a16="http://schemas.microsoft.com/office/drawing/2014/main" id="{1D6F0434-4844-428C-82F5-287BC10DDC40}"/>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05" name="Text Box 2">
          <a:extLst>
            <a:ext uri="{FF2B5EF4-FFF2-40B4-BE49-F238E27FC236}">
              <a16:creationId xmlns:a16="http://schemas.microsoft.com/office/drawing/2014/main" id="{D4BE257B-C89C-4FC6-B7C4-9E16CC6FF06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06" name="Text Box 1">
          <a:extLst>
            <a:ext uri="{FF2B5EF4-FFF2-40B4-BE49-F238E27FC236}">
              <a16:creationId xmlns:a16="http://schemas.microsoft.com/office/drawing/2014/main" id="{FCA71493-8937-4ABA-8619-EEAB27709FD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07" name="Text Box 2">
          <a:extLst>
            <a:ext uri="{FF2B5EF4-FFF2-40B4-BE49-F238E27FC236}">
              <a16:creationId xmlns:a16="http://schemas.microsoft.com/office/drawing/2014/main" id="{A2062C10-B38D-40E7-A6B3-572F51CE7C4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08" name="Text Box 1">
          <a:extLst>
            <a:ext uri="{FF2B5EF4-FFF2-40B4-BE49-F238E27FC236}">
              <a16:creationId xmlns:a16="http://schemas.microsoft.com/office/drawing/2014/main" id="{70EBF7B2-7D94-46EA-B4B0-ACACF4DAB05D}"/>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09" name="Text Box 2">
          <a:extLst>
            <a:ext uri="{FF2B5EF4-FFF2-40B4-BE49-F238E27FC236}">
              <a16:creationId xmlns:a16="http://schemas.microsoft.com/office/drawing/2014/main" id="{DF9F0CCD-1E16-4A4A-9F68-3E1F18A8F1C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10" name="Text Box 1">
          <a:extLst>
            <a:ext uri="{FF2B5EF4-FFF2-40B4-BE49-F238E27FC236}">
              <a16:creationId xmlns:a16="http://schemas.microsoft.com/office/drawing/2014/main" id="{232F33FD-85D1-4F9F-A2E3-DADE54EE507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11" name="Text Box 2">
          <a:extLst>
            <a:ext uri="{FF2B5EF4-FFF2-40B4-BE49-F238E27FC236}">
              <a16:creationId xmlns:a16="http://schemas.microsoft.com/office/drawing/2014/main" id="{51EB9C94-A9B2-4C9B-B95A-671FA9AC879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12" name="Text Box 1">
          <a:extLst>
            <a:ext uri="{FF2B5EF4-FFF2-40B4-BE49-F238E27FC236}">
              <a16:creationId xmlns:a16="http://schemas.microsoft.com/office/drawing/2014/main" id="{A829838D-94B5-443B-AB84-88AA6B245BF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13" name="Text Box 2">
          <a:extLst>
            <a:ext uri="{FF2B5EF4-FFF2-40B4-BE49-F238E27FC236}">
              <a16:creationId xmlns:a16="http://schemas.microsoft.com/office/drawing/2014/main" id="{607C3882-17C2-41E4-8B25-3FB92117B14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14" name="Text Box 1">
          <a:extLst>
            <a:ext uri="{FF2B5EF4-FFF2-40B4-BE49-F238E27FC236}">
              <a16:creationId xmlns:a16="http://schemas.microsoft.com/office/drawing/2014/main" id="{2791413A-87A9-4DC0-AD64-DE0A9FB96E7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15" name="Text Box 2">
          <a:extLst>
            <a:ext uri="{FF2B5EF4-FFF2-40B4-BE49-F238E27FC236}">
              <a16:creationId xmlns:a16="http://schemas.microsoft.com/office/drawing/2014/main" id="{7455D615-BD93-4FC9-974C-660F0427439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16" name="Text Box 1">
          <a:extLst>
            <a:ext uri="{FF2B5EF4-FFF2-40B4-BE49-F238E27FC236}">
              <a16:creationId xmlns:a16="http://schemas.microsoft.com/office/drawing/2014/main" id="{8B909FD0-4331-468D-A7B2-34DA2A42E2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17" name="Text Box 2">
          <a:extLst>
            <a:ext uri="{FF2B5EF4-FFF2-40B4-BE49-F238E27FC236}">
              <a16:creationId xmlns:a16="http://schemas.microsoft.com/office/drawing/2014/main" id="{D798A19F-83A2-4989-9F18-D9A773D91CC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18" name="Text Box 2">
          <a:extLst>
            <a:ext uri="{FF2B5EF4-FFF2-40B4-BE49-F238E27FC236}">
              <a16:creationId xmlns:a16="http://schemas.microsoft.com/office/drawing/2014/main" id="{067C6732-7EB7-4FFD-94FD-8CFDAF9EC89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19" name="Text Box 1">
          <a:extLst>
            <a:ext uri="{FF2B5EF4-FFF2-40B4-BE49-F238E27FC236}">
              <a16:creationId xmlns:a16="http://schemas.microsoft.com/office/drawing/2014/main" id="{F94C3BBD-FDAB-45C4-8173-3735C7DBECF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20" name="Text Box 2">
          <a:extLst>
            <a:ext uri="{FF2B5EF4-FFF2-40B4-BE49-F238E27FC236}">
              <a16:creationId xmlns:a16="http://schemas.microsoft.com/office/drawing/2014/main" id="{8255A4F7-1E7E-42BA-8E2A-4CEC994FAA2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21" name="Text Box 1">
          <a:extLst>
            <a:ext uri="{FF2B5EF4-FFF2-40B4-BE49-F238E27FC236}">
              <a16:creationId xmlns:a16="http://schemas.microsoft.com/office/drawing/2014/main" id="{0467CE50-BA52-4809-92E0-6A5EE584BD6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22" name="Text Box 2">
          <a:extLst>
            <a:ext uri="{FF2B5EF4-FFF2-40B4-BE49-F238E27FC236}">
              <a16:creationId xmlns:a16="http://schemas.microsoft.com/office/drawing/2014/main" id="{034EFF4C-C51D-481D-9193-1D84F2EB82E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23" name="Text Box 1">
          <a:extLst>
            <a:ext uri="{FF2B5EF4-FFF2-40B4-BE49-F238E27FC236}">
              <a16:creationId xmlns:a16="http://schemas.microsoft.com/office/drawing/2014/main" id="{BB8C1A6D-FAFB-460E-8925-FCE90CB14D4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24" name="Text Box 2">
          <a:extLst>
            <a:ext uri="{FF2B5EF4-FFF2-40B4-BE49-F238E27FC236}">
              <a16:creationId xmlns:a16="http://schemas.microsoft.com/office/drawing/2014/main" id="{E18C1909-B4EC-4EAF-9DB5-F80CFC0FC236}"/>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25" name="Text Box 1">
          <a:extLst>
            <a:ext uri="{FF2B5EF4-FFF2-40B4-BE49-F238E27FC236}">
              <a16:creationId xmlns:a16="http://schemas.microsoft.com/office/drawing/2014/main" id="{E51CA9FB-BED3-4C6E-BA88-66D6EB269ED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26" name="Text Box 2">
          <a:extLst>
            <a:ext uri="{FF2B5EF4-FFF2-40B4-BE49-F238E27FC236}">
              <a16:creationId xmlns:a16="http://schemas.microsoft.com/office/drawing/2014/main" id="{159A0A64-3791-4C68-9221-7127DEB7157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27" name="Text Box 1">
          <a:extLst>
            <a:ext uri="{FF2B5EF4-FFF2-40B4-BE49-F238E27FC236}">
              <a16:creationId xmlns:a16="http://schemas.microsoft.com/office/drawing/2014/main" id="{A7982CA2-2AE3-46A7-ADC9-119726098AE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28" name="Text Box 2">
          <a:extLst>
            <a:ext uri="{FF2B5EF4-FFF2-40B4-BE49-F238E27FC236}">
              <a16:creationId xmlns:a16="http://schemas.microsoft.com/office/drawing/2014/main" id="{9DBC9367-FA42-45C7-BF22-EF2EE78ECCF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29" name="Text Box 1">
          <a:extLst>
            <a:ext uri="{FF2B5EF4-FFF2-40B4-BE49-F238E27FC236}">
              <a16:creationId xmlns:a16="http://schemas.microsoft.com/office/drawing/2014/main" id="{659DD0DE-7973-4C43-B16D-10BD1AE321B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30" name="Text Box 2">
          <a:extLst>
            <a:ext uri="{FF2B5EF4-FFF2-40B4-BE49-F238E27FC236}">
              <a16:creationId xmlns:a16="http://schemas.microsoft.com/office/drawing/2014/main" id="{8A01CD28-93CD-4B2D-9E5B-B7C6C9D2929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31" name="Text Box 1">
          <a:extLst>
            <a:ext uri="{FF2B5EF4-FFF2-40B4-BE49-F238E27FC236}">
              <a16:creationId xmlns:a16="http://schemas.microsoft.com/office/drawing/2014/main" id="{CE78A4D7-2848-4102-852D-F400641922A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32" name="Text Box 2">
          <a:extLst>
            <a:ext uri="{FF2B5EF4-FFF2-40B4-BE49-F238E27FC236}">
              <a16:creationId xmlns:a16="http://schemas.microsoft.com/office/drawing/2014/main" id="{8E20271E-24EB-4248-9F95-264884588BC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33" name="Text Box 1">
          <a:extLst>
            <a:ext uri="{FF2B5EF4-FFF2-40B4-BE49-F238E27FC236}">
              <a16:creationId xmlns:a16="http://schemas.microsoft.com/office/drawing/2014/main" id="{049835B5-AC20-401D-865A-25E1DE4D822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34" name="Text Box 2">
          <a:extLst>
            <a:ext uri="{FF2B5EF4-FFF2-40B4-BE49-F238E27FC236}">
              <a16:creationId xmlns:a16="http://schemas.microsoft.com/office/drawing/2014/main" id="{19AFC6A2-4E2D-4CB6-94C9-7B8C1BABE52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35" name="Text Box 1">
          <a:extLst>
            <a:ext uri="{FF2B5EF4-FFF2-40B4-BE49-F238E27FC236}">
              <a16:creationId xmlns:a16="http://schemas.microsoft.com/office/drawing/2014/main" id="{DDB0B01A-4D41-4FD3-8215-85286475E34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36" name="Text Box 2">
          <a:extLst>
            <a:ext uri="{FF2B5EF4-FFF2-40B4-BE49-F238E27FC236}">
              <a16:creationId xmlns:a16="http://schemas.microsoft.com/office/drawing/2014/main" id="{19EDE503-1253-4DB6-8021-30A4F55E785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37" name="Text Box 1">
          <a:extLst>
            <a:ext uri="{FF2B5EF4-FFF2-40B4-BE49-F238E27FC236}">
              <a16:creationId xmlns:a16="http://schemas.microsoft.com/office/drawing/2014/main" id="{3818802F-2EFD-46A5-B3CB-4A48892D216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38" name="Text Box 2">
          <a:extLst>
            <a:ext uri="{FF2B5EF4-FFF2-40B4-BE49-F238E27FC236}">
              <a16:creationId xmlns:a16="http://schemas.microsoft.com/office/drawing/2014/main" id="{DE118E32-115F-4E62-A5FF-CFAA79B6B2E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39" name="Text Box 1">
          <a:extLst>
            <a:ext uri="{FF2B5EF4-FFF2-40B4-BE49-F238E27FC236}">
              <a16:creationId xmlns:a16="http://schemas.microsoft.com/office/drawing/2014/main" id="{C43B7F72-B8AA-40D8-986D-44AE5E0284F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40" name="Text Box 2">
          <a:extLst>
            <a:ext uri="{FF2B5EF4-FFF2-40B4-BE49-F238E27FC236}">
              <a16:creationId xmlns:a16="http://schemas.microsoft.com/office/drawing/2014/main" id="{3C09399D-EFAE-454A-801F-5A50E0B0CF1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541" name="Text Box 2">
          <a:extLst>
            <a:ext uri="{FF2B5EF4-FFF2-40B4-BE49-F238E27FC236}">
              <a16:creationId xmlns:a16="http://schemas.microsoft.com/office/drawing/2014/main" id="{291FD513-B04B-4DC1-A567-F0E4C8D089E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42" name="Text Box 1">
          <a:extLst>
            <a:ext uri="{FF2B5EF4-FFF2-40B4-BE49-F238E27FC236}">
              <a16:creationId xmlns:a16="http://schemas.microsoft.com/office/drawing/2014/main" id="{B5432DFD-E8E8-4B1F-846A-E36A0FC2636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43" name="Text Box 2">
          <a:extLst>
            <a:ext uri="{FF2B5EF4-FFF2-40B4-BE49-F238E27FC236}">
              <a16:creationId xmlns:a16="http://schemas.microsoft.com/office/drawing/2014/main" id="{32657AE3-919D-43D0-B0F2-BA6559F0845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44" name="Text Box 1">
          <a:extLst>
            <a:ext uri="{FF2B5EF4-FFF2-40B4-BE49-F238E27FC236}">
              <a16:creationId xmlns:a16="http://schemas.microsoft.com/office/drawing/2014/main" id="{75F6D9A5-816A-4BE4-BC17-554840D896F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45" name="Text Box 2">
          <a:extLst>
            <a:ext uri="{FF2B5EF4-FFF2-40B4-BE49-F238E27FC236}">
              <a16:creationId xmlns:a16="http://schemas.microsoft.com/office/drawing/2014/main" id="{6B0A5FBC-D934-4B7F-ADF3-72D759EAEE8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46" name="Text Box 1">
          <a:extLst>
            <a:ext uri="{FF2B5EF4-FFF2-40B4-BE49-F238E27FC236}">
              <a16:creationId xmlns:a16="http://schemas.microsoft.com/office/drawing/2014/main" id="{27A4A3A8-06E9-4308-8BBF-31D9A59A71F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47" name="Text Box 2">
          <a:extLst>
            <a:ext uri="{FF2B5EF4-FFF2-40B4-BE49-F238E27FC236}">
              <a16:creationId xmlns:a16="http://schemas.microsoft.com/office/drawing/2014/main" id="{79D6BEE7-C5EA-4D04-9F39-0AAE914180D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48" name="Text Box 1">
          <a:extLst>
            <a:ext uri="{FF2B5EF4-FFF2-40B4-BE49-F238E27FC236}">
              <a16:creationId xmlns:a16="http://schemas.microsoft.com/office/drawing/2014/main" id="{2EA6976D-3B8F-4AF3-A1A3-748CB51BEE9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49" name="Text Box 2">
          <a:extLst>
            <a:ext uri="{FF2B5EF4-FFF2-40B4-BE49-F238E27FC236}">
              <a16:creationId xmlns:a16="http://schemas.microsoft.com/office/drawing/2014/main" id="{0A79B6E4-9344-4B9B-8B0C-F80AEFE43B2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550" name="Text Box 2">
          <a:extLst>
            <a:ext uri="{FF2B5EF4-FFF2-40B4-BE49-F238E27FC236}">
              <a16:creationId xmlns:a16="http://schemas.microsoft.com/office/drawing/2014/main" id="{678DA7BB-0106-4DF7-A2FA-CDEF80DCF197}"/>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51" name="Text Box 1">
          <a:extLst>
            <a:ext uri="{FF2B5EF4-FFF2-40B4-BE49-F238E27FC236}">
              <a16:creationId xmlns:a16="http://schemas.microsoft.com/office/drawing/2014/main" id="{7E0E80CF-690E-4318-B31A-65D1E9071E2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52" name="Text Box 2">
          <a:extLst>
            <a:ext uri="{FF2B5EF4-FFF2-40B4-BE49-F238E27FC236}">
              <a16:creationId xmlns:a16="http://schemas.microsoft.com/office/drawing/2014/main" id="{0972EA56-E9DC-4146-B88E-0CBE52B8E7D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553" name="Text Box 2">
          <a:extLst>
            <a:ext uri="{FF2B5EF4-FFF2-40B4-BE49-F238E27FC236}">
              <a16:creationId xmlns:a16="http://schemas.microsoft.com/office/drawing/2014/main" id="{7668C6A0-34D0-4F67-A80E-18AFBB7E3B9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54" name="Text Box 1">
          <a:extLst>
            <a:ext uri="{FF2B5EF4-FFF2-40B4-BE49-F238E27FC236}">
              <a16:creationId xmlns:a16="http://schemas.microsoft.com/office/drawing/2014/main" id="{A87A6E11-90AC-4751-9EAF-BB66AFF55B3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55" name="Text Box 2">
          <a:extLst>
            <a:ext uri="{FF2B5EF4-FFF2-40B4-BE49-F238E27FC236}">
              <a16:creationId xmlns:a16="http://schemas.microsoft.com/office/drawing/2014/main" id="{C71341EF-5D5B-4DE2-8BA6-D64BCE99388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556" name="Text Box 2">
          <a:extLst>
            <a:ext uri="{FF2B5EF4-FFF2-40B4-BE49-F238E27FC236}">
              <a16:creationId xmlns:a16="http://schemas.microsoft.com/office/drawing/2014/main" id="{B61AA4BE-9629-4371-B13D-6DE8CED1FA1D}"/>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57" name="Text Box 1">
          <a:extLst>
            <a:ext uri="{FF2B5EF4-FFF2-40B4-BE49-F238E27FC236}">
              <a16:creationId xmlns:a16="http://schemas.microsoft.com/office/drawing/2014/main" id="{7FDF3A25-A321-4025-8BC0-BE593153D67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58" name="Text Box 2">
          <a:extLst>
            <a:ext uri="{FF2B5EF4-FFF2-40B4-BE49-F238E27FC236}">
              <a16:creationId xmlns:a16="http://schemas.microsoft.com/office/drawing/2014/main" id="{810148D8-615B-4DDF-9B41-C24479C1BE8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559" name="Text Box 2">
          <a:extLst>
            <a:ext uri="{FF2B5EF4-FFF2-40B4-BE49-F238E27FC236}">
              <a16:creationId xmlns:a16="http://schemas.microsoft.com/office/drawing/2014/main" id="{0A7730A7-DDCA-445D-9D33-D907196AB754}"/>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60" name="Text Box 1">
          <a:extLst>
            <a:ext uri="{FF2B5EF4-FFF2-40B4-BE49-F238E27FC236}">
              <a16:creationId xmlns:a16="http://schemas.microsoft.com/office/drawing/2014/main" id="{C62029EE-8135-4AFD-B064-A7A27CD6013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61" name="Text Box 2">
          <a:extLst>
            <a:ext uri="{FF2B5EF4-FFF2-40B4-BE49-F238E27FC236}">
              <a16:creationId xmlns:a16="http://schemas.microsoft.com/office/drawing/2014/main" id="{937C358D-55DB-4466-A3D6-5686C329319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562" name="Text Box 2">
          <a:extLst>
            <a:ext uri="{FF2B5EF4-FFF2-40B4-BE49-F238E27FC236}">
              <a16:creationId xmlns:a16="http://schemas.microsoft.com/office/drawing/2014/main" id="{9C7AAAEB-608C-458B-A224-BE41F6B0892B}"/>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63" name="Text Box 1">
          <a:extLst>
            <a:ext uri="{FF2B5EF4-FFF2-40B4-BE49-F238E27FC236}">
              <a16:creationId xmlns:a16="http://schemas.microsoft.com/office/drawing/2014/main" id="{C3D64272-A92C-43A1-8C2D-FBF573C8B6F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64" name="Text Box 2">
          <a:extLst>
            <a:ext uri="{FF2B5EF4-FFF2-40B4-BE49-F238E27FC236}">
              <a16:creationId xmlns:a16="http://schemas.microsoft.com/office/drawing/2014/main" id="{3C56B080-7F7A-441D-9122-EA0C9B4296A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565" name="Text Box 2">
          <a:extLst>
            <a:ext uri="{FF2B5EF4-FFF2-40B4-BE49-F238E27FC236}">
              <a16:creationId xmlns:a16="http://schemas.microsoft.com/office/drawing/2014/main" id="{89143D59-F215-463E-A3A7-C2B889CD11B3}"/>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66" name="Text Box 1">
          <a:extLst>
            <a:ext uri="{FF2B5EF4-FFF2-40B4-BE49-F238E27FC236}">
              <a16:creationId xmlns:a16="http://schemas.microsoft.com/office/drawing/2014/main" id="{A00E6608-F072-4300-BC97-94AB59DC62F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67" name="Text Box 2">
          <a:extLst>
            <a:ext uri="{FF2B5EF4-FFF2-40B4-BE49-F238E27FC236}">
              <a16:creationId xmlns:a16="http://schemas.microsoft.com/office/drawing/2014/main" id="{08205436-A261-483B-8686-0C7D8A02071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68" name="Text Box 1">
          <a:extLst>
            <a:ext uri="{FF2B5EF4-FFF2-40B4-BE49-F238E27FC236}">
              <a16:creationId xmlns:a16="http://schemas.microsoft.com/office/drawing/2014/main" id="{695600AE-2FDF-477B-B084-55ED150AF5F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69" name="Text Box 2">
          <a:extLst>
            <a:ext uri="{FF2B5EF4-FFF2-40B4-BE49-F238E27FC236}">
              <a16:creationId xmlns:a16="http://schemas.microsoft.com/office/drawing/2014/main" id="{B24A4402-2B4E-48D8-8F7F-C4946AD6762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70" name="Text Box 1">
          <a:extLst>
            <a:ext uri="{FF2B5EF4-FFF2-40B4-BE49-F238E27FC236}">
              <a16:creationId xmlns:a16="http://schemas.microsoft.com/office/drawing/2014/main" id="{4D6A80CC-63A9-4192-BF0E-7856337F9B0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71" name="Text Box 2">
          <a:extLst>
            <a:ext uri="{FF2B5EF4-FFF2-40B4-BE49-F238E27FC236}">
              <a16:creationId xmlns:a16="http://schemas.microsoft.com/office/drawing/2014/main" id="{66D8F1BE-8E5F-4D09-8E2B-D574F1BB1A9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72" name="Text Box 1">
          <a:extLst>
            <a:ext uri="{FF2B5EF4-FFF2-40B4-BE49-F238E27FC236}">
              <a16:creationId xmlns:a16="http://schemas.microsoft.com/office/drawing/2014/main" id="{A213B168-B3B4-463B-90AA-D5575045D16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73" name="Text Box 2">
          <a:extLst>
            <a:ext uri="{FF2B5EF4-FFF2-40B4-BE49-F238E27FC236}">
              <a16:creationId xmlns:a16="http://schemas.microsoft.com/office/drawing/2014/main" id="{BC326AEF-D4ED-45CA-913E-9B4B8F12211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74" name="Text Box 1">
          <a:extLst>
            <a:ext uri="{FF2B5EF4-FFF2-40B4-BE49-F238E27FC236}">
              <a16:creationId xmlns:a16="http://schemas.microsoft.com/office/drawing/2014/main" id="{15894398-A242-4C68-A6EA-3B8B6EBEE4F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75" name="Text Box 2">
          <a:extLst>
            <a:ext uri="{FF2B5EF4-FFF2-40B4-BE49-F238E27FC236}">
              <a16:creationId xmlns:a16="http://schemas.microsoft.com/office/drawing/2014/main" id="{311374D4-BD89-4D8B-BB95-D72EEE69E44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76" name="Text Box 1">
          <a:extLst>
            <a:ext uri="{FF2B5EF4-FFF2-40B4-BE49-F238E27FC236}">
              <a16:creationId xmlns:a16="http://schemas.microsoft.com/office/drawing/2014/main" id="{1701E196-CA77-4D22-B268-AF05C4FA420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77" name="Text Box 2">
          <a:extLst>
            <a:ext uri="{FF2B5EF4-FFF2-40B4-BE49-F238E27FC236}">
              <a16:creationId xmlns:a16="http://schemas.microsoft.com/office/drawing/2014/main" id="{3186AF29-2AF7-4D50-BAEC-C869474CC9D8}"/>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78" name="Text Box 2">
          <a:extLst>
            <a:ext uri="{FF2B5EF4-FFF2-40B4-BE49-F238E27FC236}">
              <a16:creationId xmlns:a16="http://schemas.microsoft.com/office/drawing/2014/main" id="{F097F6CD-AD7E-490E-95D5-FD95DDD37D0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79" name="Text Box 1">
          <a:extLst>
            <a:ext uri="{FF2B5EF4-FFF2-40B4-BE49-F238E27FC236}">
              <a16:creationId xmlns:a16="http://schemas.microsoft.com/office/drawing/2014/main" id="{53BF16F3-4AB1-4144-A9FA-506B5267CD8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80" name="Text Box 2">
          <a:extLst>
            <a:ext uri="{FF2B5EF4-FFF2-40B4-BE49-F238E27FC236}">
              <a16:creationId xmlns:a16="http://schemas.microsoft.com/office/drawing/2014/main" id="{95322DD8-F1DF-49FA-97F4-CE215C05481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81" name="Text Box 1">
          <a:extLst>
            <a:ext uri="{FF2B5EF4-FFF2-40B4-BE49-F238E27FC236}">
              <a16:creationId xmlns:a16="http://schemas.microsoft.com/office/drawing/2014/main" id="{62283B3A-57C7-43CF-A6FA-1B7712048B4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82" name="Text Box 2">
          <a:extLst>
            <a:ext uri="{FF2B5EF4-FFF2-40B4-BE49-F238E27FC236}">
              <a16:creationId xmlns:a16="http://schemas.microsoft.com/office/drawing/2014/main" id="{1C1E1F67-6647-4D82-863D-D0E9787AD11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83" name="Text Box 1">
          <a:extLst>
            <a:ext uri="{FF2B5EF4-FFF2-40B4-BE49-F238E27FC236}">
              <a16:creationId xmlns:a16="http://schemas.microsoft.com/office/drawing/2014/main" id="{11D91E5A-875E-4AD9-BF9C-52F8E788296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84" name="Text Box 2">
          <a:extLst>
            <a:ext uri="{FF2B5EF4-FFF2-40B4-BE49-F238E27FC236}">
              <a16:creationId xmlns:a16="http://schemas.microsoft.com/office/drawing/2014/main" id="{674DED05-1FA9-4D2C-8D99-C214D47B214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85" name="Text Box 2">
          <a:extLst>
            <a:ext uri="{FF2B5EF4-FFF2-40B4-BE49-F238E27FC236}">
              <a16:creationId xmlns:a16="http://schemas.microsoft.com/office/drawing/2014/main" id="{75AF331C-0D9C-4955-ABFB-E047B6E9B1B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86" name="Text Box 1">
          <a:extLst>
            <a:ext uri="{FF2B5EF4-FFF2-40B4-BE49-F238E27FC236}">
              <a16:creationId xmlns:a16="http://schemas.microsoft.com/office/drawing/2014/main" id="{2A7FDBB7-1836-46B6-B1C0-84F84AB92EA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87" name="Text Box 2">
          <a:extLst>
            <a:ext uri="{FF2B5EF4-FFF2-40B4-BE49-F238E27FC236}">
              <a16:creationId xmlns:a16="http://schemas.microsoft.com/office/drawing/2014/main" id="{AE70AAED-BABA-4CF4-B83C-9C47BA41AEB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88" name="Text Box 1">
          <a:extLst>
            <a:ext uri="{FF2B5EF4-FFF2-40B4-BE49-F238E27FC236}">
              <a16:creationId xmlns:a16="http://schemas.microsoft.com/office/drawing/2014/main" id="{FBC085D1-A4CE-4E1F-B011-322569FD2D6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89" name="Text Box 2">
          <a:extLst>
            <a:ext uri="{FF2B5EF4-FFF2-40B4-BE49-F238E27FC236}">
              <a16:creationId xmlns:a16="http://schemas.microsoft.com/office/drawing/2014/main" id="{D41C4AEA-D1F6-4AED-8D5E-D9D9B3AB398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90" name="Text Box 1">
          <a:extLst>
            <a:ext uri="{FF2B5EF4-FFF2-40B4-BE49-F238E27FC236}">
              <a16:creationId xmlns:a16="http://schemas.microsoft.com/office/drawing/2014/main" id="{F2351AB2-9E12-475E-A11C-3849B2BEF15D}"/>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91" name="Text Box 2">
          <a:extLst>
            <a:ext uri="{FF2B5EF4-FFF2-40B4-BE49-F238E27FC236}">
              <a16:creationId xmlns:a16="http://schemas.microsoft.com/office/drawing/2014/main" id="{16F17808-3152-42EB-A698-F3013293835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92" name="Text Box 1">
          <a:extLst>
            <a:ext uri="{FF2B5EF4-FFF2-40B4-BE49-F238E27FC236}">
              <a16:creationId xmlns:a16="http://schemas.microsoft.com/office/drawing/2014/main" id="{87030D0C-8B11-4A18-8CCF-F8DF6B61AF2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93" name="Text Box 2">
          <a:extLst>
            <a:ext uri="{FF2B5EF4-FFF2-40B4-BE49-F238E27FC236}">
              <a16:creationId xmlns:a16="http://schemas.microsoft.com/office/drawing/2014/main" id="{7887948D-34F3-48F6-927D-8A982293B626}"/>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94" name="Text Box 1">
          <a:extLst>
            <a:ext uri="{FF2B5EF4-FFF2-40B4-BE49-F238E27FC236}">
              <a16:creationId xmlns:a16="http://schemas.microsoft.com/office/drawing/2014/main" id="{61077ACE-C1D8-4552-A374-0A67CBCDC85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95" name="Text Box 2">
          <a:extLst>
            <a:ext uri="{FF2B5EF4-FFF2-40B4-BE49-F238E27FC236}">
              <a16:creationId xmlns:a16="http://schemas.microsoft.com/office/drawing/2014/main" id="{1131E0F9-46C1-4B5B-B16D-F762E45AB91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96" name="Text Box 1">
          <a:extLst>
            <a:ext uri="{FF2B5EF4-FFF2-40B4-BE49-F238E27FC236}">
              <a16:creationId xmlns:a16="http://schemas.microsoft.com/office/drawing/2014/main" id="{194B8D3B-60B9-49CE-A0F7-AB2307BEFAC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97" name="Text Box 2">
          <a:extLst>
            <a:ext uri="{FF2B5EF4-FFF2-40B4-BE49-F238E27FC236}">
              <a16:creationId xmlns:a16="http://schemas.microsoft.com/office/drawing/2014/main" id="{7F8EE552-6CD9-4967-80EF-7BF06618D2E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98" name="Text Box 1">
          <a:extLst>
            <a:ext uri="{FF2B5EF4-FFF2-40B4-BE49-F238E27FC236}">
              <a16:creationId xmlns:a16="http://schemas.microsoft.com/office/drawing/2014/main" id="{E7C21CE8-3EA4-459D-8FA8-BFDEC969B815}"/>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99" name="Text Box 2">
          <a:extLst>
            <a:ext uri="{FF2B5EF4-FFF2-40B4-BE49-F238E27FC236}">
              <a16:creationId xmlns:a16="http://schemas.microsoft.com/office/drawing/2014/main" id="{B2CD38A3-AB54-4D14-A877-77E01C2E2EB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00" name="Text Box 1">
          <a:extLst>
            <a:ext uri="{FF2B5EF4-FFF2-40B4-BE49-F238E27FC236}">
              <a16:creationId xmlns:a16="http://schemas.microsoft.com/office/drawing/2014/main" id="{F2647F69-3E2C-4DEB-A1EA-29D98204831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01" name="Text Box 2">
          <a:extLst>
            <a:ext uri="{FF2B5EF4-FFF2-40B4-BE49-F238E27FC236}">
              <a16:creationId xmlns:a16="http://schemas.microsoft.com/office/drawing/2014/main" id="{92D42179-61ED-497D-8476-7C89CA35808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602" name="Text Box 1">
          <a:extLst>
            <a:ext uri="{FF2B5EF4-FFF2-40B4-BE49-F238E27FC236}">
              <a16:creationId xmlns:a16="http://schemas.microsoft.com/office/drawing/2014/main" id="{B35EB6F2-47EE-49EC-87FA-8051D46BBAC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603" name="Text Box 2">
          <a:extLst>
            <a:ext uri="{FF2B5EF4-FFF2-40B4-BE49-F238E27FC236}">
              <a16:creationId xmlns:a16="http://schemas.microsoft.com/office/drawing/2014/main" id="{24079DCD-6C3C-4FF0-92D3-A37E24F25647}"/>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604" name="Text Box 1">
          <a:extLst>
            <a:ext uri="{FF2B5EF4-FFF2-40B4-BE49-F238E27FC236}">
              <a16:creationId xmlns:a16="http://schemas.microsoft.com/office/drawing/2014/main" id="{88AC69B8-7B08-4E3B-8B88-8ACC78EF42C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605" name="Text Box 2">
          <a:extLst>
            <a:ext uri="{FF2B5EF4-FFF2-40B4-BE49-F238E27FC236}">
              <a16:creationId xmlns:a16="http://schemas.microsoft.com/office/drawing/2014/main" id="{EDD2A42C-AA77-43E3-B0B8-1F501CEDF97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06" name="Text Box 1">
          <a:extLst>
            <a:ext uri="{FF2B5EF4-FFF2-40B4-BE49-F238E27FC236}">
              <a16:creationId xmlns:a16="http://schemas.microsoft.com/office/drawing/2014/main" id="{24FAFAB9-615F-45F7-8240-0AF8071E534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07" name="Text Box 2">
          <a:extLst>
            <a:ext uri="{FF2B5EF4-FFF2-40B4-BE49-F238E27FC236}">
              <a16:creationId xmlns:a16="http://schemas.microsoft.com/office/drawing/2014/main" id="{FDE77DB5-B0D7-4C11-A168-7ED02CAD9D0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08" name="Text Box 1">
          <a:extLst>
            <a:ext uri="{FF2B5EF4-FFF2-40B4-BE49-F238E27FC236}">
              <a16:creationId xmlns:a16="http://schemas.microsoft.com/office/drawing/2014/main" id="{B6F1D08B-4474-4EAF-9EE4-86E09AD7084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09" name="Text Box 2">
          <a:extLst>
            <a:ext uri="{FF2B5EF4-FFF2-40B4-BE49-F238E27FC236}">
              <a16:creationId xmlns:a16="http://schemas.microsoft.com/office/drawing/2014/main" id="{35B34279-C65B-42BE-A407-DDD5D30BDB7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10" name="Text Box 1">
          <a:extLst>
            <a:ext uri="{FF2B5EF4-FFF2-40B4-BE49-F238E27FC236}">
              <a16:creationId xmlns:a16="http://schemas.microsoft.com/office/drawing/2014/main" id="{607DF598-3FE8-471A-80F7-ACE8D86588F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11" name="Text Box 2">
          <a:extLst>
            <a:ext uri="{FF2B5EF4-FFF2-40B4-BE49-F238E27FC236}">
              <a16:creationId xmlns:a16="http://schemas.microsoft.com/office/drawing/2014/main" id="{D1F3CFA2-31EA-4E6A-A1C2-0C4949CBF83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12" name="Text Box 1">
          <a:extLst>
            <a:ext uri="{FF2B5EF4-FFF2-40B4-BE49-F238E27FC236}">
              <a16:creationId xmlns:a16="http://schemas.microsoft.com/office/drawing/2014/main" id="{0CEE599A-C368-476E-9F8A-0359492EDE4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13" name="Text Box 2">
          <a:extLst>
            <a:ext uri="{FF2B5EF4-FFF2-40B4-BE49-F238E27FC236}">
              <a16:creationId xmlns:a16="http://schemas.microsoft.com/office/drawing/2014/main" id="{169FF2EE-EC67-467C-8E42-132FDCA9A8C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14" name="Text Box 1">
          <a:extLst>
            <a:ext uri="{FF2B5EF4-FFF2-40B4-BE49-F238E27FC236}">
              <a16:creationId xmlns:a16="http://schemas.microsoft.com/office/drawing/2014/main" id="{B946994B-AEC4-4D6F-9E21-B6A70471D29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15" name="Text Box 2">
          <a:extLst>
            <a:ext uri="{FF2B5EF4-FFF2-40B4-BE49-F238E27FC236}">
              <a16:creationId xmlns:a16="http://schemas.microsoft.com/office/drawing/2014/main" id="{A6FFA93C-F886-4D4E-8F79-69E26E95A5B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16" name="Text Box 1">
          <a:extLst>
            <a:ext uri="{FF2B5EF4-FFF2-40B4-BE49-F238E27FC236}">
              <a16:creationId xmlns:a16="http://schemas.microsoft.com/office/drawing/2014/main" id="{DA4D5DDE-0837-45C5-B84E-50E127D14B8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17" name="Text Box 2">
          <a:extLst>
            <a:ext uri="{FF2B5EF4-FFF2-40B4-BE49-F238E27FC236}">
              <a16:creationId xmlns:a16="http://schemas.microsoft.com/office/drawing/2014/main" id="{0005BE13-4B2C-4491-80E4-66F20226B16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618" name="Text Box 1">
          <a:extLst>
            <a:ext uri="{FF2B5EF4-FFF2-40B4-BE49-F238E27FC236}">
              <a16:creationId xmlns:a16="http://schemas.microsoft.com/office/drawing/2014/main" id="{4F02274C-AE17-4E80-A029-62A123A88E2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619" name="Text Box 2">
          <a:extLst>
            <a:ext uri="{FF2B5EF4-FFF2-40B4-BE49-F238E27FC236}">
              <a16:creationId xmlns:a16="http://schemas.microsoft.com/office/drawing/2014/main" id="{90C3EF71-D883-4631-88E8-03412B5F786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20" name="Text Box 1">
          <a:extLst>
            <a:ext uri="{FF2B5EF4-FFF2-40B4-BE49-F238E27FC236}">
              <a16:creationId xmlns:a16="http://schemas.microsoft.com/office/drawing/2014/main" id="{5DD9F6B3-BDB0-4726-96FF-C2F23DF01B3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21" name="Text Box 2">
          <a:extLst>
            <a:ext uri="{FF2B5EF4-FFF2-40B4-BE49-F238E27FC236}">
              <a16:creationId xmlns:a16="http://schemas.microsoft.com/office/drawing/2014/main" id="{FD65FB8A-B360-41FA-8525-419FF8BAA8E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622" name="Text Box 1">
          <a:extLst>
            <a:ext uri="{FF2B5EF4-FFF2-40B4-BE49-F238E27FC236}">
              <a16:creationId xmlns:a16="http://schemas.microsoft.com/office/drawing/2014/main" id="{26D865E9-E946-4436-A7D4-5A448EBD66D5}"/>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623" name="Text Box 2">
          <a:extLst>
            <a:ext uri="{FF2B5EF4-FFF2-40B4-BE49-F238E27FC236}">
              <a16:creationId xmlns:a16="http://schemas.microsoft.com/office/drawing/2014/main" id="{AE04DEE2-DB21-4AE8-8A36-22910FD3D8E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24" name="Text Box 1">
          <a:extLst>
            <a:ext uri="{FF2B5EF4-FFF2-40B4-BE49-F238E27FC236}">
              <a16:creationId xmlns:a16="http://schemas.microsoft.com/office/drawing/2014/main" id="{FD721276-D445-45A8-AF83-13E500F9A81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25" name="Text Box 2">
          <a:extLst>
            <a:ext uri="{FF2B5EF4-FFF2-40B4-BE49-F238E27FC236}">
              <a16:creationId xmlns:a16="http://schemas.microsoft.com/office/drawing/2014/main" id="{95779A99-06C5-4081-985D-54B6CAA8EDB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26" name="Text Box 1">
          <a:extLst>
            <a:ext uri="{FF2B5EF4-FFF2-40B4-BE49-F238E27FC236}">
              <a16:creationId xmlns:a16="http://schemas.microsoft.com/office/drawing/2014/main" id="{0F84D7D9-8217-4611-96CB-06AB1A51250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27" name="Text Box 2">
          <a:extLst>
            <a:ext uri="{FF2B5EF4-FFF2-40B4-BE49-F238E27FC236}">
              <a16:creationId xmlns:a16="http://schemas.microsoft.com/office/drawing/2014/main" id="{3A210E2E-34FB-4E25-9CB0-5CAC4F6D25C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28" name="Text Box 1">
          <a:extLst>
            <a:ext uri="{FF2B5EF4-FFF2-40B4-BE49-F238E27FC236}">
              <a16:creationId xmlns:a16="http://schemas.microsoft.com/office/drawing/2014/main" id="{043925C3-3439-4F40-9BF7-CE469E3E444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29" name="Text Box 2">
          <a:extLst>
            <a:ext uri="{FF2B5EF4-FFF2-40B4-BE49-F238E27FC236}">
              <a16:creationId xmlns:a16="http://schemas.microsoft.com/office/drawing/2014/main" id="{E628E14C-BB3A-4376-AF74-3D4D467ED7E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30" name="Text Box 1">
          <a:extLst>
            <a:ext uri="{FF2B5EF4-FFF2-40B4-BE49-F238E27FC236}">
              <a16:creationId xmlns:a16="http://schemas.microsoft.com/office/drawing/2014/main" id="{35A8FF33-FB34-4FF5-B5A6-35986F9948C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31" name="Text Box 2">
          <a:extLst>
            <a:ext uri="{FF2B5EF4-FFF2-40B4-BE49-F238E27FC236}">
              <a16:creationId xmlns:a16="http://schemas.microsoft.com/office/drawing/2014/main" id="{D8D2329A-BDCE-4A30-B529-135B5E0D48C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32" name="Text Box 1">
          <a:extLst>
            <a:ext uri="{FF2B5EF4-FFF2-40B4-BE49-F238E27FC236}">
              <a16:creationId xmlns:a16="http://schemas.microsoft.com/office/drawing/2014/main" id="{103B1771-02BA-466B-BFAB-227882B7B04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33" name="Text Box 2">
          <a:extLst>
            <a:ext uri="{FF2B5EF4-FFF2-40B4-BE49-F238E27FC236}">
              <a16:creationId xmlns:a16="http://schemas.microsoft.com/office/drawing/2014/main" id="{86E24B67-A7AD-4825-AE52-76FD2386B4E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34" name="Text Box 1">
          <a:extLst>
            <a:ext uri="{FF2B5EF4-FFF2-40B4-BE49-F238E27FC236}">
              <a16:creationId xmlns:a16="http://schemas.microsoft.com/office/drawing/2014/main" id="{32E92889-6318-47A0-803E-9298341AD6A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35" name="Text Box 2">
          <a:extLst>
            <a:ext uri="{FF2B5EF4-FFF2-40B4-BE49-F238E27FC236}">
              <a16:creationId xmlns:a16="http://schemas.microsoft.com/office/drawing/2014/main" id="{D95F57AD-5BA5-4EB3-BF9C-CB55F0C93D1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636" name="Text Box 1">
          <a:extLst>
            <a:ext uri="{FF2B5EF4-FFF2-40B4-BE49-F238E27FC236}">
              <a16:creationId xmlns:a16="http://schemas.microsoft.com/office/drawing/2014/main" id="{C7963E70-30B7-4C4C-9A7B-2E922BA7A0B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637" name="Text Box 2">
          <a:extLst>
            <a:ext uri="{FF2B5EF4-FFF2-40B4-BE49-F238E27FC236}">
              <a16:creationId xmlns:a16="http://schemas.microsoft.com/office/drawing/2014/main" id="{EC25FA45-676C-41AE-B81B-AD2EB51E919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38" name="Text Box 1">
          <a:extLst>
            <a:ext uri="{FF2B5EF4-FFF2-40B4-BE49-F238E27FC236}">
              <a16:creationId xmlns:a16="http://schemas.microsoft.com/office/drawing/2014/main" id="{50C3ECC8-DEC3-45EA-ACA7-423E6A43399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39" name="Text Box 2">
          <a:extLst>
            <a:ext uri="{FF2B5EF4-FFF2-40B4-BE49-F238E27FC236}">
              <a16:creationId xmlns:a16="http://schemas.microsoft.com/office/drawing/2014/main" id="{53C4D84F-5A3A-4B9A-ACB7-A431ABCA69E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640" name="Text Box 1">
          <a:extLst>
            <a:ext uri="{FF2B5EF4-FFF2-40B4-BE49-F238E27FC236}">
              <a16:creationId xmlns:a16="http://schemas.microsoft.com/office/drawing/2014/main" id="{EDBBB441-C241-4E14-9582-DF79168B110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641" name="Text Box 2">
          <a:extLst>
            <a:ext uri="{FF2B5EF4-FFF2-40B4-BE49-F238E27FC236}">
              <a16:creationId xmlns:a16="http://schemas.microsoft.com/office/drawing/2014/main" id="{2E352845-882C-4782-9432-FB1E2CAF77C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42" name="Text Box 1">
          <a:extLst>
            <a:ext uri="{FF2B5EF4-FFF2-40B4-BE49-F238E27FC236}">
              <a16:creationId xmlns:a16="http://schemas.microsoft.com/office/drawing/2014/main" id="{0078B68F-F18E-4C5F-ABC6-F460514FE9F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43" name="Text Box 2">
          <a:extLst>
            <a:ext uri="{FF2B5EF4-FFF2-40B4-BE49-F238E27FC236}">
              <a16:creationId xmlns:a16="http://schemas.microsoft.com/office/drawing/2014/main" id="{193725DE-9EFD-4B39-BFA2-1E41ED424F2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44" name="Text Box 1">
          <a:extLst>
            <a:ext uri="{FF2B5EF4-FFF2-40B4-BE49-F238E27FC236}">
              <a16:creationId xmlns:a16="http://schemas.microsoft.com/office/drawing/2014/main" id="{5827E3F4-3683-4DCB-B8E4-2A7A63A6442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45" name="Text Box 2">
          <a:extLst>
            <a:ext uri="{FF2B5EF4-FFF2-40B4-BE49-F238E27FC236}">
              <a16:creationId xmlns:a16="http://schemas.microsoft.com/office/drawing/2014/main" id="{08011E6C-1219-4821-A026-2B1A76213C9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46" name="Text Box 1">
          <a:extLst>
            <a:ext uri="{FF2B5EF4-FFF2-40B4-BE49-F238E27FC236}">
              <a16:creationId xmlns:a16="http://schemas.microsoft.com/office/drawing/2014/main" id="{722EE4D8-8C2C-4D5F-BF40-6BC560C90F1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47" name="Text Box 2">
          <a:extLst>
            <a:ext uri="{FF2B5EF4-FFF2-40B4-BE49-F238E27FC236}">
              <a16:creationId xmlns:a16="http://schemas.microsoft.com/office/drawing/2014/main" id="{1B552078-AC35-440E-932B-E7776C4FE3C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48" name="Text Box 1">
          <a:extLst>
            <a:ext uri="{FF2B5EF4-FFF2-40B4-BE49-F238E27FC236}">
              <a16:creationId xmlns:a16="http://schemas.microsoft.com/office/drawing/2014/main" id="{A8EF20DF-1E1C-464D-94C9-AAB385F481D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49" name="Text Box 2">
          <a:extLst>
            <a:ext uri="{FF2B5EF4-FFF2-40B4-BE49-F238E27FC236}">
              <a16:creationId xmlns:a16="http://schemas.microsoft.com/office/drawing/2014/main" id="{750C8902-4F84-48F4-9B1A-01F2FEB0DBA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50" name="Text Box 1">
          <a:extLst>
            <a:ext uri="{FF2B5EF4-FFF2-40B4-BE49-F238E27FC236}">
              <a16:creationId xmlns:a16="http://schemas.microsoft.com/office/drawing/2014/main" id="{28D11CB1-B097-4279-AC5D-F5B073BCFB3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51" name="Text Box 2">
          <a:extLst>
            <a:ext uri="{FF2B5EF4-FFF2-40B4-BE49-F238E27FC236}">
              <a16:creationId xmlns:a16="http://schemas.microsoft.com/office/drawing/2014/main" id="{71C49C2B-F2C6-4206-A7A5-C6FB6B7B71E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52" name="Text Box 1">
          <a:extLst>
            <a:ext uri="{FF2B5EF4-FFF2-40B4-BE49-F238E27FC236}">
              <a16:creationId xmlns:a16="http://schemas.microsoft.com/office/drawing/2014/main" id="{C7244A81-6CFD-43A5-A96E-1A9DF735D9C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53" name="Text Box 2">
          <a:extLst>
            <a:ext uri="{FF2B5EF4-FFF2-40B4-BE49-F238E27FC236}">
              <a16:creationId xmlns:a16="http://schemas.microsoft.com/office/drawing/2014/main" id="{D7173C0D-2784-439D-92DF-8D2DE99EACA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54" name="Text Box 1">
          <a:extLst>
            <a:ext uri="{FF2B5EF4-FFF2-40B4-BE49-F238E27FC236}">
              <a16:creationId xmlns:a16="http://schemas.microsoft.com/office/drawing/2014/main" id="{6D9E722A-F137-4577-B3ED-5C197825FF5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55" name="Text Box 2">
          <a:extLst>
            <a:ext uri="{FF2B5EF4-FFF2-40B4-BE49-F238E27FC236}">
              <a16:creationId xmlns:a16="http://schemas.microsoft.com/office/drawing/2014/main" id="{83F2542A-A11C-47C8-A22A-FB8F6A3CBB4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56" name="Text Box 1">
          <a:extLst>
            <a:ext uri="{FF2B5EF4-FFF2-40B4-BE49-F238E27FC236}">
              <a16:creationId xmlns:a16="http://schemas.microsoft.com/office/drawing/2014/main" id="{2A4E2019-5F04-4FE8-8606-71F783C87F2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57" name="Text Box 2">
          <a:extLst>
            <a:ext uri="{FF2B5EF4-FFF2-40B4-BE49-F238E27FC236}">
              <a16:creationId xmlns:a16="http://schemas.microsoft.com/office/drawing/2014/main" id="{7E31B201-4CFE-45CF-818F-4D0B2102E0D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58" name="Text Box 1">
          <a:extLst>
            <a:ext uri="{FF2B5EF4-FFF2-40B4-BE49-F238E27FC236}">
              <a16:creationId xmlns:a16="http://schemas.microsoft.com/office/drawing/2014/main" id="{DB1D095F-BAE8-41C4-9611-CB9D1A9C4D4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59" name="Text Box 2">
          <a:extLst>
            <a:ext uri="{FF2B5EF4-FFF2-40B4-BE49-F238E27FC236}">
              <a16:creationId xmlns:a16="http://schemas.microsoft.com/office/drawing/2014/main" id="{CDABA1E0-6FFE-462E-B358-E5B585F3D65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60" name="Text Box 1">
          <a:extLst>
            <a:ext uri="{FF2B5EF4-FFF2-40B4-BE49-F238E27FC236}">
              <a16:creationId xmlns:a16="http://schemas.microsoft.com/office/drawing/2014/main" id="{2C879A4F-184A-4DF9-98F4-A283184F550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61" name="Text Box 2">
          <a:extLst>
            <a:ext uri="{FF2B5EF4-FFF2-40B4-BE49-F238E27FC236}">
              <a16:creationId xmlns:a16="http://schemas.microsoft.com/office/drawing/2014/main" id="{FE47371B-8374-4FDA-9620-1F45F7494FE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62" name="Text Box 1">
          <a:extLst>
            <a:ext uri="{FF2B5EF4-FFF2-40B4-BE49-F238E27FC236}">
              <a16:creationId xmlns:a16="http://schemas.microsoft.com/office/drawing/2014/main" id="{79DD7BBC-994E-488E-8AB2-2B581A88246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63" name="Text Box 2">
          <a:extLst>
            <a:ext uri="{FF2B5EF4-FFF2-40B4-BE49-F238E27FC236}">
              <a16:creationId xmlns:a16="http://schemas.microsoft.com/office/drawing/2014/main" id="{1DE52284-A363-4C53-A891-9EB8E0CEF05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64" name="Text Box 1">
          <a:extLst>
            <a:ext uri="{FF2B5EF4-FFF2-40B4-BE49-F238E27FC236}">
              <a16:creationId xmlns:a16="http://schemas.microsoft.com/office/drawing/2014/main" id="{6A7645B9-AD37-4372-8088-487F3185EC8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65" name="Text Box 2">
          <a:extLst>
            <a:ext uri="{FF2B5EF4-FFF2-40B4-BE49-F238E27FC236}">
              <a16:creationId xmlns:a16="http://schemas.microsoft.com/office/drawing/2014/main" id="{2D0F3575-FD9E-467D-A9C6-86866309277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66" name="Text Box 1">
          <a:extLst>
            <a:ext uri="{FF2B5EF4-FFF2-40B4-BE49-F238E27FC236}">
              <a16:creationId xmlns:a16="http://schemas.microsoft.com/office/drawing/2014/main" id="{3161A1EA-0A00-4AB2-90B7-FB560F73AB4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67" name="Text Box 2">
          <a:extLst>
            <a:ext uri="{FF2B5EF4-FFF2-40B4-BE49-F238E27FC236}">
              <a16:creationId xmlns:a16="http://schemas.microsoft.com/office/drawing/2014/main" id="{CDD6F8F4-87AA-47D0-B7EA-A8EFE4EFE72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68" name="Text Box 1">
          <a:extLst>
            <a:ext uri="{FF2B5EF4-FFF2-40B4-BE49-F238E27FC236}">
              <a16:creationId xmlns:a16="http://schemas.microsoft.com/office/drawing/2014/main" id="{2666ADCE-CB6F-4D1C-91C5-D671F1847D1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69" name="Text Box 2">
          <a:extLst>
            <a:ext uri="{FF2B5EF4-FFF2-40B4-BE49-F238E27FC236}">
              <a16:creationId xmlns:a16="http://schemas.microsoft.com/office/drawing/2014/main" id="{CC049093-58A7-41FB-9C61-35A091A8CBF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70" name="Text Box 1">
          <a:extLst>
            <a:ext uri="{FF2B5EF4-FFF2-40B4-BE49-F238E27FC236}">
              <a16:creationId xmlns:a16="http://schemas.microsoft.com/office/drawing/2014/main" id="{33A970B9-1ED2-4D95-9914-AE7E32AA53D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71" name="Text Box 2">
          <a:extLst>
            <a:ext uri="{FF2B5EF4-FFF2-40B4-BE49-F238E27FC236}">
              <a16:creationId xmlns:a16="http://schemas.microsoft.com/office/drawing/2014/main" id="{74A4BA55-F6EB-46C9-A874-9D1A44FE5F3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72" name="Text Box 1">
          <a:extLst>
            <a:ext uri="{FF2B5EF4-FFF2-40B4-BE49-F238E27FC236}">
              <a16:creationId xmlns:a16="http://schemas.microsoft.com/office/drawing/2014/main" id="{A09EB2A0-C6F8-4469-AEE0-297193DBA28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73" name="Text Box 2">
          <a:extLst>
            <a:ext uri="{FF2B5EF4-FFF2-40B4-BE49-F238E27FC236}">
              <a16:creationId xmlns:a16="http://schemas.microsoft.com/office/drawing/2014/main" id="{15AF79FB-999B-4837-A4EB-4E0EF213C95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674" name="Text Box 1">
          <a:extLst>
            <a:ext uri="{FF2B5EF4-FFF2-40B4-BE49-F238E27FC236}">
              <a16:creationId xmlns:a16="http://schemas.microsoft.com/office/drawing/2014/main" id="{1DA81CDF-8884-4D1D-961D-8020C1781D0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675" name="Text Box 2">
          <a:extLst>
            <a:ext uri="{FF2B5EF4-FFF2-40B4-BE49-F238E27FC236}">
              <a16:creationId xmlns:a16="http://schemas.microsoft.com/office/drawing/2014/main" id="{B9FEC0E3-67E5-42D3-A7E0-3331E282A86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76" name="Text Box 1">
          <a:extLst>
            <a:ext uri="{FF2B5EF4-FFF2-40B4-BE49-F238E27FC236}">
              <a16:creationId xmlns:a16="http://schemas.microsoft.com/office/drawing/2014/main" id="{702EFC8B-8B8B-4AC1-A36F-5AF87C1983A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77" name="Text Box 2">
          <a:extLst>
            <a:ext uri="{FF2B5EF4-FFF2-40B4-BE49-F238E27FC236}">
              <a16:creationId xmlns:a16="http://schemas.microsoft.com/office/drawing/2014/main" id="{937AFFDD-BF18-4848-A9D8-F054A30EBC2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678" name="Text Box 1">
          <a:extLst>
            <a:ext uri="{FF2B5EF4-FFF2-40B4-BE49-F238E27FC236}">
              <a16:creationId xmlns:a16="http://schemas.microsoft.com/office/drawing/2014/main" id="{FEB27DC8-EDDA-4C79-A626-A53970614E0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679" name="Text Box 2">
          <a:extLst>
            <a:ext uri="{FF2B5EF4-FFF2-40B4-BE49-F238E27FC236}">
              <a16:creationId xmlns:a16="http://schemas.microsoft.com/office/drawing/2014/main" id="{3E6B9043-7257-4A96-AC91-E3F92CC3CD7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80" name="Text Box 1">
          <a:extLst>
            <a:ext uri="{FF2B5EF4-FFF2-40B4-BE49-F238E27FC236}">
              <a16:creationId xmlns:a16="http://schemas.microsoft.com/office/drawing/2014/main" id="{5DC829C6-BA5B-4854-A170-E468F6BC85D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81" name="Text Box 2">
          <a:extLst>
            <a:ext uri="{FF2B5EF4-FFF2-40B4-BE49-F238E27FC236}">
              <a16:creationId xmlns:a16="http://schemas.microsoft.com/office/drawing/2014/main" id="{DFD21D5C-6C1E-4A45-B145-02F488A7591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82" name="Text Box 1">
          <a:extLst>
            <a:ext uri="{FF2B5EF4-FFF2-40B4-BE49-F238E27FC236}">
              <a16:creationId xmlns:a16="http://schemas.microsoft.com/office/drawing/2014/main" id="{8A57E431-0297-451A-9DB1-A69398FF5C0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83" name="Text Box 2">
          <a:extLst>
            <a:ext uri="{FF2B5EF4-FFF2-40B4-BE49-F238E27FC236}">
              <a16:creationId xmlns:a16="http://schemas.microsoft.com/office/drawing/2014/main" id="{75649729-A0B5-4925-86D3-45116B10F65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84" name="Text Box 1">
          <a:extLst>
            <a:ext uri="{FF2B5EF4-FFF2-40B4-BE49-F238E27FC236}">
              <a16:creationId xmlns:a16="http://schemas.microsoft.com/office/drawing/2014/main" id="{52C5FE29-08F5-4A86-8BFA-5518C1EF7AB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85" name="Text Box 2">
          <a:extLst>
            <a:ext uri="{FF2B5EF4-FFF2-40B4-BE49-F238E27FC236}">
              <a16:creationId xmlns:a16="http://schemas.microsoft.com/office/drawing/2014/main" id="{A0BAB8AD-9EAD-48C5-8CED-D334AF9A4A3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86" name="Text Box 1">
          <a:extLst>
            <a:ext uri="{FF2B5EF4-FFF2-40B4-BE49-F238E27FC236}">
              <a16:creationId xmlns:a16="http://schemas.microsoft.com/office/drawing/2014/main" id="{98A507D8-5B21-46DE-AB5A-6C236180E0F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87" name="Text Box 2">
          <a:extLst>
            <a:ext uri="{FF2B5EF4-FFF2-40B4-BE49-F238E27FC236}">
              <a16:creationId xmlns:a16="http://schemas.microsoft.com/office/drawing/2014/main" id="{3D8F0050-69E1-4015-A47B-17647B63C81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88" name="Text Box 1">
          <a:extLst>
            <a:ext uri="{FF2B5EF4-FFF2-40B4-BE49-F238E27FC236}">
              <a16:creationId xmlns:a16="http://schemas.microsoft.com/office/drawing/2014/main" id="{E674A626-C17B-4512-8E3B-15BE353E8D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89" name="Text Box 2">
          <a:extLst>
            <a:ext uri="{FF2B5EF4-FFF2-40B4-BE49-F238E27FC236}">
              <a16:creationId xmlns:a16="http://schemas.microsoft.com/office/drawing/2014/main" id="{3032D922-E9A9-41F4-A728-B5471CE286D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90" name="Text Box 1">
          <a:extLst>
            <a:ext uri="{FF2B5EF4-FFF2-40B4-BE49-F238E27FC236}">
              <a16:creationId xmlns:a16="http://schemas.microsoft.com/office/drawing/2014/main" id="{DE5213A3-4CC0-49DE-A34E-8B7491F8C43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91" name="Text Box 2">
          <a:extLst>
            <a:ext uri="{FF2B5EF4-FFF2-40B4-BE49-F238E27FC236}">
              <a16:creationId xmlns:a16="http://schemas.microsoft.com/office/drawing/2014/main" id="{4CB0912C-80E3-4C2E-A579-87030E87A3A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92" name="Text Box 1">
          <a:extLst>
            <a:ext uri="{FF2B5EF4-FFF2-40B4-BE49-F238E27FC236}">
              <a16:creationId xmlns:a16="http://schemas.microsoft.com/office/drawing/2014/main" id="{A0A64320-952F-4F49-B38A-B2804FA7FA8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93" name="Text Box 2">
          <a:extLst>
            <a:ext uri="{FF2B5EF4-FFF2-40B4-BE49-F238E27FC236}">
              <a16:creationId xmlns:a16="http://schemas.microsoft.com/office/drawing/2014/main" id="{12C87003-832D-4F92-A4D0-1F2A7E65727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94" name="Text Box 1">
          <a:extLst>
            <a:ext uri="{FF2B5EF4-FFF2-40B4-BE49-F238E27FC236}">
              <a16:creationId xmlns:a16="http://schemas.microsoft.com/office/drawing/2014/main" id="{DFBF9ECF-AA5B-49D3-967F-3FF61E8F12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95" name="Text Box 2">
          <a:extLst>
            <a:ext uri="{FF2B5EF4-FFF2-40B4-BE49-F238E27FC236}">
              <a16:creationId xmlns:a16="http://schemas.microsoft.com/office/drawing/2014/main" id="{48673B83-B370-4DDA-81E3-84D710D0F08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96" name="Text Box 1">
          <a:extLst>
            <a:ext uri="{FF2B5EF4-FFF2-40B4-BE49-F238E27FC236}">
              <a16:creationId xmlns:a16="http://schemas.microsoft.com/office/drawing/2014/main" id="{91FBE962-ECEA-4440-BB7C-28CA9C4A6F0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97" name="Text Box 2">
          <a:extLst>
            <a:ext uri="{FF2B5EF4-FFF2-40B4-BE49-F238E27FC236}">
              <a16:creationId xmlns:a16="http://schemas.microsoft.com/office/drawing/2014/main" id="{03F998CB-CD0E-449D-8B4A-720AE779033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98" name="Text Box 1">
          <a:extLst>
            <a:ext uri="{FF2B5EF4-FFF2-40B4-BE49-F238E27FC236}">
              <a16:creationId xmlns:a16="http://schemas.microsoft.com/office/drawing/2014/main" id="{324C8EF7-B4DC-4864-AD49-53784827E00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99" name="Text Box 2">
          <a:extLst>
            <a:ext uri="{FF2B5EF4-FFF2-40B4-BE49-F238E27FC236}">
              <a16:creationId xmlns:a16="http://schemas.microsoft.com/office/drawing/2014/main" id="{77B98335-324C-40E4-AEFB-DE664A95B4F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00" name="Text Box 1">
          <a:extLst>
            <a:ext uri="{FF2B5EF4-FFF2-40B4-BE49-F238E27FC236}">
              <a16:creationId xmlns:a16="http://schemas.microsoft.com/office/drawing/2014/main" id="{F04553F2-6FC9-4E3E-86AB-2E59D569531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01" name="Text Box 2">
          <a:extLst>
            <a:ext uri="{FF2B5EF4-FFF2-40B4-BE49-F238E27FC236}">
              <a16:creationId xmlns:a16="http://schemas.microsoft.com/office/drawing/2014/main" id="{D39AB519-E6B7-4015-8BA1-CBD6C82E687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702" name="Text Box 1">
          <a:extLst>
            <a:ext uri="{FF2B5EF4-FFF2-40B4-BE49-F238E27FC236}">
              <a16:creationId xmlns:a16="http://schemas.microsoft.com/office/drawing/2014/main" id="{7476361E-EA3C-4EE6-ACD9-87DF8202BD6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703" name="Text Box 2">
          <a:extLst>
            <a:ext uri="{FF2B5EF4-FFF2-40B4-BE49-F238E27FC236}">
              <a16:creationId xmlns:a16="http://schemas.microsoft.com/office/drawing/2014/main" id="{AC718C17-40A9-4C49-9AC5-5E915AB636D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704" name="Text Box 1">
          <a:extLst>
            <a:ext uri="{FF2B5EF4-FFF2-40B4-BE49-F238E27FC236}">
              <a16:creationId xmlns:a16="http://schemas.microsoft.com/office/drawing/2014/main" id="{CDF5AD23-69FD-409E-B006-D7C6FEB817A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705" name="Text Box 2">
          <a:extLst>
            <a:ext uri="{FF2B5EF4-FFF2-40B4-BE49-F238E27FC236}">
              <a16:creationId xmlns:a16="http://schemas.microsoft.com/office/drawing/2014/main" id="{908F134F-21EE-4BA4-84FC-8BFDE5FB82C7}"/>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06" name="Text Box 1">
          <a:extLst>
            <a:ext uri="{FF2B5EF4-FFF2-40B4-BE49-F238E27FC236}">
              <a16:creationId xmlns:a16="http://schemas.microsoft.com/office/drawing/2014/main" id="{DEE98D54-1EF2-4123-920D-D22E16FECF8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07" name="Text Box 2">
          <a:extLst>
            <a:ext uri="{FF2B5EF4-FFF2-40B4-BE49-F238E27FC236}">
              <a16:creationId xmlns:a16="http://schemas.microsoft.com/office/drawing/2014/main" id="{4F02EC36-5E83-4901-BC96-1FB01D57D3C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08" name="Text Box 1">
          <a:extLst>
            <a:ext uri="{FF2B5EF4-FFF2-40B4-BE49-F238E27FC236}">
              <a16:creationId xmlns:a16="http://schemas.microsoft.com/office/drawing/2014/main" id="{DEC96B78-9617-4A06-AEB1-247A6495C11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09" name="Text Box 2">
          <a:extLst>
            <a:ext uri="{FF2B5EF4-FFF2-40B4-BE49-F238E27FC236}">
              <a16:creationId xmlns:a16="http://schemas.microsoft.com/office/drawing/2014/main" id="{E000F123-240D-42B9-A7B2-4350F252622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10" name="Text Box 1">
          <a:extLst>
            <a:ext uri="{FF2B5EF4-FFF2-40B4-BE49-F238E27FC236}">
              <a16:creationId xmlns:a16="http://schemas.microsoft.com/office/drawing/2014/main" id="{521FCCE8-24F7-4D51-B50E-3FE6101DC75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11" name="Text Box 2">
          <a:extLst>
            <a:ext uri="{FF2B5EF4-FFF2-40B4-BE49-F238E27FC236}">
              <a16:creationId xmlns:a16="http://schemas.microsoft.com/office/drawing/2014/main" id="{C3844DA2-B711-42FF-ADC2-49C99D77789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12" name="Text Box 1">
          <a:extLst>
            <a:ext uri="{FF2B5EF4-FFF2-40B4-BE49-F238E27FC236}">
              <a16:creationId xmlns:a16="http://schemas.microsoft.com/office/drawing/2014/main" id="{64CF1A34-1D01-499E-9F4A-84CE81AC257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13" name="Text Box 2">
          <a:extLst>
            <a:ext uri="{FF2B5EF4-FFF2-40B4-BE49-F238E27FC236}">
              <a16:creationId xmlns:a16="http://schemas.microsoft.com/office/drawing/2014/main" id="{97628051-9337-4B3B-AD23-B5A18E41ED8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714" name="Text Box 1">
          <a:extLst>
            <a:ext uri="{FF2B5EF4-FFF2-40B4-BE49-F238E27FC236}">
              <a16:creationId xmlns:a16="http://schemas.microsoft.com/office/drawing/2014/main" id="{F9B77A64-87CA-4F18-A45F-06F8E4B2935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715" name="Text Box 2">
          <a:extLst>
            <a:ext uri="{FF2B5EF4-FFF2-40B4-BE49-F238E27FC236}">
              <a16:creationId xmlns:a16="http://schemas.microsoft.com/office/drawing/2014/main" id="{EF312DAF-CB48-4C8B-954F-84E7A775765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716" name="Text Box 1">
          <a:extLst>
            <a:ext uri="{FF2B5EF4-FFF2-40B4-BE49-F238E27FC236}">
              <a16:creationId xmlns:a16="http://schemas.microsoft.com/office/drawing/2014/main" id="{B24DBEEA-9EC2-4AC0-8822-B3FD3F596A0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717" name="Text Box 2">
          <a:extLst>
            <a:ext uri="{FF2B5EF4-FFF2-40B4-BE49-F238E27FC236}">
              <a16:creationId xmlns:a16="http://schemas.microsoft.com/office/drawing/2014/main" id="{F91048E8-C544-408B-933F-2150DCE0261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18" name="Text Box 1">
          <a:extLst>
            <a:ext uri="{FF2B5EF4-FFF2-40B4-BE49-F238E27FC236}">
              <a16:creationId xmlns:a16="http://schemas.microsoft.com/office/drawing/2014/main" id="{253D63E5-8E48-45D2-839F-3826A00E4F9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19" name="Text Box 2">
          <a:extLst>
            <a:ext uri="{FF2B5EF4-FFF2-40B4-BE49-F238E27FC236}">
              <a16:creationId xmlns:a16="http://schemas.microsoft.com/office/drawing/2014/main" id="{1A2428D5-C3A7-420B-9F09-9A221BE1C82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20" name="Text Box 1">
          <a:extLst>
            <a:ext uri="{FF2B5EF4-FFF2-40B4-BE49-F238E27FC236}">
              <a16:creationId xmlns:a16="http://schemas.microsoft.com/office/drawing/2014/main" id="{FA52A7BA-3D96-4CF9-9889-ED1DBB9F063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21" name="Text Box 2">
          <a:extLst>
            <a:ext uri="{FF2B5EF4-FFF2-40B4-BE49-F238E27FC236}">
              <a16:creationId xmlns:a16="http://schemas.microsoft.com/office/drawing/2014/main" id="{0854E16C-B87B-4071-8EE8-A4FB71E67E5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722" name="Text Box 1">
          <a:extLst>
            <a:ext uri="{FF2B5EF4-FFF2-40B4-BE49-F238E27FC236}">
              <a16:creationId xmlns:a16="http://schemas.microsoft.com/office/drawing/2014/main" id="{462FB346-1621-4070-8297-AF16CFB3301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723" name="Text Box 2">
          <a:extLst>
            <a:ext uri="{FF2B5EF4-FFF2-40B4-BE49-F238E27FC236}">
              <a16:creationId xmlns:a16="http://schemas.microsoft.com/office/drawing/2014/main" id="{7490DADB-EF2D-46A6-A8ED-C4924FA2F71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724" name="Text Box 1">
          <a:extLst>
            <a:ext uri="{FF2B5EF4-FFF2-40B4-BE49-F238E27FC236}">
              <a16:creationId xmlns:a16="http://schemas.microsoft.com/office/drawing/2014/main" id="{0AF7A2D9-40F4-4432-9E32-C05AED0D721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725" name="Text Box 2">
          <a:extLst>
            <a:ext uri="{FF2B5EF4-FFF2-40B4-BE49-F238E27FC236}">
              <a16:creationId xmlns:a16="http://schemas.microsoft.com/office/drawing/2014/main" id="{444E74AB-7271-4D67-B525-84B4D804545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26" name="Text Box 1">
          <a:extLst>
            <a:ext uri="{FF2B5EF4-FFF2-40B4-BE49-F238E27FC236}">
              <a16:creationId xmlns:a16="http://schemas.microsoft.com/office/drawing/2014/main" id="{C66CE082-EF62-4E92-BDF2-2E377283B6E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27" name="Text Box 2">
          <a:extLst>
            <a:ext uri="{FF2B5EF4-FFF2-40B4-BE49-F238E27FC236}">
              <a16:creationId xmlns:a16="http://schemas.microsoft.com/office/drawing/2014/main" id="{2D67179D-8459-401A-A65A-805EA8A788D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28" name="Text Box 1">
          <a:extLst>
            <a:ext uri="{FF2B5EF4-FFF2-40B4-BE49-F238E27FC236}">
              <a16:creationId xmlns:a16="http://schemas.microsoft.com/office/drawing/2014/main" id="{F96A20B7-8953-4D42-9B8B-8F22E8D794F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29" name="Text Box 2">
          <a:extLst>
            <a:ext uri="{FF2B5EF4-FFF2-40B4-BE49-F238E27FC236}">
              <a16:creationId xmlns:a16="http://schemas.microsoft.com/office/drawing/2014/main" id="{E5D7B943-41A8-41EA-A309-3FDCC3606D6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730" name="Text Box 1">
          <a:extLst>
            <a:ext uri="{FF2B5EF4-FFF2-40B4-BE49-F238E27FC236}">
              <a16:creationId xmlns:a16="http://schemas.microsoft.com/office/drawing/2014/main" id="{E6B4E57A-74BD-494C-B39C-F593C623297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731" name="Text Box 2">
          <a:extLst>
            <a:ext uri="{FF2B5EF4-FFF2-40B4-BE49-F238E27FC236}">
              <a16:creationId xmlns:a16="http://schemas.microsoft.com/office/drawing/2014/main" id="{4ABB18CA-815E-4B76-82C5-9490AF15FF2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32" name="Text Box 1">
          <a:extLst>
            <a:ext uri="{FF2B5EF4-FFF2-40B4-BE49-F238E27FC236}">
              <a16:creationId xmlns:a16="http://schemas.microsoft.com/office/drawing/2014/main" id="{D4FF3A94-EB39-4704-A426-3921D587376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33" name="Text Box 2">
          <a:extLst>
            <a:ext uri="{FF2B5EF4-FFF2-40B4-BE49-F238E27FC236}">
              <a16:creationId xmlns:a16="http://schemas.microsoft.com/office/drawing/2014/main" id="{50F58329-4649-46F2-9BB6-608911C4286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734" name="Text Box 1">
          <a:extLst>
            <a:ext uri="{FF2B5EF4-FFF2-40B4-BE49-F238E27FC236}">
              <a16:creationId xmlns:a16="http://schemas.microsoft.com/office/drawing/2014/main" id="{E2C8D92B-871F-4297-BDDF-BFE85300D39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735" name="Text Box 2">
          <a:extLst>
            <a:ext uri="{FF2B5EF4-FFF2-40B4-BE49-F238E27FC236}">
              <a16:creationId xmlns:a16="http://schemas.microsoft.com/office/drawing/2014/main" id="{319218C5-D883-441C-95F7-7EB33AECE887}"/>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736" name="Text Box 1">
          <a:extLst>
            <a:ext uri="{FF2B5EF4-FFF2-40B4-BE49-F238E27FC236}">
              <a16:creationId xmlns:a16="http://schemas.microsoft.com/office/drawing/2014/main" id="{6B093F03-BC18-48C0-9660-BEC31A87F91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737" name="Text Box 2">
          <a:extLst>
            <a:ext uri="{FF2B5EF4-FFF2-40B4-BE49-F238E27FC236}">
              <a16:creationId xmlns:a16="http://schemas.microsoft.com/office/drawing/2014/main" id="{BDF3932F-A8C1-40EA-97F9-21625B2F155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38" name="Text Box 1">
          <a:extLst>
            <a:ext uri="{FF2B5EF4-FFF2-40B4-BE49-F238E27FC236}">
              <a16:creationId xmlns:a16="http://schemas.microsoft.com/office/drawing/2014/main" id="{6DEA71BD-3FD1-4D52-AAC6-8D8A30D200E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39" name="Text Box 2">
          <a:extLst>
            <a:ext uri="{FF2B5EF4-FFF2-40B4-BE49-F238E27FC236}">
              <a16:creationId xmlns:a16="http://schemas.microsoft.com/office/drawing/2014/main" id="{B3BA505C-A0BA-4B41-84E0-265AB9B9D00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40" name="Text Box 1">
          <a:extLst>
            <a:ext uri="{FF2B5EF4-FFF2-40B4-BE49-F238E27FC236}">
              <a16:creationId xmlns:a16="http://schemas.microsoft.com/office/drawing/2014/main" id="{70F26F51-0F0F-47A6-AF03-711146E5990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41" name="Text Box 2">
          <a:extLst>
            <a:ext uri="{FF2B5EF4-FFF2-40B4-BE49-F238E27FC236}">
              <a16:creationId xmlns:a16="http://schemas.microsoft.com/office/drawing/2014/main" id="{E15F4CE6-8A26-4B12-B60D-91E9C442A8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42" name="Text Box 1">
          <a:extLst>
            <a:ext uri="{FF2B5EF4-FFF2-40B4-BE49-F238E27FC236}">
              <a16:creationId xmlns:a16="http://schemas.microsoft.com/office/drawing/2014/main" id="{1298C2B0-7A18-468C-8910-5949377191D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43" name="Text Box 2">
          <a:extLst>
            <a:ext uri="{FF2B5EF4-FFF2-40B4-BE49-F238E27FC236}">
              <a16:creationId xmlns:a16="http://schemas.microsoft.com/office/drawing/2014/main" id="{EDFEDF41-00C1-40BF-B170-8B658660B11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744" name="Text Box 1">
          <a:extLst>
            <a:ext uri="{FF2B5EF4-FFF2-40B4-BE49-F238E27FC236}">
              <a16:creationId xmlns:a16="http://schemas.microsoft.com/office/drawing/2014/main" id="{69A71053-2050-423E-8C73-452976A0B3F0}"/>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745" name="Text Box 2">
          <a:extLst>
            <a:ext uri="{FF2B5EF4-FFF2-40B4-BE49-F238E27FC236}">
              <a16:creationId xmlns:a16="http://schemas.microsoft.com/office/drawing/2014/main" id="{31245A99-D3EB-4300-9E24-67D18007D4A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46" name="Text Box 1">
          <a:extLst>
            <a:ext uri="{FF2B5EF4-FFF2-40B4-BE49-F238E27FC236}">
              <a16:creationId xmlns:a16="http://schemas.microsoft.com/office/drawing/2014/main" id="{3F1FF175-C27C-4F33-8D31-007E58F8060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47" name="Text Box 2">
          <a:extLst>
            <a:ext uri="{FF2B5EF4-FFF2-40B4-BE49-F238E27FC236}">
              <a16:creationId xmlns:a16="http://schemas.microsoft.com/office/drawing/2014/main" id="{60C798E6-06B6-4372-93AD-FBDB85DFAA2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748" name="Text Box 1">
          <a:extLst>
            <a:ext uri="{FF2B5EF4-FFF2-40B4-BE49-F238E27FC236}">
              <a16:creationId xmlns:a16="http://schemas.microsoft.com/office/drawing/2014/main" id="{013073E4-19CA-4DAA-B60C-9CBE57645BF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749" name="Text Box 2">
          <a:extLst>
            <a:ext uri="{FF2B5EF4-FFF2-40B4-BE49-F238E27FC236}">
              <a16:creationId xmlns:a16="http://schemas.microsoft.com/office/drawing/2014/main" id="{168C4A88-64A7-4814-8EFF-4D6990D8FAD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50" name="Text Box 1">
          <a:extLst>
            <a:ext uri="{FF2B5EF4-FFF2-40B4-BE49-F238E27FC236}">
              <a16:creationId xmlns:a16="http://schemas.microsoft.com/office/drawing/2014/main" id="{0AD79FEA-F861-4145-B18B-E5CFE5516B8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51" name="Text Box 2">
          <a:extLst>
            <a:ext uri="{FF2B5EF4-FFF2-40B4-BE49-F238E27FC236}">
              <a16:creationId xmlns:a16="http://schemas.microsoft.com/office/drawing/2014/main" id="{5A4CD41B-D4EC-4149-91E1-781980E62E7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52" name="Text Box 1">
          <a:extLst>
            <a:ext uri="{FF2B5EF4-FFF2-40B4-BE49-F238E27FC236}">
              <a16:creationId xmlns:a16="http://schemas.microsoft.com/office/drawing/2014/main" id="{8791EEBF-F8B8-41EE-8E8F-33B0AA1EC7C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53" name="Text Box 2">
          <a:extLst>
            <a:ext uri="{FF2B5EF4-FFF2-40B4-BE49-F238E27FC236}">
              <a16:creationId xmlns:a16="http://schemas.microsoft.com/office/drawing/2014/main" id="{986AF44F-FCA5-40D5-A48C-45A7467CA0F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54" name="Text Box 1">
          <a:extLst>
            <a:ext uri="{FF2B5EF4-FFF2-40B4-BE49-F238E27FC236}">
              <a16:creationId xmlns:a16="http://schemas.microsoft.com/office/drawing/2014/main" id="{DF01672C-DC41-4687-B3EE-3676546D87C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55" name="Text Box 2">
          <a:extLst>
            <a:ext uri="{FF2B5EF4-FFF2-40B4-BE49-F238E27FC236}">
              <a16:creationId xmlns:a16="http://schemas.microsoft.com/office/drawing/2014/main" id="{DF68A8E7-2E67-4105-A945-803EDC63315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56" name="Text Box 1">
          <a:extLst>
            <a:ext uri="{FF2B5EF4-FFF2-40B4-BE49-F238E27FC236}">
              <a16:creationId xmlns:a16="http://schemas.microsoft.com/office/drawing/2014/main" id="{9C1B1FE7-7E72-450A-9766-8FD41565CA9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57" name="Text Box 2">
          <a:extLst>
            <a:ext uri="{FF2B5EF4-FFF2-40B4-BE49-F238E27FC236}">
              <a16:creationId xmlns:a16="http://schemas.microsoft.com/office/drawing/2014/main" id="{56419392-8A9F-439C-93F6-CF7B5E2B6DC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58" name="Text Box 1">
          <a:extLst>
            <a:ext uri="{FF2B5EF4-FFF2-40B4-BE49-F238E27FC236}">
              <a16:creationId xmlns:a16="http://schemas.microsoft.com/office/drawing/2014/main" id="{8FAFEBB7-A194-4009-A86F-32B789D244A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59" name="Text Box 2">
          <a:extLst>
            <a:ext uri="{FF2B5EF4-FFF2-40B4-BE49-F238E27FC236}">
              <a16:creationId xmlns:a16="http://schemas.microsoft.com/office/drawing/2014/main" id="{E0DE84B9-D77C-4D14-B020-42DD03045F1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60" name="Text Box 1">
          <a:extLst>
            <a:ext uri="{FF2B5EF4-FFF2-40B4-BE49-F238E27FC236}">
              <a16:creationId xmlns:a16="http://schemas.microsoft.com/office/drawing/2014/main" id="{1ADC7F5E-4C63-4E61-AD88-FD9896772C8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61" name="Text Box 2">
          <a:extLst>
            <a:ext uri="{FF2B5EF4-FFF2-40B4-BE49-F238E27FC236}">
              <a16:creationId xmlns:a16="http://schemas.microsoft.com/office/drawing/2014/main" id="{3DAD9752-5C6E-4B68-B998-E82C71FF96E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62" name="Text Box 1">
          <a:extLst>
            <a:ext uri="{FF2B5EF4-FFF2-40B4-BE49-F238E27FC236}">
              <a16:creationId xmlns:a16="http://schemas.microsoft.com/office/drawing/2014/main" id="{D05DC5B8-F8F7-4D6D-A974-4B8556F3EDC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63" name="Text Box 2">
          <a:extLst>
            <a:ext uri="{FF2B5EF4-FFF2-40B4-BE49-F238E27FC236}">
              <a16:creationId xmlns:a16="http://schemas.microsoft.com/office/drawing/2014/main" id="{21D8F8DD-982A-4632-AEF6-04CFA103A0B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64" name="Text Box 1">
          <a:extLst>
            <a:ext uri="{FF2B5EF4-FFF2-40B4-BE49-F238E27FC236}">
              <a16:creationId xmlns:a16="http://schemas.microsoft.com/office/drawing/2014/main" id="{D239C72F-2531-479B-A89F-A7684F240CA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65" name="Text Box 2">
          <a:extLst>
            <a:ext uri="{FF2B5EF4-FFF2-40B4-BE49-F238E27FC236}">
              <a16:creationId xmlns:a16="http://schemas.microsoft.com/office/drawing/2014/main" id="{C26CD056-D9DC-4916-A154-DBAAF664FF2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766" name="Text Box 2">
          <a:extLst>
            <a:ext uri="{FF2B5EF4-FFF2-40B4-BE49-F238E27FC236}">
              <a16:creationId xmlns:a16="http://schemas.microsoft.com/office/drawing/2014/main" id="{A5064D78-6734-436D-845D-5280D9772B23}"/>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67" name="Text Box 1">
          <a:extLst>
            <a:ext uri="{FF2B5EF4-FFF2-40B4-BE49-F238E27FC236}">
              <a16:creationId xmlns:a16="http://schemas.microsoft.com/office/drawing/2014/main" id="{DEC97D2A-4921-4FF0-9FB2-9C74A249E77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68" name="Text Box 2">
          <a:extLst>
            <a:ext uri="{FF2B5EF4-FFF2-40B4-BE49-F238E27FC236}">
              <a16:creationId xmlns:a16="http://schemas.microsoft.com/office/drawing/2014/main" id="{B686D2B9-ADCD-47D7-AE48-1D12BA0C7A9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69" name="Text Box 1">
          <a:extLst>
            <a:ext uri="{FF2B5EF4-FFF2-40B4-BE49-F238E27FC236}">
              <a16:creationId xmlns:a16="http://schemas.microsoft.com/office/drawing/2014/main" id="{F78730E7-CE6F-4113-895B-28158317D99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70" name="Text Box 2">
          <a:extLst>
            <a:ext uri="{FF2B5EF4-FFF2-40B4-BE49-F238E27FC236}">
              <a16:creationId xmlns:a16="http://schemas.microsoft.com/office/drawing/2014/main" id="{17EBC88A-686F-472F-B688-9BEF0B5D945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771" name="Text Box 1">
          <a:extLst>
            <a:ext uri="{FF2B5EF4-FFF2-40B4-BE49-F238E27FC236}">
              <a16:creationId xmlns:a16="http://schemas.microsoft.com/office/drawing/2014/main" id="{9902FF5B-CDC0-4B12-B859-74C24D3A410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772" name="Text Box 2">
          <a:extLst>
            <a:ext uri="{FF2B5EF4-FFF2-40B4-BE49-F238E27FC236}">
              <a16:creationId xmlns:a16="http://schemas.microsoft.com/office/drawing/2014/main" id="{BC929A61-72C1-4908-A4D0-E4617E44677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73" name="Text Box 1">
          <a:extLst>
            <a:ext uri="{FF2B5EF4-FFF2-40B4-BE49-F238E27FC236}">
              <a16:creationId xmlns:a16="http://schemas.microsoft.com/office/drawing/2014/main" id="{77578D02-7360-447F-A186-CBC06EAAB92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74" name="Text Box 2">
          <a:extLst>
            <a:ext uri="{FF2B5EF4-FFF2-40B4-BE49-F238E27FC236}">
              <a16:creationId xmlns:a16="http://schemas.microsoft.com/office/drawing/2014/main" id="{E41024A7-E647-4612-8FCF-DBF11965DAB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775" name="Text Box 2">
          <a:extLst>
            <a:ext uri="{FF2B5EF4-FFF2-40B4-BE49-F238E27FC236}">
              <a16:creationId xmlns:a16="http://schemas.microsoft.com/office/drawing/2014/main" id="{F65F581B-52B3-4C15-9D21-98F231CCAE87}"/>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76" name="Text Box 1">
          <a:extLst>
            <a:ext uri="{FF2B5EF4-FFF2-40B4-BE49-F238E27FC236}">
              <a16:creationId xmlns:a16="http://schemas.microsoft.com/office/drawing/2014/main" id="{85554AFA-B52A-4F0F-802A-D396B1BED31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77" name="Text Box 2">
          <a:extLst>
            <a:ext uri="{FF2B5EF4-FFF2-40B4-BE49-F238E27FC236}">
              <a16:creationId xmlns:a16="http://schemas.microsoft.com/office/drawing/2014/main" id="{2BE135FB-494D-4801-805A-090757757EC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778" name="Text Box 2">
          <a:extLst>
            <a:ext uri="{FF2B5EF4-FFF2-40B4-BE49-F238E27FC236}">
              <a16:creationId xmlns:a16="http://schemas.microsoft.com/office/drawing/2014/main" id="{B1451CDE-1F7F-4068-9007-92FE1C36409E}"/>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79" name="Text Box 1">
          <a:extLst>
            <a:ext uri="{FF2B5EF4-FFF2-40B4-BE49-F238E27FC236}">
              <a16:creationId xmlns:a16="http://schemas.microsoft.com/office/drawing/2014/main" id="{9658D5A0-9559-463F-8B73-3A3253B1B95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80" name="Text Box 2">
          <a:extLst>
            <a:ext uri="{FF2B5EF4-FFF2-40B4-BE49-F238E27FC236}">
              <a16:creationId xmlns:a16="http://schemas.microsoft.com/office/drawing/2014/main" id="{C63FE45F-A611-43C0-8959-D9DE34CBDD3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781" name="Text Box 2">
          <a:extLst>
            <a:ext uri="{FF2B5EF4-FFF2-40B4-BE49-F238E27FC236}">
              <a16:creationId xmlns:a16="http://schemas.microsoft.com/office/drawing/2014/main" id="{7C8AA9AF-1C37-49BB-B434-988AD1003594}"/>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82" name="Text Box 1">
          <a:extLst>
            <a:ext uri="{FF2B5EF4-FFF2-40B4-BE49-F238E27FC236}">
              <a16:creationId xmlns:a16="http://schemas.microsoft.com/office/drawing/2014/main" id="{760755AA-12E5-42EB-A59E-047BB9A288A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83" name="Text Box 2">
          <a:extLst>
            <a:ext uri="{FF2B5EF4-FFF2-40B4-BE49-F238E27FC236}">
              <a16:creationId xmlns:a16="http://schemas.microsoft.com/office/drawing/2014/main" id="{B55EAE33-A0F8-4F7F-B06C-2B76FAFB0A9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784" name="Text Box 2">
          <a:extLst>
            <a:ext uri="{FF2B5EF4-FFF2-40B4-BE49-F238E27FC236}">
              <a16:creationId xmlns:a16="http://schemas.microsoft.com/office/drawing/2014/main" id="{89E462FD-AF7B-4948-9B71-42183CC2482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85" name="Text Box 1">
          <a:extLst>
            <a:ext uri="{FF2B5EF4-FFF2-40B4-BE49-F238E27FC236}">
              <a16:creationId xmlns:a16="http://schemas.microsoft.com/office/drawing/2014/main" id="{08319926-7E40-45A8-9DCF-DE241502219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86" name="Text Box 2">
          <a:extLst>
            <a:ext uri="{FF2B5EF4-FFF2-40B4-BE49-F238E27FC236}">
              <a16:creationId xmlns:a16="http://schemas.microsoft.com/office/drawing/2014/main" id="{496D65E1-4E26-401B-BAF2-5907114E40E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787" name="Text Box 2">
          <a:extLst>
            <a:ext uri="{FF2B5EF4-FFF2-40B4-BE49-F238E27FC236}">
              <a16:creationId xmlns:a16="http://schemas.microsoft.com/office/drawing/2014/main" id="{6C880C04-DCDD-462E-A303-215D102F87CA}"/>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88" name="Text Box 1">
          <a:extLst>
            <a:ext uri="{FF2B5EF4-FFF2-40B4-BE49-F238E27FC236}">
              <a16:creationId xmlns:a16="http://schemas.microsoft.com/office/drawing/2014/main" id="{9F9C071B-F878-4EB4-843A-4BBD9370BFD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89" name="Text Box 2">
          <a:extLst>
            <a:ext uri="{FF2B5EF4-FFF2-40B4-BE49-F238E27FC236}">
              <a16:creationId xmlns:a16="http://schemas.microsoft.com/office/drawing/2014/main" id="{A55C1327-EABC-4525-977D-A4DC6EF8DA2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790" name="Text Box 2">
          <a:extLst>
            <a:ext uri="{FF2B5EF4-FFF2-40B4-BE49-F238E27FC236}">
              <a16:creationId xmlns:a16="http://schemas.microsoft.com/office/drawing/2014/main" id="{12276F7C-DC84-4D73-B503-CD30A8CDF06A}"/>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91" name="Text Box 1">
          <a:extLst>
            <a:ext uri="{FF2B5EF4-FFF2-40B4-BE49-F238E27FC236}">
              <a16:creationId xmlns:a16="http://schemas.microsoft.com/office/drawing/2014/main" id="{12BF07AC-F817-4332-B48C-A9DF72458D2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92" name="Text Box 2">
          <a:extLst>
            <a:ext uri="{FF2B5EF4-FFF2-40B4-BE49-F238E27FC236}">
              <a16:creationId xmlns:a16="http://schemas.microsoft.com/office/drawing/2014/main" id="{3D64BADA-BDAF-4AE2-844F-8855010BAA9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93" name="Text Box 1">
          <a:extLst>
            <a:ext uri="{FF2B5EF4-FFF2-40B4-BE49-F238E27FC236}">
              <a16:creationId xmlns:a16="http://schemas.microsoft.com/office/drawing/2014/main" id="{BABF16AA-F16B-4C73-9DBF-CDDA3FDA65D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94" name="Text Box 2">
          <a:extLst>
            <a:ext uri="{FF2B5EF4-FFF2-40B4-BE49-F238E27FC236}">
              <a16:creationId xmlns:a16="http://schemas.microsoft.com/office/drawing/2014/main" id="{A4436702-BD68-458D-BFFA-340BF3E4683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95" name="Text Box 1">
          <a:extLst>
            <a:ext uri="{FF2B5EF4-FFF2-40B4-BE49-F238E27FC236}">
              <a16:creationId xmlns:a16="http://schemas.microsoft.com/office/drawing/2014/main" id="{A80F9AE8-288F-4CF5-BDF3-2616490464A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96" name="Text Box 2">
          <a:extLst>
            <a:ext uri="{FF2B5EF4-FFF2-40B4-BE49-F238E27FC236}">
              <a16:creationId xmlns:a16="http://schemas.microsoft.com/office/drawing/2014/main" id="{E2B183E7-A422-4369-9C77-21859AE2F52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797" name="Text Box 1">
          <a:extLst>
            <a:ext uri="{FF2B5EF4-FFF2-40B4-BE49-F238E27FC236}">
              <a16:creationId xmlns:a16="http://schemas.microsoft.com/office/drawing/2014/main" id="{3BE2BF8A-7BA0-4D8D-893F-3D52FDAAD8A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798" name="Text Box 2">
          <a:extLst>
            <a:ext uri="{FF2B5EF4-FFF2-40B4-BE49-F238E27FC236}">
              <a16:creationId xmlns:a16="http://schemas.microsoft.com/office/drawing/2014/main" id="{D84D5E61-0B8C-4ACB-9497-121F9C8976E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99" name="Text Box 1">
          <a:extLst>
            <a:ext uri="{FF2B5EF4-FFF2-40B4-BE49-F238E27FC236}">
              <a16:creationId xmlns:a16="http://schemas.microsoft.com/office/drawing/2014/main" id="{FC2622A9-F283-4201-89C3-5CE97C5D6AF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00" name="Text Box 2">
          <a:extLst>
            <a:ext uri="{FF2B5EF4-FFF2-40B4-BE49-F238E27FC236}">
              <a16:creationId xmlns:a16="http://schemas.microsoft.com/office/drawing/2014/main" id="{1437B6BC-CBC1-46C5-956E-43B0180DC0A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801" name="Text Box 1">
          <a:extLst>
            <a:ext uri="{FF2B5EF4-FFF2-40B4-BE49-F238E27FC236}">
              <a16:creationId xmlns:a16="http://schemas.microsoft.com/office/drawing/2014/main" id="{1CF38DF7-DC9E-4F5A-9431-2B027F18411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802" name="Text Box 2">
          <a:extLst>
            <a:ext uri="{FF2B5EF4-FFF2-40B4-BE49-F238E27FC236}">
              <a16:creationId xmlns:a16="http://schemas.microsoft.com/office/drawing/2014/main" id="{B2190F54-BE94-4481-A0FF-64732AD5340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03" name="Text Box 1">
          <a:extLst>
            <a:ext uri="{FF2B5EF4-FFF2-40B4-BE49-F238E27FC236}">
              <a16:creationId xmlns:a16="http://schemas.microsoft.com/office/drawing/2014/main" id="{76C300BD-37FB-4E1C-B5AE-EDE6A0CD9DB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04" name="Text Box 2">
          <a:extLst>
            <a:ext uri="{FF2B5EF4-FFF2-40B4-BE49-F238E27FC236}">
              <a16:creationId xmlns:a16="http://schemas.microsoft.com/office/drawing/2014/main" id="{98F157E3-F9AA-48C1-9FA2-CBF978D2873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05" name="Text Box 1">
          <a:extLst>
            <a:ext uri="{FF2B5EF4-FFF2-40B4-BE49-F238E27FC236}">
              <a16:creationId xmlns:a16="http://schemas.microsoft.com/office/drawing/2014/main" id="{6D0761C7-6865-40CD-994B-4D5C99D9FE1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06" name="Text Box 2">
          <a:extLst>
            <a:ext uri="{FF2B5EF4-FFF2-40B4-BE49-F238E27FC236}">
              <a16:creationId xmlns:a16="http://schemas.microsoft.com/office/drawing/2014/main" id="{387EAD22-970F-4789-BF42-88905DED1DB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807" name="Text Box 1">
          <a:extLst>
            <a:ext uri="{FF2B5EF4-FFF2-40B4-BE49-F238E27FC236}">
              <a16:creationId xmlns:a16="http://schemas.microsoft.com/office/drawing/2014/main" id="{40F42DD7-1EF7-42D7-A1A9-4485E4590B78}"/>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808" name="Text Box 2">
          <a:extLst>
            <a:ext uri="{FF2B5EF4-FFF2-40B4-BE49-F238E27FC236}">
              <a16:creationId xmlns:a16="http://schemas.microsoft.com/office/drawing/2014/main" id="{099A54BF-A227-4F08-AB87-E3B31D98619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809" name="Text Box 2">
          <a:extLst>
            <a:ext uri="{FF2B5EF4-FFF2-40B4-BE49-F238E27FC236}">
              <a16:creationId xmlns:a16="http://schemas.microsoft.com/office/drawing/2014/main" id="{E9CD945B-9401-464D-82F9-B8ADFF2C1D41}"/>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10" name="Text Box 1">
          <a:extLst>
            <a:ext uri="{FF2B5EF4-FFF2-40B4-BE49-F238E27FC236}">
              <a16:creationId xmlns:a16="http://schemas.microsoft.com/office/drawing/2014/main" id="{58FA2586-F02B-452D-8C78-D20E99433FD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11" name="Text Box 2">
          <a:extLst>
            <a:ext uri="{FF2B5EF4-FFF2-40B4-BE49-F238E27FC236}">
              <a16:creationId xmlns:a16="http://schemas.microsoft.com/office/drawing/2014/main" id="{FB47B9E6-7716-48A2-910C-68B5814912E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12" name="Text Box 1">
          <a:extLst>
            <a:ext uri="{FF2B5EF4-FFF2-40B4-BE49-F238E27FC236}">
              <a16:creationId xmlns:a16="http://schemas.microsoft.com/office/drawing/2014/main" id="{71C1883A-00D5-4B25-A859-53D18F005FA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13" name="Text Box 2">
          <a:extLst>
            <a:ext uri="{FF2B5EF4-FFF2-40B4-BE49-F238E27FC236}">
              <a16:creationId xmlns:a16="http://schemas.microsoft.com/office/drawing/2014/main" id="{4A86D228-EDF6-488E-BBA3-7AACD2182F2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814" name="Text Box 1">
          <a:extLst>
            <a:ext uri="{FF2B5EF4-FFF2-40B4-BE49-F238E27FC236}">
              <a16:creationId xmlns:a16="http://schemas.microsoft.com/office/drawing/2014/main" id="{2890B214-DFEB-4300-852E-9FB08B01867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815" name="Text Box 2">
          <a:extLst>
            <a:ext uri="{FF2B5EF4-FFF2-40B4-BE49-F238E27FC236}">
              <a16:creationId xmlns:a16="http://schemas.microsoft.com/office/drawing/2014/main" id="{1C4C8106-D5D6-4562-8B93-D9298AF84F4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16" name="Text Box 1">
          <a:extLst>
            <a:ext uri="{FF2B5EF4-FFF2-40B4-BE49-F238E27FC236}">
              <a16:creationId xmlns:a16="http://schemas.microsoft.com/office/drawing/2014/main" id="{5F2A0127-083D-4050-9042-DFE4193E269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17" name="Text Box 2">
          <a:extLst>
            <a:ext uri="{FF2B5EF4-FFF2-40B4-BE49-F238E27FC236}">
              <a16:creationId xmlns:a16="http://schemas.microsoft.com/office/drawing/2014/main" id="{43E1A857-CCF2-43D8-9F81-A8A2A01AE24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818" name="Text Box 2">
          <a:extLst>
            <a:ext uri="{FF2B5EF4-FFF2-40B4-BE49-F238E27FC236}">
              <a16:creationId xmlns:a16="http://schemas.microsoft.com/office/drawing/2014/main" id="{48201656-30B1-4F0E-947D-52F22D61FCAC}"/>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19" name="Text Box 1">
          <a:extLst>
            <a:ext uri="{FF2B5EF4-FFF2-40B4-BE49-F238E27FC236}">
              <a16:creationId xmlns:a16="http://schemas.microsoft.com/office/drawing/2014/main" id="{F4759B42-A266-4FEC-B2AD-E2D1DEA9C92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20" name="Text Box 2">
          <a:extLst>
            <a:ext uri="{FF2B5EF4-FFF2-40B4-BE49-F238E27FC236}">
              <a16:creationId xmlns:a16="http://schemas.microsoft.com/office/drawing/2014/main" id="{64F88EEE-DEDD-460F-8CF7-291AFFE8DF0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821" name="Text Box 2">
          <a:extLst>
            <a:ext uri="{FF2B5EF4-FFF2-40B4-BE49-F238E27FC236}">
              <a16:creationId xmlns:a16="http://schemas.microsoft.com/office/drawing/2014/main" id="{1A6ED915-B2E9-4205-9A8F-0226B2172A21}"/>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22" name="Text Box 1">
          <a:extLst>
            <a:ext uri="{FF2B5EF4-FFF2-40B4-BE49-F238E27FC236}">
              <a16:creationId xmlns:a16="http://schemas.microsoft.com/office/drawing/2014/main" id="{1B5A1D58-26B9-4599-9983-6B9E75E4980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23" name="Text Box 2">
          <a:extLst>
            <a:ext uri="{FF2B5EF4-FFF2-40B4-BE49-F238E27FC236}">
              <a16:creationId xmlns:a16="http://schemas.microsoft.com/office/drawing/2014/main" id="{4115B4C8-9084-41BA-A76A-0673D156687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824" name="Text Box 2">
          <a:extLst>
            <a:ext uri="{FF2B5EF4-FFF2-40B4-BE49-F238E27FC236}">
              <a16:creationId xmlns:a16="http://schemas.microsoft.com/office/drawing/2014/main" id="{BBAFB973-9340-4AFA-B9E3-79F63EE35F1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25" name="Text Box 1">
          <a:extLst>
            <a:ext uri="{FF2B5EF4-FFF2-40B4-BE49-F238E27FC236}">
              <a16:creationId xmlns:a16="http://schemas.microsoft.com/office/drawing/2014/main" id="{0B6B41B2-20A9-4509-AC6C-6DD4D495A27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26" name="Text Box 2">
          <a:extLst>
            <a:ext uri="{FF2B5EF4-FFF2-40B4-BE49-F238E27FC236}">
              <a16:creationId xmlns:a16="http://schemas.microsoft.com/office/drawing/2014/main" id="{2AC23130-A0D8-4239-A7DA-C38DE86D5BA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827" name="Text Box 2">
          <a:extLst>
            <a:ext uri="{FF2B5EF4-FFF2-40B4-BE49-F238E27FC236}">
              <a16:creationId xmlns:a16="http://schemas.microsoft.com/office/drawing/2014/main" id="{DAD99CC7-C743-486C-ACAA-E797410105E2}"/>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28" name="Text Box 1">
          <a:extLst>
            <a:ext uri="{FF2B5EF4-FFF2-40B4-BE49-F238E27FC236}">
              <a16:creationId xmlns:a16="http://schemas.microsoft.com/office/drawing/2014/main" id="{0B1211A9-483E-4D30-A9DF-FB3B3696BC5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29" name="Text Box 2">
          <a:extLst>
            <a:ext uri="{FF2B5EF4-FFF2-40B4-BE49-F238E27FC236}">
              <a16:creationId xmlns:a16="http://schemas.microsoft.com/office/drawing/2014/main" id="{161E7250-422C-4BA7-A8CB-40374A4F401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830" name="Text Box 2">
          <a:extLst>
            <a:ext uri="{FF2B5EF4-FFF2-40B4-BE49-F238E27FC236}">
              <a16:creationId xmlns:a16="http://schemas.microsoft.com/office/drawing/2014/main" id="{E6B68B85-C41C-4BD0-8C9B-B606F778E30A}"/>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31" name="Text Box 1">
          <a:extLst>
            <a:ext uri="{FF2B5EF4-FFF2-40B4-BE49-F238E27FC236}">
              <a16:creationId xmlns:a16="http://schemas.microsoft.com/office/drawing/2014/main" id="{7357530F-628A-41C7-AE12-52346588C6C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32" name="Text Box 2">
          <a:extLst>
            <a:ext uri="{FF2B5EF4-FFF2-40B4-BE49-F238E27FC236}">
              <a16:creationId xmlns:a16="http://schemas.microsoft.com/office/drawing/2014/main" id="{AA8487C0-E2A8-486C-86CB-21865E7434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833" name="Text Box 2">
          <a:extLst>
            <a:ext uri="{FF2B5EF4-FFF2-40B4-BE49-F238E27FC236}">
              <a16:creationId xmlns:a16="http://schemas.microsoft.com/office/drawing/2014/main" id="{5FB4DEB9-7DE0-4264-9C20-BED5416CB9BE}"/>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34" name="Text Box 1">
          <a:extLst>
            <a:ext uri="{FF2B5EF4-FFF2-40B4-BE49-F238E27FC236}">
              <a16:creationId xmlns:a16="http://schemas.microsoft.com/office/drawing/2014/main" id="{3FED6070-B2B6-4F11-A506-52F0F5A1E31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35" name="Text Box 2">
          <a:extLst>
            <a:ext uri="{FF2B5EF4-FFF2-40B4-BE49-F238E27FC236}">
              <a16:creationId xmlns:a16="http://schemas.microsoft.com/office/drawing/2014/main" id="{A646FA17-9F4E-45BB-9451-8976FDE0495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36" name="Text Box 1">
          <a:extLst>
            <a:ext uri="{FF2B5EF4-FFF2-40B4-BE49-F238E27FC236}">
              <a16:creationId xmlns:a16="http://schemas.microsoft.com/office/drawing/2014/main" id="{A26D93CA-A648-47A2-B350-68E3479A593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37" name="Text Box 2">
          <a:extLst>
            <a:ext uri="{FF2B5EF4-FFF2-40B4-BE49-F238E27FC236}">
              <a16:creationId xmlns:a16="http://schemas.microsoft.com/office/drawing/2014/main" id="{7F861538-70A9-4B1D-94E0-E3CE558140E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38" name="Text Box 1">
          <a:extLst>
            <a:ext uri="{FF2B5EF4-FFF2-40B4-BE49-F238E27FC236}">
              <a16:creationId xmlns:a16="http://schemas.microsoft.com/office/drawing/2014/main" id="{FE6AAFF0-3773-42B2-BA7F-D933CE0D055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39" name="Text Box 2">
          <a:extLst>
            <a:ext uri="{FF2B5EF4-FFF2-40B4-BE49-F238E27FC236}">
              <a16:creationId xmlns:a16="http://schemas.microsoft.com/office/drawing/2014/main" id="{40E3F5CD-28FF-4FD7-88E1-B829787872B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840" name="Text Box 1">
          <a:extLst>
            <a:ext uri="{FF2B5EF4-FFF2-40B4-BE49-F238E27FC236}">
              <a16:creationId xmlns:a16="http://schemas.microsoft.com/office/drawing/2014/main" id="{D80A314C-84A1-49F5-9C3E-7E538542D9B8}"/>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841" name="Text Box 2">
          <a:extLst>
            <a:ext uri="{FF2B5EF4-FFF2-40B4-BE49-F238E27FC236}">
              <a16:creationId xmlns:a16="http://schemas.microsoft.com/office/drawing/2014/main" id="{F2C2FA9F-52AE-4728-AD1B-889B501BD9D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42" name="Text Box 1">
          <a:extLst>
            <a:ext uri="{FF2B5EF4-FFF2-40B4-BE49-F238E27FC236}">
              <a16:creationId xmlns:a16="http://schemas.microsoft.com/office/drawing/2014/main" id="{FD96E321-FBD2-4428-A86B-A3488FCE5BE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43" name="Text Box 2">
          <a:extLst>
            <a:ext uri="{FF2B5EF4-FFF2-40B4-BE49-F238E27FC236}">
              <a16:creationId xmlns:a16="http://schemas.microsoft.com/office/drawing/2014/main" id="{9B88A665-1E21-4917-B68E-2A754B49A5C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844" name="Text Box 1">
          <a:extLst>
            <a:ext uri="{FF2B5EF4-FFF2-40B4-BE49-F238E27FC236}">
              <a16:creationId xmlns:a16="http://schemas.microsoft.com/office/drawing/2014/main" id="{637285EB-446D-422F-BD8E-9FB6DAAE9C9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845" name="Text Box 2">
          <a:extLst>
            <a:ext uri="{FF2B5EF4-FFF2-40B4-BE49-F238E27FC236}">
              <a16:creationId xmlns:a16="http://schemas.microsoft.com/office/drawing/2014/main" id="{C882AA39-BEB4-4D46-A7AE-3DB23B9B106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46" name="Text Box 1">
          <a:extLst>
            <a:ext uri="{FF2B5EF4-FFF2-40B4-BE49-F238E27FC236}">
              <a16:creationId xmlns:a16="http://schemas.microsoft.com/office/drawing/2014/main" id="{D9CF21E2-0EA5-47EC-9F00-287454E22F4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47" name="Text Box 2">
          <a:extLst>
            <a:ext uri="{FF2B5EF4-FFF2-40B4-BE49-F238E27FC236}">
              <a16:creationId xmlns:a16="http://schemas.microsoft.com/office/drawing/2014/main" id="{005539DA-4423-4D23-953E-E090B135ED2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48" name="Text Box 1">
          <a:extLst>
            <a:ext uri="{FF2B5EF4-FFF2-40B4-BE49-F238E27FC236}">
              <a16:creationId xmlns:a16="http://schemas.microsoft.com/office/drawing/2014/main" id="{CE802C25-3610-45CB-99C6-049005C89FB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49" name="Text Box 2">
          <a:extLst>
            <a:ext uri="{FF2B5EF4-FFF2-40B4-BE49-F238E27FC236}">
              <a16:creationId xmlns:a16="http://schemas.microsoft.com/office/drawing/2014/main" id="{74961FFA-2646-406C-8DFE-440B83F8D88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850" name="Text Box 1">
          <a:extLst>
            <a:ext uri="{FF2B5EF4-FFF2-40B4-BE49-F238E27FC236}">
              <a16:creationId xmlns:a16="http://schemas.microsoft.com/office/drawing/2014/main" id="{7652EA4F-24E2-4858-BF69-59060585372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851" name="Text Box 2">
          <a:extLst>
            <a:ext uri="{FF2B5EF4-FFF2-40B4-BE49-F238E27FC236}">
              <a16:creationId xmlns:a16="http://schemas.microsoft.com/office/drawing/2014/main" id="{CEA31B3D-076E-44E8-ADF3-389E60A279C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52" name="Text Box 1">
          <a:extLst>
            <a:ext uri="{FF2B5EF4-FFF2-40B4-BE49-F238E27FC236}">
              <a16:creationId xmlns:a16="http://schemas.microsoft.com/office/drawing/2014/main" id="{728DFF19-1462-4FCE-9040-56B0204CDF2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53" name="Text Box 2">
          <a:extLst>
            <a:ext uri="{FF2B5EF4-FFF2-40B4-BE49-F238E27FC236}">
              <a16:creationId xmlns:a16="http://schemas.microsoft.com/office/drawing/2014/main" id="{C0E03349-91A2-4179-AA4D-77C049E76AA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54" name="Text Box 2">
          <a:extLst>
            <a:ext uri="{FF2B5EF4-FFF2-40B4-BE49-F238E27FC236}">
              <a16:creationId xmlns:a16="http://schemas.microsoft.com/office/drawing/2014/main" id="{A11B911C-2EE1-43A0-A99D-509E67AB60E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855" name="Text Box 1">
          <a:extLst>
            <a:ext uri="{FF2B5EF4-FFF2-40B4-BE49-F238E27FC236}">
              <a16:creationId xmlns:a16="http://schemas.microsoft.com/office/drawing/2014/main" id="{9BAD71BD-74F1-4FD2-95A8-2488F7776A65}"/>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856" name="Text Box 2">
          <a:extLst>
            <a:ext uri="{FF2B5EF4-FFF2-40B4-BE49-F238E27FC236}">
              <a16:creationId xmlns:a16="http://schemas.microsoft.com/office/drawing/2014/main" id="{DA192AA1-375B-4252-9D9B-1007252267A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57" name="Text Box 1">
          <a:extLst>
            <a:ext uri="{FF2B5EF4-FFF2-40B4-BE49-F238E27FC236}">
              <a16:creationId xmlns:a16="http://schemas.microsoft.com/office/drawing/2014/main" id="{49B54C40-2044-44B4-B77A-0B107D736FD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58" name="Text Box 2">
          <a:extLst>
            <a:ext uri="{FF2B5EF4-FFF2-40B4-BE49-F238E27FC236}">
              <a16:creationId xmlns:a16="http://schemas.microsoft.com/office/drawing/2014/main" id="{B2FF6375-652D-4058-AA9B-0F5EA481256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63" name="Text Box 1">
          <a:extLst>
            <a:ext uri="{FF2B5EF4-FFF2-40B4-BE49-F238E27FC236}">
              <a16:creationId xmlns:a16="http://schemas.microsoft.com/office/drawing/2014/main" id="{7C90C89A-F6F4-4878-BDC7-14C747ED328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64" name="Text Box 2">
          <a:extLst>
            <a:ext uri="{FF2B5EF4-FFF2-40B4-BE49-F238E27FC236}">
              <a16:creationId xmlns:a16="http://schemas.microsoft.com/office/drawing/2014/main" id="{50FBED66-F143-41C7-9410-890E5EA324B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69" name="Text Box 1">
          <a:extLst>
            <a:ext uri="{FF2B5EF4-FFF2-40B4-BE49-F238E27FC236}">
              <a16:creationId xmlns:a16="http://schemas.microsoft.com/office/drawing/2014/main" id="{E78CD03F-B6A5-469F-8C52-2142DD90CA4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70" name="Text Box 2">
          <a:extLst>
            <a:ext uri="{FF2B5EF4-FFF2-40B4-BE49-F238E27FC236}">
              <a16:creationId xmlns:a16="http://schemas.microsoft.com/office/drawing/2014/main" id="{967D77F4-9C95-4373-9DAE-147878EDE36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75" name="Text Box 1">
          <a:extLst>
            <a:ext uri="{FF2B5EF4-FFF2-40B4-BE49-F238E27FC236}">
              <a16:creationId xmlns:a16="http://schemas.microsoft.com/office/drawing/2014/main" id="{0FC5BF51-4929-43FF-80A4-DA821E23607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76" name="Text Box 2">
          <a:extLst>
            <a:ext uri="{FF2B5EF4-FFF2-40B4-BE49-F238E27FC236}">
              <a16:creationId xmlns:a16="http://schemas.microsoft.com/office/drawing/2014/main" id="{2B9B06DC-7C2F-4B05-9BB1-9A8B314CF35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877" name="Text Box 2">
          <a:extLst>
            <a:ext uri="{FF2B5EF4-FFF2-40B4-BE49-F238E27FC236}">
              <a16:creationId xmlns:a16="http://schemas.microsoft.com/office/drawing/2014/main" id="{EB08137C-BA36-4789-9DA1-B7D11E2C3496}"/>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78" name="Text Box 1">
          <a:extLst>
            <a:ext uri="{FF2B5EF4-FFF2-40B4-BE49-F238E27FC236}">
              <a16:creationId xmlns:a16="http://schemas.microsoft.com/office/drawing/2014/main" id="{217B37A0-5FFB-47A4-B68A-40DAF8C6231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79" name="Text Box 2">
          <a:extLst>
            <a:ext uri="{FF2B5EF4-FFF2-40B4-BE49-F238E27FC236}">
              <a16:creationId xmlns:a16="http://schemas.microsoft.com/office/drawing/2014/main" id="{B41B66EB-0DF9-46F8-A5E9-C17392B9C1D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80" name="Text Box 1">
          <a:extLst>
            <a:ext uri="{FF2B5EF4-FFF2-40B4-BE49-F238E27FC236}">
              <a16:creationId xmlns:a16="http://schemas.microsoft.com/office/drawing/2014/main" id="{D7F49AAA-0488-4C9F-8B8C-835CB050DFB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81" name="Text Box 2">
          <a:extLst>
            <a:ext uri="{FF2B5EF4-FFF2-40B4-BE49-F238E27FC236}">
              <a16:creationId xmlns:a16="http://schemas.microsoft.com/office/drawing/2014/main" id="{7E17D1D7-BB2F-463B-8319-5A1BD95F1D8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84" name="Text Box 1">
          <a:extLst>
            <a:ext uri="{FF2B5EF4-FFF2-40B4-BE49-F238E27FC236}">
              <a16:creationId xmlns:a16="http://schemas.microsoft.com/office/drawing/2014/main" id="{2A5B5BAA-4FF3-4369-8BDA-D7D3AE4B47D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85" name="Text Box 2">
          <a:extLst>
            <a:ext uri="{FF2B5EF4-FFF2-40B4-BE49-F238E27FC236}">
              <a16:creationId xmlns:a16="http://schemas.microsoft.com/office/drawing/2014/main" id="{EB627926-D5A9-4959-B07A-AA487FB880F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886" name="Text Box 2">
          <a:extLst>
            <a:ext uri="{FF2B5EF4-FFF2-40B4-BE49-F238E27FC236}">
              <a16:creationId xmlns:a16="http://schemas.microsoft.com/office/drawing/2014/main" id="{ED70BE19-A50A-4862-ABB8-21319E512C1E}"/>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87" name="Text Box 1">
          <a:extLst>
            <a:ext uri="{FF2B5EF4-FFF2-40B4-BE49-F238E27FC236}">
              <a16:creationId xmlns:a16="http://schemas.microsoft.com/office/drawing/2014/main" id="{2D0A924B-0827-4EB1-BFAA-1E7B8F53072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88" name="Text Box 2">
          <a:extLst>
            <a:ext uri="{FF2B5EF4-FFF2-40B4-BE49-F238E27FC236}">
              <a16:creationId xmlns:a16="http://schemas.microsoft.com/office/drawing/2014/main" id="{AEAE60BD-18E2-4F02-A731-6532E785D3F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889" name="Text Box 2">
          <a:extLst>
            <a:ext uri="{FF2B5EF4-FFF2-40B4-BE49-F238E27FC236}">
              <a16:creationId xmlns:a16="http://schemas.microsoft.com/office/drawing/2014/main" id="{510A3C51-59F7-4C1C-9FEC-79F22D29E487}"/>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90" name="Text Box 1">
          <a:extLst>
            <a:ext uri="{FF2B5EF4-FFF2-40B4-BE49-F238E27FC236}">
              <a16:creationId xmlns:a16="http://schemas.microsoft.com/office/drawing/2014/main" id="{B819A732-5CDB-4F25-BE53-D45A66ED70D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91" name="Text Box 2">
          <a:extLst>
            <a:ext uri="{FF2B5EF4-FFF2-40B4-BE49-F238E27FC236}">
              <a16:creationId xmlns:a16="http://schemas.microsoft.com/office/drawing/2014/main" id="{808EBD8E-0B0A-43F0-863B-4340B49B0D1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892" name="Text Box 2">
          <a:extLst>
            <a:ext uri="{FF2B5EF4-FFF2-40B4-BE49-F238E27FC236}">
              <a16:creationId xmlns:a16="http://schemas.microsoft.com/office/drawing/2014/main" id="{E3C2DE91-8AB5-4B1C-A7A5-B10DFD88B481}"/>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93" name="Text Box 1">
          <a:extLst>
            <a:ext uri="{FF2B5EF4-FFF2-40B4-BE49-F238E27FC236}">
              <a16:creationId xmlns:a16="http://schemas.microsoft.com/office/drawing/2014/main" id="{838EA4ED-87DF-41C6-B797-A3D16C6DB01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94" name="Text Box 2">
          <a:extLst>
            <a:ext uri="{FF2B5EF4-FFF2-40B4-BE49-F238E27FC236}">
              <a16:creationId xmlns:a16="http://schemas.microsoft.com/office/drawing/2014/main" id="{72C1CA41-9199-42CF-BD3C-D6CD9901AD4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895" name="Text Box 2">
          <a:extLst>
            <a:ext uri="{FF2B5EF4-FFF2-40B4-BE49-F238E27FC236}">
              <a16:creationId xmlns:a16="http://schemas.microsoft.com/office/drawing/2014/main" id="{3FFC5A8B-0150-4E2A-B333-5959E361244A}"/>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96" name="Text Box 1">
          <a:extLst>
            <a:ext uri="{FF2B5EF4-FFF2-40B4-BE49-F238E27FC236}">
              <a16:creationId xmlns:a16="http://schemas.microsoft.com/office/drawing/2014/main" id="{6D0F3F30-EEE7-4FC6-9D12-1B68D692C91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97" name="Text Box 2">
          <a:extLst>
            <a:ext uri="{FF2B5EF4-FFF2-40B4-BE49-F238E27FC236}">
              <a16:creationId xmlns:a16="http://schemas.microsoft.com/office/drawing/2014/main" id="{016B7E0D-7CCB-481D-B10E-340CF97F043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898" name="Text Box 2">
          <a:extLst>
            <a:ext uri="{FF2B5EF4-FFF2-40B4-BE49-F238E27FC236}">
              <a16:creationId xmlns:a16="http://schemas.microsoft.com/office/drawing/2014/main" id="{B4D6C617-E962-43D6-9CC8-8735F9752B09}"/>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99" name="Text Box 1">
          <a:extLst>
            <a:ext uri="{FF2B5EF4-FFF2-40B4-BE49-F238E27FC236}">
              <a16:creationId xmlns:a16="http://schemas.microsoft.com/office/drawing/2014/main" id="{A1396E69-5206-41FA-AB37-DA45637F6D5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00" name="Text Box 2">
          <a:extLst>
            <a:ext uri="{FF2B5EF4-FFF2-40B4-BE49-F238E27FC236}">
              <a16:creationId xmlns:a16="http://schemas.microsoft.com/office/drawing/2014/main" id="{496A9BF8-04D3-4BBF-8676-4850BFBA94A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901" name="Text Box 2">
          <a:extLst>
            <a:ext uri="{FF2B5EF4-FFF2-40B4-BE49-F238E27FC236}">
              <a16:creationId xmlns:a16="http://schemas.microsoft.com/office/drawing/2014/main" id="{4AE1725D-48CD-4B12-9648-3082706302E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02" name="Text Box 1">
          <a:extLst>
            <a:ext uri="{FF2B5EF4-FFF2-40B4-BE49-F238E27FC236}">
              <a16:creationId xmlns:a16="http://schemas.microsoft.com/office/drawing/2014/main" id="{E6CB94E0-9A6A-4580-971F-F83465819B8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03" name="Text Box 2">
          <a:extLst>
            <a:ext uri="{FF2B5EF4-FFF2-40B4-BE49-F238E27FC236}">
              <a16:creationId xmlns:a16="http://schemas.microsoft.com/office/drawing/2014/main" id="{0BAAFE65-EAC9-49B7-A420-BB717E24098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04" name="Text Box 1">
          <a:extLst>
            <a:ext uri="{FF2B5EF4-FFF2-40B4-BE49-F238E27FC236}">
              <a16:creationId xmlns:a16="http://schemas.microsoft.com/office/drawing/2014/main" id="{3B1CBB49-2E44-4E5F-BE71-657A2459AC8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05" name="Text Box 2">
          <a:extLst>
            <a:ext uri="{FF2B5EF4-FFF2-40B4-BE49-F238E27FC236}">
              <a16:creationId xmlns:a16="http://schemas.microsoft.com/office/drawing/2014/main" id="{516A0AD6-C6F0-43A5-8710-CB76B065D65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06" name="Text Box 1">
          <a:extLst>
            <a:ext uri="{FF2B5EF4-FFF2-40B4-BE49-F238E27FC236}">
              <a16:creationId xmlns:a16="http://schemas.microsoft.com/office/drawing/2014/main" id="{5FD6B60B-7DAE-47E7-B154-DD623C41225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07" name="Text Box 2">
          <a:extLst>
            <a:ext uri="{FF2B5EF4-FFF2-40B4-BE49-F238E27FC236}">
              <a16:creationId xmlns:a16="http://schemas.microsoft.com/office/drawing/2014/main" id="{5A63EE3C-5006-4A77-A37B-42CA277C1B7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10" name="Text Box 1">
          <a:extLst>
            <a:ext uri="{FF2B5EF4-FFF2-40B4-BE49-F238E27FC236}">
              <a16:creationId xmlns:a16="http://schemas.microsoft.com/office/drawing/2014/main" id="{261968B4-33E3-437A-9161-43BB6056881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11" name="Text Box 2">
          <a:extLst>
            <a:ext uri="{FF2B5EF4-FFF2-40B4-BE49-F238E27FC236}">
              <a16:creationId xmlns:a16="http://schemas.microsoft.com/office/drawing/2014/main" id="{F552028A-51C5-4CA0-8A55-309CBC5AD68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14" name="Text Box 2">
          <a:extLst>
            <a:ext uri="{FF2B5EF4-FFF2-40B4-BE49-F238E27FC236}">
              <a16:creationId xmlns:a16="http://schemas.microsoft.com/office/drawing/2014/main" id="{B5161997-1ACE-4518-92FF-2C999211A72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15" name="Text Box 1">
          <a:extLst>
            <a:ext uri="{FF2B5EF4-FFF2-40B4-BE49-F238E27FC236}">
              <a16:creationId xmlns:a16="http://schemas.microsoft.com/office/drawing/2014/main" id="{52EE3DF3-7132-46F4-853F-03C653A1092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16" name="Text Box 2">
          <a:extLst>
            <a:ext uri="{FF2B5EF4-FFF2-40B4-BE49-F238E27FC236}">
              <a16:creationId xmlns:a16="http://schemas.microsoft.com/office/drawing/2014/main" id="{C80B18F1-3703-445D-B2AE-55E581550C0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19" name="Text Box 1">
          <a:extLst>
            <a:ext uri="{FF2B5EF4-FFF2-40B4-BE49-F238E27FC236}">
              <a16:creationId xmlns:a16="http://schemas.microsoft.com/office/drawing/2014/main" id="{3671E263-7449-4E08-AA50-FCF2A10FB7A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20" name="Text Box 2">
          <a:extLst>
            <a:ext uri="{FF2B5EF4-FFF2-40B4-BE49-F238E27FC236}">
              <a16:creationId xmlns:a16="http://schemas.microsoft.com/office/drawing/2014/main" id="{E458D086-CA63-4A2E-A136-8D830CBC416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21" name="Text Box 2">
          <a:extLst>
            <a:ext uri="{FF2B5EF4-FFF2-40B4-BE49-F238E27FC236}">
              <a16:creationId xmlns:a16="http://schemas.microsoft.com/office/drawing/2014/main" id="{872F3FB0-FFDD-4587-81A3-5280D01759F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Chủ đề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80"/>
  <sheetViews>
    <sheetView showZeros="0" zoomScale="70" zoomScaleNormal="70" workbookViewId="0">
      <selection activeCell="AV23" sqref="AV23"/>
    </sheetView>
  </sheetViews>
  <sheetFormatPr defaultColWidth="9" defaultRowHeight="15.4" outlineLevelRow="1"/>
  <cols>
    <col min="1" max="1" width="6" style="468" customWidth="1"/>
    <col min="2" max="2" width="52.86328125" style="469" customWidth="1"/>
    <col min="3" max="3" width="18.59765625" style="469" customWidth="1"/>
    <col min="4" max="4" width="17.73046875" style="469" customWidth="1"/>
    <col min="5" max="5" width="8.1328125" style="468" customWidth="1"/>
    <col min="6" max="6" width="12.1328125" style="468" hidden="1" customWidth="1"/>
    <col min="7" max="7" width="12.86328125" style="469" hidden="1" customWidth="1"/>
    <col min="8" max="8" width="12.86328125" style="469" customWidth="1"/>
    <col min="9" max="9" width="10.73046875" style="470" customWidth="1"/>
    <col min="10" max="10" width="11.1328125" style="470" hidden="1" customWidth="1"/>
    <col min="11" max="11" width="11.59765625" style="469" hidden="1" customWidth="1"/>
    <col min="12" max="12" width="15.265625" style="469" customWidth="1"/>
    <col min="13" max="13" width="13.86328125" style="469" customWidth="1"/>
    <col min="14" max="14" width="11.59765625" style="469" hidden="1" customWidth="1"/>
    <col min="15" max="15" width="14.3984375" style="469" hidden="1" customWidth="1"/>
    <col min="16" max="16" width="13.265625" style="469" customWidth="1"/>
    <col min="17" max="17" width="12.265625" style="470" hidden="1" customWidth="1"/>
    <col min="18" max="18" width="15.86328125" style="469" hidden="1" customWidth="1"/>
    <col min="19" max="19" width="21.3984375" style="470" hidden="1" customWidth="1"/>
    <col min="20" max="20" width="22.73046875" style="471" hidden="1" customWidth="1"/>
    <col min="21" max="21" width="12.265625" style="471" customWidth="1"/>
    <col min="22" max="23" width="12.265625" style="471" hidden="1" customWidth="1"/>
    <col min="24" max="24" width="12.265625" style="471" customWidth="1"/>
    <col min="25" max="25" width="12.86328125" style="471" customWidth="1"/>
    <col min="26" max="26" width="11.59765625" style="471" hidden="1" customWidth="1"/>
    <col min="27" max="27" width="10.59765625" style="471" hidden="1" customWidth="1"/>
    <col min="28" max="28" width="13" style="471" hidden="1" customWidth="1"/>
    <col min="29" max="29" width="13.59765625" style="471" customWidth="1"/>
    <col min="30" max="31" width="12.3984375" style="471" customWidth="1"/>
    <col min="32" max="32" width="13" style="471" hidden="1" customWidth="1"/>
    <col min="33" max="33" width="12" style="471" hidden="1" customWidth="1"/>
    <col min="34" max="34" width="14" style="471" hidden="1" customWidth="1"/>
    <col min="35" max="35" width="14.1328125" style="471" hidden="1" customWidth="1"/>
    <col min="36" max="36" width="12.73046875" style="471" hidden="1" customWidth="1"/>
    <col min="37" max="38" width="11.1328125" style="471" hidden="1" customWidth="1"/>
    <col min="39" max="39" width="14.1328125" style="471" hidden="1" customWidth="1"/>
    <col min="40" max="40" width="12.1328125" style="471" hidden="1" customWidth="1"/>
    <col min="41" max="41" width="12.265625" style="471" hidden="1" customWidth="1"/>
    <col min="42" max="43" width="12.86328125" style="471" hidden="1" customWidth="1"/>
    <col min="44" max="44" width="13.1328125" style="471" hidden="1" customWidth="1"/>
    <col min="45" max="45" width="14" style="471" hidden="1" customWidth="1"/>
    <col min="46" max="46" width="13.86328125" style="471" hidden="1" customWidth="1"/>
    <col min="47" max="47" width="12.3984375" style="471" hidden="1" customWidth="1"/>
    <col min="48" max="48" width="12.1328125" style="471" customWidth="1"/>
    <col min="49" max="49" width="12.3984375" style="471" hidden="1" customWidth="1"/>
    <col min="50" max="50" width="12.86328125" style="471" hidden="1" customWidth="1"/>
    <col min="51" max="51" width="11.73046875" style="471" hidden="1" customWidth="1"/>
    <col min="52" max="52" width="11.73046875" style="471" customWidth="1"/>
    <col min="53" max="54" width="12" style="471" customWidth="1"/>
    <col min="55" max="55" width="13.73046875" style="471" hidden="1" customWidth="1"/>
    <col min="56" max="56" width="9.3984375" style="471" hidden="1" customWidth="1"/>
    <col min="57" max="57" width="9.73046875" style="471" hidden="1" customWidth="1"/>
    <col min="58" max="60" width="12.59765625" style="469" hidden="1" customWidth="1"/>
    <col min="61" max="61" width="13.3984375" style="469" hidden="1" customWidth="1"/>
    <col min="62" max="62" width="12.86328125" style="469" hidden="1" customWidth="1"/>
    <col min="63" max="63" width="11.86328125" style="387" hidden="1" customWidth="1"/>
    <col min="64" max="70" width="11.1328125" style="387" hidden="1" customWidth="1"/>
    <col min="71" max="71" width="11.59765625" style="387" hidden="1" customWidth="1"/>
    <col min="72" max="72" width="14.265625" style="387" hidden="1" customWidth="1"/>
    <col min="73" max="73" width="11.59765625" style="387" hidden="1" customWidth="1"/>
    <col min="74" max="74" width="14.1328125" style="387" hidden="1" customWidth="1"/>
    <col min="75" max="75" width="11.59765625" style="387" hidden="1" customWidth="1"/>
    <col min="76" max="76" width="13.265625" style="473" hidden="1" customWidth="1"/>
    <col min="77" max="77" width="15" style="387" customWidth="1"/>
    <col min="78" max="78" width="12.86328125" style="387" bestFit="1" customWidth="1"/>
    <col min="79" max="79" width="11.73046875" style="387" customWidth="1"/>
    <col min="80" max="88" width="9" style="387"/>
    <col min="89" max="89" width="12.86328125" style="387" bestFit="1" customWidth="1"/>
    <col min="90" max="16384" width="9" style="387"/>
  </cols>
  <sheetData>
    <row r="1" spans="1:89" ht="17.25">
      <c r="A1" s="768" t="s">
        <v>3650</v>
      </c>
      <c r="B1" s="768"/>
      <c r="C1" s="768"/>
      <c r="D1" s="768"/>
      <c r="E1" s="768"/>
      <c r="F1" s="768"/>
      <c r="G1" s="768"/>
      <c r="H1" s="768"/>
      <c r="I1" s="768"/>
      <c r="J1" s="768"/>
      <c r="K1" s="768"/>
      <c r="L1" s="768"/>
      <c r="M1" s="768"/>
      <c r="N1" s="768"/>
      <c r="O1" s="768"/>
      <c r="P1" s="768"/>
      <c r="Q1" s="768"/>
      <c r="R1" s="768"/>
      <c r="S1" s="768"/>
      <c r="T1" s="768"/>
      <c r="U1" s="768"/>
      <c r="V1" s="768"/>
      <c r="W1" s="768"/>
      <c r="X1" s="768"/>
      <c r="Y1" s="768"/>
      <c r="Z1" s="768"/>
      <c r="AA1" s="768"/>
      <c r="AB1" s="768"/>
      <c r="AC1" s="768"/>
      <c r="AD1" s="768"/>
      <c r="AE1" s="768"/>
      <c r="AF1" s="768"/>
      <c r="AG1" s="768"/>
      <c r="AH1" s="768"/>
      <c r="AI1" s="768"/>
      <c r="AJ1" s="768"/>
      <c r="AK1" s="768"/>
      <c r="AL1" s="768"/>
      <c r="AM1" s="768"/>
      <c r="AN1" s="768"/>
      <c r="AO1" s="768"/>
      <c r="AP1" s="768"/>
      <c r="AQ1" s="768"/>
      <c r="AR1" s="768"/>
      <c r="AS1" s="768"/>
      <c r="AT1" s="768"/>
      <c r="AU1" s="768"/>
      <c r="AV1" s="768"/>
      <c r="AW1" s="768"/>
      <c r="AX1" s="768"/>
      <c r="AY1" s="768"/>
      <c r="AZ1" s="768"/>
      <c r="BA1" s="768"/>
      <c r="BB1" s="768"/>
      <c r="BC1" s="768"/>
      <c r="BD1" s="768"/>
      <c r="BE1" s="768"/>
      <c r="BF1" s="768"/>
      <c r="BG1" s="768"/>
      <c r="BH1" s="768"/>
      <c r="BI1" s="768"/>
      <c r="BJ1" s="768"/>
      <c r="BK1" s="768"/>
      <c r="BL1" s="768"/>
      <c r="BM1" s="768"/>
      <c r="BN1" s="768"/>
      <c r="BO1" s="768"/>
      <c r="BP1" s="768"/>
      <c r="BQ1" s="768"/>
      <c r="BR1" s="768"/>
      <c r="BS1" s="768"/>
      <c r="BT1" s="768"/>
      <c r="BU1" s="768"/>
      <c r="BV1" s="768"/>
      <c r="BW1" s="768"/>
      <c r="BX1" s="768"/>
      <c r="BY1" s="768"/>
    </row>
    <row r="2" spans="1:89" ht="19.899999999999999" customHeight="1">
      <c r="A2" s="769" t="s">
        <v>3691</v>
      </c>
      <c r="B2" s="769"/>
      <c r="C2" s="769"/>
      <c r="D2" s="769"/>
      <c r="E2" s="769"/>
      <c r="F2" s="769"/>
      <c r="G2" s="769"/>
      <c r="H2" s="769"/>
      <c r="I2" s="769"/>
      <c r="J2" s="769"/>
      <c r="K2" s="769"/>
      <c r="L2" s="769"/>
      <c r="M2" s="769"/>
      <c r="N2" s="769"/>
      <c r="O2" s="769"/>
      <c r="P2" s="769"/>
      <c r="Q2" s="769"/>
      <c r="R2" s="769"/>
      <c r="S2" s="769"/>
      <c r="T2" s="769"/>
      <c r="U2" s="769"/>
      <c r="V2" s="769"/>
      <c r="W2" s="769"/>
      <c r="X2" s="769"/>
      <c r="Y2" s="769"/>
      <c r="Z2" s="769"/>
      <c r="AA2" s="769"/>
      <c r="AB2" s="769"/>
      <c r="AC2" s="769"/>
      <c r="AD2" s="769"/>
      <c r="AE2" s="769"/>
      <c r="AF2" s="769"/>
      <c r="AG2" s="769"/>
      <c r="AH2" s="769"/>
      <c r="AI2" s="769"/>
      <c r="AJ2" s="769"/>
      <c r="AK2" s="769"/>
      <c r="AL2" s="769"/>
      <c r="AM2" s="769"/>
      <c r="AN2" s="769"/>
      <c r="AO2" s="769"/>
      <c r="AP2" s="769"/>
      <c r="AQ2" s="769"/>
      <c r="AR2" s="769"/>
      <c r="AS2" s="769"/>
      <c r="AT2" s="769"/>
      <c r="AU2" s="769"/>
      <c r="AV2" s="769"/>
      <c r="AW2" s="769"/>
      <c r="AX2" s="769"/>
      <c r="AY2" s="769"/>
      <c r="AZ2" s="769"/>
      <c r="BA2" s="769"/>
      <c r="BB2" s="769"/>
      <c r="BC2" s="769"/>
      <c r="BD2" s="769"/>
      <c r="BE2" s="769"/>
      <c r="BF2" s="769"/>
      <c r="BG2" s="769"/>
      <c r="BH2" s="769"/>
      <c r="BI2" s="769"/>
      <c r="BJ2" s="769"/>
      <c r="BK2" s="769"/>
      <c r="BL2" s="769"/>
      <c r="BM2" s="769"/>
      <c r="BN2" s="769"/>
      <c r="BO2" s="769"/>
      <c r="BP2" s="769"/>
      <c r="BQ2" s="769"/>
      <c r="BR2" s="769"/>
      <c r="BS2" s="769"/>
      <c r="BT2" s="769"/>
      <c r="BU2" s="769"/>
      <c r="BV2" s="769"/>
      <c r="BW2" s="769"/>
      <c r="BX2" s="769"/>
      <c r="BY2" s="769"/>
    </row>
    <row r="3" spans="1:89" ht="6" customHeight="1">
      <c r="A3" s="769"/>
      <c r="B3" s="769"/>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69"/>
      <c r="AZ3" s="769"/>
      <c r="BA3" s="769"/>
      <c r="BB3" s="769"/>
      <c r="BC3" s="769"/>
      <c r="BD3" s="769"/>
      <c r="BE3" s="769"/>
      <c r="BF3" s="769"/>
      <c r="BG3" s="769"/>
      <c r="BH3" s="769"/>
      <c r="BI3" s="769"/>
      <c r="BJ3" s="769"/>
      <c r="BK3" s="769"/>
      <c r="BL3" s="769"/>
      <c r="BM3" s="769"/>
      <c r="BN3" s="769"/>
      <c r="BO3" s="769"/>
      <c r="BP3" s="769"/>
      <c r="BQ3" s="769"/>
      <c r="BR3" s="769"/>
      <c r="BS3" s="769"/>
      <c r="BT3" s="769"/>
      <c r="BU3" s="769"/>
      <c r="BV3" s="769"/>
      <c r="BW3" s="769"/>
      <c r="BX3" s="769"/>
      <c r="BY3" s="769"/>
    </row>
    <row r="4" spans="1:89" ht="20.25" customHeight="1">
      <c r="A4" s="769" t="s">
        <v>1223</v>
      </c>
      <c r="B4" s="769"/>
      <c r="C4" s="769"/>
      <c r="D4" s="769"/>
      <c r="E4" s="769"/>
      <c r="F4" s="769"/>
      <c r="G4" s="769"/>
      <c r="H4" s="769"/>
      <c r="I4" s="769"/>
      <c r="J4" s="769"/>
      <c r="K4" s="769"/>
      <c r="L4" s="769"/>
      <c r="M4" s="769"/>
      <c r="N4" s="769"/>
      <c r="O4" s="769"/>
      <c r="P4" s="769"/>
      <c r="Q4" s="769"/>
      <c r="R4" s="769"/>
      <c r="S4" s="769"/>
      <c r="T4" s="769"/>
      <c r="U4" s="769"/>
      <c r="V4" s="769"/>
      <c r="W4" s="769"/>
      <c r="X4" s="769"/>
      <c r="Y4" s="769"/>
      <c r="Z4" s="769"/>
      <c r="AA4" s="769"/>
      <c r="AB4" s="769"/>
      <c r="AC4" s="769"/>
      <c r="AD4" s="769"/>
      <c r="AE4" s="769"/>
      <c r="AF4" s="769"/>
      <c r="AG4" s="769"/>
      <c r="AH4" s="769"/>
      <c r="AI4" s="769"/>
      <c r="AJ4" s="769"/>
      <c r="AK4" s="769"/>
      <c r="AL4" s="769"/>
      <c r="AM4" s="769"/>
      <c r="AN4" s="769"/>
      <c r="AO4" s="769"/>
      <c r="AP4" s="769"/>
      <c r="AQ4" s="769"/>
      <c r="AR4" s="769"/>
      <c r="AS4" s="769"/>
      <c r="AT4" s="769"/>
      <c r="AU4" s="769"/>
      <c r="AV4" s="769"/>
      <c r="AW4" s="769"/>
      <c r="AX4" s="769"/>
      <c r="AY4" s="769"/>
      <c r="AZ4" s="769"/>
      <c r="BA4" s="769"/>
      <c r="BB4" s="769"/>
      <c r="BC4" s="769"/>
      <c r="BD4" s="769"/>
      <c r="BE4" s="769"/>
      <c r="BF4" s="769"/>
      <c r="BG4" s="769"/>
      <c r="BH4" s="769"/>
      <c r="BI4" s="769"/>
      <c r="BJ4" s="769"/>
      <c r="BK4" s="769"/>
      <c r="BL4" s="769"/>
      <c r="BM4" s="769"/>
      <c r="BN4" s="769"/>
      <c r="BO4" s="769"/>
      <c r="BP4" s="769"/>
      <c r="BQ4" s="769"/>
      <c r="BR4" s="769"/>
      <c r="BS4" s="769"/>
      <c r="BT4" s="769"/>
      <c r="BU4" s="769"/>
      <c r="BV4" s="769"/>
      <c r="BW4" s="769"/>
      <c r="BX4" s="769"/>
      <c r="BY4" s="769"/>
    </row>
    <row r="5" spans="1:89" s="388" customFormat="1" ht="26.25" customHeight="1">
      <c r="A5" s="770" t="s">
        <v>3693</v>
      </c>
      <c r="B5" s="770"/>
      <c r="C5" s="770"/>
      <c r="D5" s="770"/>
      <c r="E5" s="770"/>
      <c r="F5" s="770"/>
      <c r="G5" s="770"/>
      <c r="H5" s="770"/>
      <c r="I5" s="770"/>
      <c r="J5" s="770"/>
      <c r="K5" s="770"/>
      <c r="L5" s="770"/>
      <c r="M5" s="770"/>
      <c r="N5" s="770"/>
      <c r="O5" s="770"/>
      <c r="P5" s="770"/>
      <c r="Q5" s="770"/>
      <c r="R5" s="770"/>
      <c r="S5" s="770"/>
      <c r="T5" s="770"/>
      <c r="U5" s="770"/>
      <c r="V5" s="770"/>
      <c r="W5" s="770"/>
      <c r="X5" s="770"/>
      <c r="Y5" s="770"/>
      <c r="Z5" s="770"/>
      <c r="AA5" s="770"/>
      <c r="AB5" s="770"/>
      <c r="AC5" s="770"/>
      <c r="AD5" s="770"/>
      <c r="AE5" s="770"/>
      <c r="AF5" s="770"/>
      <c r="AG5" s="770"/>
      <c r="AH5" s="770"/>
      <c r="AI5" s="770"/>
      <c r="AJ5" s="770"/>
      <c r="AK5" s="770"/>
      <c r="AL5" s="770"/>
      <c r="AM5" s="770"/>
      <c r="AN5" s="770"/>
      <c r="AO5" s="770"/>
      <c r="AP5" s="770"/>
      <c r="AQ5" s="770"/>
      <c r="AR5" s="770"/>
      <c r="AS5" s="770"/>
      <c r="AT5" s="770"/>
      <c r="AU5" s="770"/>
      <c r="AV5" s="770"/>
      <c r="AW5" s="770"/>
      <c r="AX5" s="770"/>
      <c r="AY5" s="770"/>
      <c r="AZ5" s="770"/>
      <c r="BA5" s="770"/>
      <c r="BB5" s="770"/>
      <c r="BC5" s="770"/>
      <c r="BD5" s="770"/>
      <c r="BE5" s="770"/>
      <c r="BF5" s="770"/>
      <c r="BG5" s="770"/>
      <c r="BH5" s="770"/>
      <c r="BI5" s="770"/>
      <c r="BJ5" s="770"/>
      <c r="BK5" s="770"/>
      <c r="BL5" s="770"/>
      <c r="BM5" s="770"/>
      <c r="BN5" s="770"/>
      <c r="BO5" s="770"/>
      <c r="BP5" s="770"/>
      <c r="BQ5" s="770"/>
      <c r="BR5" s="770"/>
      <c r="BS5" s="770"/>
      <c r="BT5" s="770"/>
      <c r="BU5" s="770"/>
      <c r="BV5" s="770"/>
      <c r="BW5" s="770"/>
      <c r="BX5" s="770"/>
      <c r="BY5" s="770"/>
      <c r="BZ5" s="387"/>
      <c r="CA5" s="387"/>
      <c r="CB5" s="387"/>
      <c r="CC5" s="387"/>
    </row>
    <row r="6" spans="1:89" ht="17.649999999999999">
      <c r="A6" s="389"/>
      <c r="B6" s="390"/>
      <c r="C6" s="390"/>
      <c r="D6" s="390"/>
      <c r="E6" s="389"/>
      <c r="F6" s="389"/>
      <c r="G6" s="390"/>
      <c r="H6" s="390"/>
      <c r="I6" s="391"/>
      <c r="J6" s="391"/>
      <c r="K6" s="390"/>
      <c r="L6" s="392"/>
      <c r="M6" s="392"/>
      <c r="N6" s="392"/>
      <c r="O6" s="392"/>
      <c r="P6" s="392"/>
      <c r="Q6" s="392"/>
      <c r="R6" s="392"/>
      <c r="S6" s="392"/>
      <c r="T6" s="392"/>
      <c r="U6" s="392"/>
      <c r="V6" s="392"/>
      <c r="W6" s="392"/>
      <c r="X6" s="392"/>
      <c r="Y6" s="392"/>
      <c r="Z6" s="392"/>
      <c r="AA6" s="392"/>
      <c r="AB6" s="392"/>
      <c r="AC6" s="392"/>
      <c r="AD6" s="392"/>
      <c r="AE6" s="392"/>
      <c r="AF6" s="392"/>
      <c r="AG6" s="392"/>
      <c r="AH6" s="392"/>
      <c r="AI6" s="392"/>
      <c r="AJ6" s="392"/>
      <c r="AK6" s="392"/>
      <c r="AL6" s="392"/>
      <c r="AM6" s="392"/>
      <c r="AN6" s="392"/>
      <c r="AO6" s="392"/>
      <c r="AP6" s="392"/>
      <c r="AQ6" s="392"/>
      <c r="AR6" s="392"/>
      <c r="AS6" s="392"/>
      <c r="AT6" s="392"/>
      <c r="AU6" s="392"/>
      <c r="AV6" s="392"/>
      <c r="AW6" s="392"/>
      <c r="AX6" s="392"/>
      <c r="AY6" s="392"/>
      <c r="AZ6" s="392"/>
      <c r="BA6" s="796" t="s">
        <v>1224</v>
      </c>
      <c r="BB6" s="796"/>
      <c r="BC6" s="796"/>
      <c r="BD6" s="796"/>
      <c r="BE6" s="796"/>
      <c r="BF6" s="796"/>
      <c r="BG6" s="796"/>
      <c r="BH6" s="796"/>
      <c r="BI6" s="796"/>
      <c r="BJ6" s="796"/>
      <c r="BK6" s="796"/>
      <c r="BL6" s="796"/>
      <c r="BM6" s="796"/>
      <c r="BN6" s="796"/>
      <c r="BO6" s="796"/>
      <c r="BP6" s="796"/>
      <c r="BQ6" s="796"/>
      <c r="BR6" s="796"/>
      <c r="BS6" s="796"/>
      <c r="BT6" s="796"/>
      <c r="BU6" s="796"/>
      <c r="BV6" s="796"/>
      <c r="BW6" s="796"/>
      <c r="BX6" s="796"/>
      <c r="BY6" s="796"/>
      <c r="BZ6" s="388"/>
      <c r="CA6" s="388"/>
      <c r="CB6" s="388"/>
      <c r="CC6" s="388"/>
      <c r="CD6" s="388"/>
      <c r="CE6" s="388"/>
      <c r="CF6" s="388"/>
      <c r="CG6" s="388"/>
      <c r="CH6" s="388"/>
    </row>
    <row r="7" spans="1:89" s="400" customFormat="1" ht="22.5" customHeight="1">
      <c r="A7" s="771" t="s">
        <v>16</v>
      </c>
      <c r="B7" s="771" t="s">
        <v>301</v>
      </c>
      <c r="C7" s="771" t="s">
        <v>17</v>
      </c>
      <c r="D7" s="772" t="s">
        <v>3673</v>
      </c>
      <c r="E7" s="772" t="s">
        <v>18</v>
      </c>
      <c r="F7" s="772" t="s">
        <v>19</v>
      </c>
      <c r="G7" s="771" t="s">
        <v>20</v>
      </c>
      <c r="H7" s="771" t="s">
        <v>1225</v>
      </c>
      <c r="I7" s="772" t="s">
        <v>23</v>
      </c>
      <c r="J7" s="772" t="s">
        <v>24</v>
      </c>
      <c r="K7" s="775" t="s">
        <v>1904</v>
      </c>
      <c r="L7" s="776"/>
      <c r="M7" s="776"/>
      <c r="N7" s="776"/>
      <c r="O7" s="776"/>
      <c r="P7" s="777"/>
      <c r="Q7" s="772" t="s">
        <v>25</v>
      </c>
      <c r="R7" s="771" t="s">
        <v>1226</v>
      </c>
      <c r="S7" s="771" t="s">
        <v>22</v>
      </c>
      <c r="T7" s="772" t="s">
        <v>876</v>
      </c>
      <c r="U7" s="775" t="s">
        <v>26</v>
      </c>
      <c r="V7" s="776"/>
      <c r="W7" s="776"/>
      <c r="X7" s="777"/>
      <c r="Y7" s="775" t="s">
        <v>27</v>
      </c>
      <c r="Z7" s="776"/>
      <c r="AA7" s="776"/>
      <c r="AB7" s="776"/>
      <c r="AC7" s="776"/>
      <c r="AD7" s="776"/>
      <c r="AE7" s="777"/>
      <c r="AF7" s="775" t="s">
        <v>1905</v>
      </c>
      <c r="AG7" s="776"/>
      <c r="AH7" s="776"/>
      <c r="AI7" s="776"/>
      <c r="AJ7" s="776"/>
      <c r="AK7" s="776"/>
      <c r="AL7" s="777"/>
      <c r="AM7" s="397"/>
      <c r="AN7" s="397"/>
      <c r="AO7" s="397"/>
      <c r="AP7" s="397"/>
      <c r="AQ7" s="397"/>
      <c r="AR7" s="397"/>
      <c r="AS7" s="397"/>
      <c r="AT7" s="397"/>
      <c r="AU7" s="397"/>
      <c r="AV7" s="775" t="s">
        <v>6</v>
      </c>
      <c r="AW7" s="776"/>
      <c r="AX7" s="776"/>
      <c r="AY7" s="776"/>
      <c r="AZ7" s="776"/>
      <c r="BA7" s="776"/>
      <c r="BB7" s="777"/>
      <c r="BC7" s="397"/>
      <c r="BD7" s="397"/>
      <c r="BE7" s="397"/>
      <c r="BF7" s="397"/>
      <c r="BG7" s="397"/>
      <c r="BH7" s="397"/>
      <c r="BI7" s="397"/>
      <c r="BJ7" s="397"/>
      <c r="BK7" s="397"/>
      <c r="BL7" s="791" t="s">
        <v>28</v>
      </c>
      <c r="BM7" s="792"/>
      <c r="BN7" s="792"/>
      <c r="BO7" s="792"/>
      <c r="BP7" s="792"/>
      <c r="BQ7" s="792"/>
      <c r="BR7" s="792"/>
      <c r="BS7" s="792"/>
      <c r="BT7" s="775" t="s">
        <v>318</v>
      </c>
      <c r="BU7" s="776"/>
      <c r="BV7" s="776"/>
      <c r="BW7" s="777"/>
      <c r="BX7" s="797" t="s">
        <v>3662</v>
      </c>
      <c r="BY7" s="771" t="s">
        <v>0</v>
      </c>
      <c r="BZ7" s="387"/>
      <c r="CA7" s="387"/>
      <c r="CB7" s="387"/>
      <c r="CC7" s="387"/>
    </row>
    <row r="8" spans="1:89" s="400" customFormat="1" ht="21" customHeight="1">
      <c r="A8" s="771"/>
      <c r="B8" s="771"/>
      <c r="C8" s="771"/>
      <c r="D8" s="773"/>
      <c r="E8" s="773"/>
      <c r="F8" s="773"/>
      <c r="G8" s="771"/>
      <c r="H8" s="771"/>
      <c r="I8" s="773"/>
      <c r="J8" s="773"/>
      <c r="K8" s="788"/>
      <c r="L8" s="789"/>
      <c r="M8" s="789"/>
      <c r="N8" s="789"/>
      <c r="O8" s="789"/>
      <c r="P8" s="790"/>
      <c r="Q8" s="773"/>
      <c r="R8" s="771"/>
      <c r="S8" s="771"/>
      <c r="T8" s="773"/>
      <c r="U8" s="788"/>
      <c r="V8" s="789"/>
      <c r="W8" s="789"/>
      <c r="X8" s="790"/>
      <c r="Y8" s="778"/>
      <c r="Z8" s="779"/>
      <c r="AA8" s="779"/>
      <c r="AB8" s="779"/>
      <c r="AC8" s="779"/>
      <c r="AD8" s="779"/>
      <c r="AE8" s="780"/>
      <c r="AF8" s="788"/>
      <c r="AG8" s="789"/>
      <c r="AH8" s="789"/>
      <c r="AI8" s="789"/>
      <c r="AJ8" s="789"/>
      <c r="AK8" s="789"/>
      <c r="AL8" s="790"/>
      <c r="AM8" s="405" t="s">
        <v>66</v>
      </c>
      <c r="AN8" s="406"/>
      <c r="AO8" s="406"/>
      <c r="AP8" s="406"/>
      <c r="AQ8" s="406"/>
      <c r="AR8" s="406"/>
      <c r="AS8" s="406"/>
      <c r="AT8" s="406"/>
      <c r="AU8" s="406"/>
      <c r="AV8" s="788"/>
      <c r="AW8" s="789"/>
      <c r="AX8" s="789"/>
      <c r="AY8" s="789"/>
      <c r="AZ8" s="789"/>
      <c r="BA8" s="789"/>
      <c r="BB8" s="790"/>
      <c r="BC8" s="405" t="s">
        <v>89</v>
      </c>
      <c r="BD8" s="406"/>
      <c r="BE8" s="406"/>
      <c r="BF8" s="406"/>
      <c r="BG8" s="406"/>
      <c r="BH8" s="406"/>
      <c r="BI8" s="406"/>
      <c r="BJ8" s="406"/>
      <c r="BK8" s="406"/>
      <c r="BL8" s="775" t="s">
        <v>30</v>
      </c>
      <c r="BM8" s="776"/>
      <c r="BN8" s="776"/>
      <c r="BO8" s="777"/>
      <c r="BP8" s="791" t="s">
        <v>89</v>
      </c>
      <c r="BQ8" s="792"/>
      <c r="BR8" s="792"/>
      <c r="BS8" s="792"/>
      <c r="BT8" s="788"/>
      <c r="BU8" s="789"/>
      <c r="BV8" s="789"/>
      <c r="BW8" s="790"/>
      <c r="BX8" s="798"/>
      <c r="BY8" s="771"/>
      <c r="BZ8" s="387"/>
      <c r="CA8" s="387"/>
      <c r="CB8" s="387"/>
      <c r="CC8" s="387"/>
    </row>
    <row r="9" spans="1:89" s="400" customFormat="1" ht="30" customHeight="1">
      <c r="A9" s="771"/>
      <c r="B9" s="771"/>
      <c r="C9" s="771"/>
      <c r="D9" s="773"/>
      <c r="E9" s="773"/>
      <c r="F9" s="773"/>
      <c r="G9" s="771"/>
      <c r="H9" s="771"/>
      <c r="I9" s="773"/>
      <c r="J9" s="773"/>
      <c r="K9" s="772" t="s">
        <v>31</v>
      </c>
      <c r="L9" s="771" t="s">
        <v>32</v>
      </c>
      <c r="M9" s="771" t="s">
        <v>33</v>
      </c>
      <c r="N9" s="771" t="s">
        <v>1228</v>
      </c>
      <c r="O9" s="771"/>
      <c r="P9" s="771"/>
      <c r="Q9" s="773"/>
      <c r="R9" s="771"/>
      <c r="S9" s="771"/>
      <c r="T9" s="773"/>
      <c r="U9" s="772" t="s">
        <v>2</v>
      </c>
      <c r="V9" s="771" t="s">
        <v>42</v>
      </c>
      <c r="W9" s="771"/>
      <c r="X9" s="771"/>
      <c r="Y9" s="771" t="s">
        <v>2</v>
      </c>
      <c r="Z9" s="771" t="s">
        <v>34</v>
      </c>
      <c r="AA9" s="771" t="s">
        <v>35</v>
      </c>
      <c r="AB9" s="771" t="s">
        <v>41</v>
      </c>
      <c r="AC9" s="784" t="s">
        <v>42</v>
      </c>
      <c r="AD9" s="784"/>
      <c r="AE9" s="785"/>
      <c r="AF9" s="772" t="s">
        <v>2</v>
      </c>
      <c r="AG9" s="771" t="s">
        <v>34</v>
      </c>
      <c r="AH9" s="771" t="s">
        <v>35</v>
      </c>
      <c r="AI9" s="771" t="s">
        <v>41</v>
      </c>
      <c r="AJ9" s="784" t="s">
        <v>42</v>
      </c>
      <c r="AK9" s="784"/>
      <c r="AL9" s="785"/>
      <c r="AM9" s="398"/>
      <c r="AN9" s="399"/>
      <c r="AO9" s="399"/>
      <c r="AP9" s="399"/>
      <c r="AQ9" s="399"/>
      <c r="AR9" s="399"/>
      <c r="AS9" s="399"/>
      <c r="AT9" s="399"/>
      <c r="AU9" s="399"/>
      <c r="AV9" s="771" t="s">
        <v>29</v>
      </c>
      <c r="AW9" s="771" t="s">
        <v>34</v>
      </c>
      <c r="AX9" s="771" t="s">
        <v>35</v>
      </c>
      <c r="AY9" s="772" t="s">
        <v>41</v>
      </c>
      <c r="AZ9" s="793" t="s">
        <v>42</v>
      </c>
      <c r="BA9" s="794"/>
      <c r="BB9" s="795"/>
      <c r="BC9" s="398"/>
      <c r="BD9" s="399"/>
      <c r="BE9" s="399"/>
      <c r="BF9" s="399"/>
      <c r="BG9" s="399"/>
      <c r="BH9" s="399"/>
      <c r="BI9" s="399"/>
      <c r="BJ9" s="399"/>
      <c r="BK9" s="399"/>
      <c r="BL9" s="394"/>
      <c r="BM9" s="395"/>
      <c r="BN9" s="395"/>
      <c r="BO9" s="396"/>
      <c r="BP9" s="398"/>
      <c r="BQ9" s="399"/>
      <c r="BR9" s="399"/>
      <c r="BS9" s="399"/>
      <c r="BT9" s="402"/>
      <c r="BU9" s="403"/>
      <c r="BV9" s="403"/>
      <c r="BW9" s="404"/>
      <c r="BX9" s="798"/>
      <c r="BY9" s="771"/>
    </row>
    <row r="10" spans="1:89" s="400" customFormat="1" ht="18.75" customHeight="1">
      <c r="A10" s="771"/>
      <c r="B10" s="771"/>
      <c r="C10" s="771"/>
      <c r="D10" s="773"/>
      <c r="E10" s="773"/>
      <c r="F10" s="773"/>
      <c r="G10" s="771"/>
      <c r="H10" s="771"/>
      <c r="I10" s="773"/>
      <c r="J10" s="773"/>
      <c r="K10" s="773"/>
      <c r="L10" s="771"/>
      <c r="M10" s="771"/>
      <c r="N10" s="771" t="s">
        <v>1229</v>
      </c>
      <c r="O10" s="771" t="s">
        <v>79</v>
      </c>
      <c r="P10" s="771" t="s">
        <v>36</v>
      </c>
      <c r="Q10" s="773"/>
      <c r="R10" s="771"/>
      <c r="S10" s="771"/>
      <c r="T10" s="773"/>
      <c r="U10" s="773"/>
      <c r="V10" s="771" t="s">
        <v>67</v>
      </c>
      <c r="W10" s="771" t="s">
        <v>2104</v>
      </c>
      <c r="X10" s="771" t="s">
        <v>36</v>
      </c>
      <c r="Y10" s="771"/>
      <c r="Z10" s="771"/>
      <c r="AA10" s="771"/>
      <c r="AB10" s="771"/>
      <c r="AC10" s="785" t="s">
        <v>303</v>
      </c>
      <c r="AD10" s="781" t="s">
        <v>304</v>
      </c>
      <c r="AE10" s="781" t="s">
        <v>38</v>
      </c>
      <c r="AF10" s="773"/>
      <c r="AG10" s="771"/>
      <c r="AH10" s="771"/>
      <c r="AI10" s="771"/>
      <c r="AJ10" s="785" t="s">
        <v>303</v>
      </c>
      <c r="AK10" s="781" t="s">
        <v>304</v>
      </c>
      <c r="AL10" s="781" t="s">
        <v>38</v>
      </c>
      <c r="AM10" s="771"/>
      <c r="AN10" s="772" t="s">
        <v>34</v>
      </c>
      <c r="AO10" s="772" t="s">
        <v>35</v>
      </c>
      <c r="AP10" s="772" t="s">
        <v>41</v>
      </c>
      <c r="AQ10" s="793" t="s">
        <v>42</v>
      </c>
      <c r="AR10" s="794"/>
      <c r="AS10" s="794"/>
      <c r="AT10" s="794"/>
      <c r="AU10" s="795"/>
      <c r="AV10" s="771"/>
      <c r="AW10" s="771"/>
      <c r="AX10" s="771"/>
      <c r="AY10" s="773"/>
      <c r="AZ10" s="781" t="s">
        <v>303</v>
      </c>
      <c r="BA10" s="781" t="s">
        <v>304</v>
      </c>
      <c r="BB10" s="781" t="s">
        <v>38</v>
      </c>
      <c r="BC10" s="771"/>
      <c r="BD10" s="772" t="s">
        <v>34</v>
      </c>
      <c r="BE10" s="772" t="s">
        <v>35</v>
      </c>
      <c r="BF10" s="772" t="s">
        <v>41</v>
      </c>
      <c r="BG10" s="793" t="s">
        <v>42</v>
      </c>
      <c r="BH10" s="794"/>
      <c r="BI10" s="794"/>
      <c r="BJ10" s="794"/>
      <c r="BK10" s="795"/>
      <c r="BL10" s="771"/>
      <c r="BM10" s="772" t="s">
        <v>34</v>
      </c>
      <c r="BN10" s="772" t="s">
        <v>35</v>
      </c>
      <c r="BO10" s="772" t="s">
        <v>39</v>
      </c>
      <c r="BP10" s="771"/>
      <c r="BQ10" s="772" t="s">
        <v>34</v>
      </c>
      <c r="BR10" s="772" t="s">
        <v>35</v>
      </c>
      <c r="BS10" s="772" t="s">
        <v>39</v>
      </c>
      <c r="BT10" s="771"/>
      <c r="BU10" s="772" t="s">
        <v>34</v>
      </c>
      <c r="BV10" s="772" t="s">
        <v>35</v>
      </c>
      <c r="BW10" s="772" t="s">
        <v>39</v>
      </c>
      <c r="BX10" s="798"/>
      <c r="BY10" s="771"/>
    </row>
    <row r="11" spans="1:89" s="400" customFormat="1" ht="18.75" customHeight="1">
      <c r="A11" s="771"/>
      <c r="B11" s="771"/>
      <c r="C11" s="771"/>
      <c r="D11" s="773"/>
      <c r="E11" s="773"/>
      <c r="F11" s="773"/>
      <c r="G11" s="771"/>
      <c r="H11" s="771"/>
      <c r="I11" s="773"/>
      <c r="J11" s="773"/>
      <c r="K11" s="773"/>
      <c r="L11" s="771"/>
      <c r="M11" s="771"/>
      <c r="N11" s="771"/>
      <c r="O11" s="771"/>
      <c r="P11" s="771"/>
      <c r="Q11" s="773"/>
      <c r="R11" s="771"/>
      <c r="S11" s="771"/>
      <c r="T11" s="773"/>
      <c r="U11" s="773"/>
      <c r="V11" s="771"/>
      <c r="W11" s="771"/>
      <c r="X11" s="771"/>
      <c r="Y11" s="771"/>
      <c r="Z11" s="771"/>
      <c r="AA11" s="771"/>
      <c r="AB11" s="771"/>
      <c r="AC11" s="786"/>
      <c r="AD11" s="782"/>
      <c r="AE11" s="782"/>
      <c r="AF11" s="773"/>
      <c r="AG11" s="771"/>
      <c r="AH11" s="771"/>
      <c r="AI11" s="771"/>
      <c r="AJ11" s="786"/>
      <c r="AK11" s="782"/>
      <c r="AL11" s="782"/>
      <c r="AM11" s="771"/>
      <c r="AN11" s="773"/>
      <c r="AO11" s="773"/>
      <c r="AP11" s="773"/>
      <c r="AQ11" s="781" t="s">
        <v>303</v>
      </c>
      <c r="AR11" s="793" t="s">
        <v>42</v>
      </c>
      <c r="AS11" s="795"/>
      <c r="AT11" s="803" t="s">
        <v>43</v>
      </c>
      <c r="AU11" s="803" t="s">
        <v>38</v>
      </c>
      <c r="AV11" s="771"/>
      <c r="AW11" s="771"/>
      <c r="AX11" s="771"/>
      <c r="AY11" s="773"/>
      <c r="AZ11" s="782"/>
      <c r="BA11" s="782"/>
      <c r="BB11" s="782"/>
      <c r="BC11" s="771"/>
      <c r="BD11" s="773"/>
      <c r="BE11" s="773"/>
      <c r="BF11" s="773"/>
      <c r="BG11" s="781" t="s">
        <v>303</v>
      </c>
      <c r="BH11" s="793" t="s">
        <v>42</v>
      </c>
      <c r="BI11" s="795"/>
      <c r="BJ11" s="781" t="s">
        <v>43</v>
      </c>
      <c r="BK11" s="781" t="s">
        <v>38</v>
      </c>
      <c r="BL11" s="771"/>
      <c r="BM11" s="773"/>
      <c r="BN11" s="773"/>
      <c r="BO11" s="773"/>
      <c r="BP11" s="771"/>
      <c r="BQ11" s="773"/>
      <c r="BR11" s="773"/>
      <c r="BS11" s="773"/>
      <c r="BT11" s="771"/>
      <c r="BU11" s="773"/>
      <c r="BV11" s="773"/>
      <c r="BW11" s="773"/>
      <c r="BX11" s="798"/>
      <c r="BY11" s="771"/>
    </row>
    <row r="12" spans="1:89" s="400" customFormat="1" ht="55.5" customHeight="1">
      <c r="A12" s="771"/>
      <c r="B12" s="771"/>
      <c r="C12" s="771"/>
      <c r="D12" s="774"/>
      <c r="E12" s="774"/>
      <c r="F12" s="774"/>
      <c r="G12" s="771"/>
      <c r="H12" s="771"/>
      <c r="I12" s="774"/>
      <c r="J12" s="774"/>
      <c r="K12" s="774"/>
      <c r="L12" s="771"/>
      <c r="M12" s="771"/>
      <c r="N12" s="771"/>
      <c r="O12" s="771"/>
      <c r="P12" s="771"/>
      <c r="Q12" s="774"/>
      <c r="R12" s="771"/>
      <c r="S12" s="771"/>
      <c r="T12" s="774"/>
      <c r="U12" s="774"/>
      <c r="V12" s="771"/>
      <c r="W12" s="771"/>
      <c r="X12" s="771"/>
      <c r="Y12" s="771"/>
      <c r="Z12" s="771"/>
      <c r="AA12" s="771"/>
      <c r="AB12" s="771"/>
      <c r="AC12" s="787"/>
      <c r="AD12" s="783"/>
      <c r="AE12" s="783"/>
      <c r="AF12" s="774"/>
      <c r="AG12" s="771"/>
      <c r="AH12" s="771"/>
      <c r="AI12" s="771"/>
      <c r="AJ12" s="787"/>
      <c r="AK12" s="783"/>
      <c r="AL12" s="783"/>
      <c r="AM12" s="771"/>
      <c r="AN12" s="774"/>
      <c r="AO12" s="774"/>
      <c r="AP12" s="774"/>
      <c r="AQ12" s="783"/>
      <c r="AR12" s="408" t="s">
        <v>94</v>
      </c>
      <c r="AS12" s="408" t="s">
        <v>95</v>
      </c>
      <c r="AT12" s="803"/>
      <c r="AU12" s="803"/>
      <c r="AV12" s="771"/>
      <c r="AW12" s="771"/>
      <c r="AX12" s="771"/>
      <c r="AY12" s="774"/>
      <c r="AZ12" s="783"/>
      <c r="BA12" s="783"/>
      <c r="BB12" s="783"/>
      <c r="BC12" s="771"/>
      <c r="BD12" s="774"/>
      <c r="BE12" s="774"/>
      <c r="BF12" s="774"/>
      <c r="BG12" s="783"/>
      <c r="BH12" s="408" t="s">
        <v>94</v>
      </c>
      <c r="BI12" s="408" t="s">
        <v>95</v>
      </c>
      <c r="BJ12" s="783"/>
      <c r="BK12" s="783"/>
      <c r="BL12" s="771"/>
      <c r="BM12" s="774"/>
      <c r="BN12" s="774"/>
      <c r="BO12" s="774"/>
      <c r="BP12" s="771"/>
      <c r="BQ12" s="774"/>
      <c r="BR12" s="774"/>
      <c r="BS12" s="774"/>
      <c r="BT12" s="771"/>
      <c r="BU12" s="774"/>
      <c r="BV12" s="774"/>
      <c r="BW12" s="774"/>
      <c r="BX12" s="799"/>
      <c r="BY12" s="771"/>
    </row>
    <row r="13" spans="1:89" s="413" customFormat="1" ht="18.75" hidden="1" customHeight="1">
      <c r="A13" s="409">
        <v>1</v>
      </c>
      <c r="B13" s="409">
        <v>2</v>
      </c>
      <c r="C13" s="409">
        <v>3</v>
      </c>
      <c r="D13" s="409"/>
      <c r="E13" s="409">
        <v>4</v>
      </c>
      <c r="F13" s="409">
        <v>5</v>
      </c>
      <c r="G13" s="409">
        <v>6</v>
      </c>
      <c r="H13" s="409">
        <v>16</v>
      </c>
      <c r="I13" s="409">
        <v>7</v>
      </c>
      <c r="J13" s="409">
        <v>8</v>
      </c>
      <c r="K13" s="409">
        <v>9</v>
      </c>
      <c r="L13" s="409">
        <v>10</v>
      </c>
      <c r="M13" s="409">
        <v>11</v>
      </c>
      <c r="N13" s="409">
        <v>12</v>
      </c>
      <c r="O13" s="409">
        <v>13</v>
      </c>
      <c r="P13" s="409">
        <v>14</v>
      </c>
      <c r="Q13" s="409">
        <v>15</v>
      </c>
      <c r="R13" s="409">
        <v>16</v>
      </c>
      <c r="S13" s="409">
        <v>17</v>
      </c>
      <c r="T13" s="409">
        <v>18</v>
      </c>
      <c r="U13" s="409">
        <v>19</v>
      </c>
      <c r="V13" s="409">
        <v>20</v>
      </c>
      <c r="W13" s="409">
        <v>21</v>
      </c>
      <c r="X13" s="409">
        <v>22</v>
      </c>
      <c r="Y13" s="409">
        <v>23</v>
      </c>
      <c r="Z13" s="409">
        <v>24</v>
      </c>
      <c r="AA13" s="409">
        <v>25</v>
      </c>
      <c r="AB13" s="409">
        <v>26</v>
      </c>
      <c r="AC13" s="409"/>
      <c r="AD13" s="409">
        <v>29</v>
      </c>
      <c r="AE13" s="409">
        <v>30</v>
      </c>
      <c r="AF13" s="409">
        <v>31</v>
      </c>
      <c r="AG13" s="409">
        <v>32</v>
      </c>
      <c r="AH13" s="409">
        <v>33</v>
      </c>
      <c r="AI13" s="409">
        <v>34</v>
      </c>
      <c r="AJ13" s="410"/>
      <c r="AK13" s="409">
        <v>37</v>
      </c>
      <c r="AL13" s="409">
        <v>38</v>
      </c>
      <c r="AM13" s="409">
        <v>39</v>
      </c>
      <c r="AN13" s="409">
        <v>40</v>
      </c>
      <c r="AO13" s="409">
        <v>41</v>
      </c>
      <c r="AP13" s="409">
        <v>42</v>
      </c>
      <c r="AQ13" s="409"/>
      <c r="AR13" s="409">
        <v>43</v>
      </c>
      <c r="AS13" s="409">
        <v>44</v>
      </c>
      <c r="AT13" s="409">
        <v>45</v>
      </c>
      <c r="AU13" s="409">
        <v>46</v>
      </c>
      <c r="AV13" s="409">
        <v>47</v>
      </c>
      <c r="AW13" s="409">
        <v>48</v>
      </c>
      <c r="AX13" s="409">
        <v>49</v>
      </c>
      <c r="AY13" s="409">
        <v>50</v>
      </c>
      <c r="AZ13" s="409"/>
      <c r="BA13" s="409">
        <v>53</v>
      </c>
      <c r="BB13" s="409">
        <v>54</v>
      </c>
      <c r="BC13" s="409">
        <v>55</v>
      </c>
      <c r="BD13" s="409">
        <v>56</v>
      </c>
      <c r="BE13" s="409">
        <v>57</v>
      </c>
      <c r="BF13" s="409">
        <v>58</v>
      </c>
      <c r="BG13" s="411"/>
      <c r="BH13" s="409">
        <v>59</v>
      </c>
      <c r="BI13" s="409">
        <v>60</v>
      </c>
      <c r="BJ13" s="409">
        <v>61</v>
      </c>
      <c r="BK13" s="409">
        <v>62</v>
      </c>
      <c r="BL13" s="409">
        <v>63</v>
      </c>
      <c r="BM13" s="409">
        <v>64</v>
      </c>
      <c r="BN13" s="409">
        <v>65</v>
      </c>
      <c r="BO13" s="409">
        <v>66</v>
      </c>
      <c r="BP13" s="409">
        <v>67</v>
      </c>
      <c r="BQ13" s="409">
        <v>68</v>
      </c>
      <c r="BR13" s="409">
        <v>69</v>
      </c>
      <c r="BS13" s="409">
        <v>70</v>
      </c>
      <c r="BT13" s="409">
        <v>71</v>
      </c>
      <c r="BU13" s="409">
        <v>72</v>
      </c>
      <c r="BV13" s="409">
        <v>73</v>
      </c>
      <c r="BW13" s="409">
        <v>74</v>
      </c>
      <c r="BX13" s="412"/>
      <c r="BY13" s="409">
        <v>76</v>
      </c>
    </row>
    <row r="14" spans="1:89" s="476" customFormat="1" ht="18.75" customHeight="1">
      <c r="A14" s="401">
        <v>1</v>
      </c>
      <c r="B14" s="401">
        <v>2</v>
      </c>
      <c r="C14" s="401">
        <v>3</v>
      </c>
      <c r="D14" s="401">
        <v>4</v>
      </c>
      <c r="E14" s="401">
        <v>5</v>
      </c>
      <c r="F14" s="401"/>
      <c r="G14" s="401"/>
      <c r="H14" s="401">
        <v>6</v>
      </c>
      <c r="I14" s="401">
        <v>7</v>
      </c>
      <c r="J14" s="401"/>
      <c r="K14" s="401"/>
      <c r="L14" s="401">
        <v>8</v>
      </c>
      <c r="M14" s="401">
        <v>9</v>
      </c>
      <c r="N14" s="401"/>
      <c r="O14" s="401">
        <v>10</v>
      </c>
      <c r="P14" s="401">
        <v>10</v>
      </c>
      <c r="Q14" s="401"/>
      <c r="R14" s="401"/>
      <c r="S14" s="401"/>
      <c r="T14" s="401"/>
      <c r="U14" s="401">
        <v>11</v>
      </c>
      <c r="V14" s="401"/>
      <c r="W14" s="401"/>
      <c r="X14" s="401">
        <v>12</v>
      </c>
      <c r="Y14" s="401">
        <v>13</v>
      </c>
      <c r="Z14" s="401"/>
      <c r="AA14" s="401"/>
      <c r="AB14" s="401"/>
      <c r="AC14" s="401">
        <v>14</v>
      </c>
      <c r="AD14" s="401">
        <v>15</v>
      </c>
      <c r="AE14" s="401">
        <v>16</v>
      </c>
      <c r="AF14" s="401"/>
      <c r="AG14" s="401"/>
      <c r="AH14" s="401"/>
      <c r="AI14" s="401"/>
      <c r="AJ14" s="474"/>
      <c r="AK14" s="401"/>
      <c r="AL14" s="401"/>
      <c r="AM14" s="401"/>
      <c r="AN14" s="401"/>
      <c r="AO14" s="401"/>
      <c r="AP14" s="401"/>
      <c r="AQ14" s="401"/>
      <c r="AR14" s="401"/>
      <c r="AS14" s="401"/>
      <c r="AT14" s="401"/>
      <c r="AU14" s="401"/>
      <c r="AV14" s="401">
        <v>17</v>
      </c>
      <c r="AW14" s="401"/>
      <c r="AX14" s="401"/>
      <c r="AY14" s="401"/>
      <c r="AZ14" s="401">
        <v>18</v>
      </c>
      <c r="BA14" s="401">
        <v>19</v>
      </c>
      <c r="BB14" s="401">
        <v>20</v>
      </c>
      <c r="BC14" s="401"/>
      <c r="BD14" s="401"/>
      <c r="BE14" s="401"/>
      <c r="BF14" s="401"/>
      <c r="BG14" s="475"/>
      <c r="BH14" s="401"/>
      <c r="BI14" s="401"/>
      <c r="BJ14" s="401"/>
      <c r="BK14" s="401"/>
      <c r="BL14" s="401"/>
      <c r="BM14" s="401"/>
      <c r="BN14" s="401"/>
      <c r="BO14" s="401"/>
      <c r="BP14" s="401"/>
      <c r="BQ14" s="401"/>
      <c r="BR14" s="401"/>
      <c r="BS14" s="401"/>
      <c r="BT14" s="401"/>
      <c r="BU14" s="401"/>
      <c r="BV14" s="401"/>
      <c r="BW14" s="401"/>
      <c r="BX14" s="407">
        <v>21</v>
      </c>
      <c r="BY14" s="401">
        <v>21</v>
      </c>
    </row>
    <row r="15" spans="1:89" s="417" customFormat="1" ht="28.5" customHeight="1">
      <c r="A15" s="414"/>
      <c r="B15" s="414" t="s">
        <v>7</v>
      </c>
      <c r="C15" s="414"/>
      <c r="D15" s="414"/>
      <c r="E15" s="414"/>
      <c r="F15" s="414"/>
      <c r="G15" s="414"/>
      <c r="H15" s="415"/>
      <c r="I15" s="414"/>
      <c r="J15" s="414"/>
      <c r="K15" s="414"/>
      <c r="L15" s="414"/>
      <c r="M15" s="415">
        <f t="shared" ref="M15:AR15" si="0">M16+M20+M274+M273</f>
        <v>5979353.0671670008</v>
      </c>
      <c r="N15" s="415">
        <f t="shared" si="0"/>
        <v>100000</v>
      </c>
      <c r="O15" s="415">
        <f t="shared" si="0"/>
        <v>324058</v>
      </c>
      <c r="P15" s="415">
        <f t="shared" si="0"/>
        <v>5025250.3510000007</v>
      </c>
      <c r="Q15" s="415">
        <f t="shared" si="0"/>
        <v>0</v>
      </c>
      <c r="R15" s="415">
        <f t="shared" si="0"/>
        <v>0</v>
      </c>
      <c r="S15" s="415">
        <f t="shared" si="0"/>
        <v>0</v>
      </c>
      <c r="T15" s="415">
        <f t="shared" si="0"/>
        <v>0</v>
      </c>
      <c r="U15" s="415">
        <f t="shared" si="0"/>
        <v>182081.01621</v>
      </c>
      <c r="V15" s="415">
        <f t="shared" si="0"/>
        <v>0</v>
      </c>
      <c r="W15" s="415">
        <f t="shared" si="0"/>
        <v>100082</v>
      </c>
      <c r="X15" s="415">
        <f t="shared" si="0"/>
        <v>81999.016210000002</v>
      </c>
      <c r="Y15" s="415">
        <f t="shared" si="0"/>
        <v>1724617.0000000002</v>
      </c>
      <c r="Z15" s="415">
        <f t="shared" si="0"/>
        <v>0</v>
      </c>
      <c r="AA15" s="415">
        <f t="shared" si="0"/>
        <v>0</v>
      </c>
      <c r="AB15" s="415">
        <f t="shared" si="0"/>
        <v>1724617.0000000002</v>
      </c>
      <c r="AC15" s="415">
        <f t="shared" si="0"/>
        <v>486900</v>
      </c>
      <c r="AD15" s="415">
        <f t="shared" si="0"/>
        <v>1174039</v>
      </c>
      <c r="AE15" s="415">
        <f t="shared" si="0"/>
        <v>63678</v>
      </c>
      <c r="AF15" s="415">
        <f t="shared" si="0"/>
        <v>933810.78379999986</v>
      </c>
      <c r="AG15" s="415">
        <f t="shared" si="0"/>
        <v>0</v>
      </c>
      <c r="AH15" s="415">
        <f t="shared" si="0"/>
        <v>0</v>
      </c>
      <c r="AI15" s="415">
        <f t="shared" si="0"/>
        <v>933810.78379999986</v>
      </c>
      <c r="AJ15" s="415">
        <f t="shared" si="0"/>
        <v>409839.663</v>
      </c>
      <c r="AK15" s="415">
        <f t="shared" si="0"/>
        <v>444713.56880000007</v>
      </c>
      <c r="AL15" s="415">
        <f t="shared" si="0"/>
        <v>79257.551999999996</v>
      </c>
      <c r="AM15" s="415">
        <f t="shared" si="0"/>
        <v>781954.13615500019</v>
      </c>
      <c r="AN15" s="415">
        <f t="shared" si="0"/>
        <v>0</v>
      </c>
      <c r="AO15" s="415">
        <f t="shared" si="0"/>
        <v>29045.025381999996</v>
      </c>
      <c r="AP15" s="415">
        <f t="shared" si="0"/>
        <v>752909.11077300017</v>
      </c>
      <c r="AQ15" s="415">
        <f t="shared" si="0"/>
        <v>356530.7002110001</v>
      </c>
      <c r="AR15" s="415">
        <f t="shared" si="0"/>
        <v>349522.06121100008</v>
      </c>
      <c r="AS15" s="415">
        <f t="shared" ref="AS15:BX15" si="1">AS16+AS20+AS274+AS273</f>
        <v>7008.6390000000001</v>
      </c>
      <c r="AT15" s="415">
        <f t="shared" si="1"/>
        <v>348095.08834200003</v>
      </c>
      <c r="AU15" s="415">
        <f t="shared" si="1"/>
        <v>48283.322220000002</v>
      </c>
      <c r="AV15" s="415">
        <f t="shared" si="1"/>
        <v>632968.65099999995</v>
      </c>
      <c r="AW15" s="415">
        <f t="shared" si="1"/>
        <v>0</v>
      </c>
      <c r="AX15" s="415">
        <f t="shared" si="1"/>
        <v>0</v>
      </c>
      <c r="AY15" s="415">
        <f t="shared" si="1"/>
        <v>632968.65099999995</v>
      </c>
      <c r="AZ15" s="415">
        <f t="shared" si="1"/>
        <v>77040</v>
      </c>
      <c r="BA15" s="415">
        <f t="shared" si="1"/>
        <v>549822</v>
      </c>
      <c r="BB15" s="415">
        <f t="shared" si="1"/>
        <v>6106.6509999999998</v>
      </c>
      <c r="BC15" s="415">
        <f t="shared" si="1"/>
        <v>119451.92637899998</v>
      </c>
      <c r="BD15" s="415">
        <f t="shared" si="1"/>
        <v>0</v>
      </c>
      <c r="BE15" s="415">
        <f t="shared" si="1"/>
        <v>0</v>
      </c>
      <c r="BF15" s="415">
        <f t="shared" si="1"/>
        <v>119451.92637899998</v>
      </c>
      <c r="BG15" s="415">
        <f t="shared" si="1"/>
        <v>57966.817300000002</v>
      </c>
      <c r="BH15" s="415">
        <f t="shared" si="1"/>
        <v>57966.817300000002</v>
      </c>
      <c r="BI15" s="415">
        <f t="shared" si="1"/>
        <v>0</v>
      </c>
      <c r="BJ15" s="415">
        <f t="shared" si="1"/>
        <v>59647.817545999998</v>
      </c>
      <c r="BK15" s="415">
        <f t="shared" si="1"/>
        <v>6034.3159999999998</v>
      </c>
      <c r="BL15" s="415">
        <f t="shared" si="1"/>
        <v>15346.918023999999</v>
      </c>
      <c r="BM15" s="415">
        <f t="shared" si="1"/>
        <v>0</v>
      </c>
      <c r="BN15" s="415">
        <f t="shared" si="1"/>
        <v>312.90480000000002</v>
      </c>
      <c r="BO15" s="415">
        <f t="shared" si="1"/>
        <v>15034.013223999998</v>
      </c>
      <c r="BP15" s="415">
        <f t="shared" si="1"/>
        <v>11815.586675</v>
      </c>
      <c r="BQ15" s="415">
        <f t="shared" si="1"/>
        <v>0</v>
      </c>
      <c r="BR15" s="415">
        <f t="shared" si="1"/>
        <v>312.90480000000002</v>
      </c>
      <c r="BS15" s="415">
        <f t="shared" si="1"/>
        <v>11502.681875</v>
      </c>
      <c r="BT15" s="415">
        <f t="shared" si="1"/>
        <v>1498889</v>
      </c>
      <c r="BU15" s="415">
        <f t="shared" si="1"/>
        <v>0</v>
      </c>
      <c r="BV15" s="415">
        <f t="shared" si="1"/>
        <v>1498889</v>
      </c>
      <c r="BW15" s="415">
        <f t="shared" si="1"/>
        <v>0</v>
      </c>
      <c r="BX15" s="415">
        <f t="shared" si="1"/>
        <v>426.89403900000002</v>
      </c>
      <c r="BY15" s="415"/>
      <c r="BZ15" s="416"/>
      <c r="CA15" s="416"/>
      <c r="CK15" s="416"/>
    </row>
    <row r="16" spans="1:89" s="417" customFormat="1" ht="28.5" customHeight="1">
      <c r="A16" s="418" t="s">
        <v>11</v>
      </c>
      <c r="B16" s="418" t="s">
        <v>3639</v>
      </c>
      <c r="C16" s="418"/>
      <c r="D16" s="418"/>
      <c r="E16" s="418"/>
      <c r="F16" s="418"/>
      <c r="G16" s="418"/>
      <c r="H16" s="419"/>
      <c r="I16" s="418"/>
      <c r="J16" s="418"/>
      <c r="K16" s="418"/>
      <c r="L16" s="418"/>
      <c r="M16" s="419"/>
      <c r="N16" s="419"/>
      <c r="O16" s="419"/>
      <c r="P16" s="419"/>
      <c r="Q16" s="419"/>
      <c r="R16" s="419"/>
      <c r="S16" s="419"/>
      <c r="T16" s="419"/>
      <c r="U16" s="419"/>
      <c r="V16" s="419"/>
      <c r="W16" s="419"/>
      <c r="X16" s="419"/>
      <c r="Y16" s="419">
        <f>SUM(Y17:Y19)</f>
        <v>7000</v>
      </c>
      <c r="Z16" s="419">
        <f t="shared" ref="Z16:BY16" si="2">SUM(Z17:Z19)</f>
        <v>0</v>
      </c>
      <c r="AA16" s="419">
        <f t="shared" si="2"/>
        <v>0</v>
      </c>
      <c r="AB16" s="419">
        <f t="shared" si="2"/>
        <v>7000</v>
      </c>
      <c r="AC16" s="419">
        <f t="shared" si="2"/>
        <v>0</v>
      </c>
      <c r="AD16" s="419">
        <f t="shared" si="2"/>
        <v>5000</v>
      </c>
      <c r="AE16" s="419">
        <f t="shared" si="2"/>
        <v>2000</v>
      </c>
      <c r="AF16" s="419">
        <f t="shared" si="2"/>
        <v>4920.509</v>
      </c>
      <c r="AG16" s="419">
        <f t="shared" si="2"/>
        <v>0</v>
      </c>
      <c r="AH16" s="419">
        <f t="shared" si="2"/>
        <v>0</v>
      </c>
      <c r="AI16" s="419">
        <f t="shared" si="2"/>
        <v>4920.509</v>
      </c>
      <c r="AJ16" s="419">
        <f t="shared" si="2"/>
        <v>0</v>
      </c>
      <c r="AK16" s="419">
        <f t="shared" si="2"/>
        <v>4420.509</v>
      </c>
      <c r="AL16" s="419">
        <f t="shared" si="2"/>
        <v>500</v>
      </c>
      <c r="AM16" s="419">
        <f t="shared" si="2"/>
        <v>1495.375</v>
      </c>
      <c r="AN16" s="419">
        <f t="shared" si="2"/>
        <v>0</v>
      </c>
      <c r="AO16" s="419">
        <f t="shared" si="2"/>
        <v>0</v>
      </c>
      <c r="AP16" s="419">
        <f t="shared" si="2"/>
        <v>1495.375</v>
      </c>
      <c r="AQ16" s="419">
        <f t="shared" si="2"/>
        <v>0</v>
      </c>
      <c r="AR16" s="419">
        <f t="shared" si="2"/>
        <v>0</v>
      </c>
      <c r="AS16" s="419">
        <f t="shared" si="2"/>
        <v>0</v>
      </c>
      <c r="AT16" s="419">
        <f t="shared" si="2"/>
        <v>995.375</v>
      </c>
      <c r="AU16" s="419">
        <f t="shared" si="2"/>
        <v>500</v>
      </c>
      <c r="AV16" s="419">
        <f t="shared" si="2"/>
        <v>2000</v>
      </c>
      <c r="AW16" s="419">
        <f t="shared" si="2"/>
        <v>0</v>
      </c>
      <c r="AX16" s="419">
        <f t="shared" si="2"/>
        <v>0</v>
      </c>
      <c r="AY16" s="419">
        <f t="shared" si="2"/>
        <v>2000</v>
      </c>
      <c r="AZ16" s="419">
        <f t="shared" si="2"/>
        <v>0</v>
      </c>
      <c r="BA16" s="419">
        <f t="shared" si="2"/>
        <v>1000</v>
      </c>
      <c r="BB16" s="419">
        <f t="shared" si="2"/>
        <v>1000</v>
      </c>
      <c r="BC16" s="419">
        <f t="shared" si="2"/>
        <v>1000</v>
      </c>
      <c r="BD16" s="419">
        <f t="shared" si="2"/>
        <v>0</v>
      </c>
      <c r="BE16" s="419">
        <f t="shared" si="2"/>
        <v>0</v>
      </c>
      <c r="BF16" s="419">
        <f t="shared" si="2"/>
        <v>1000</v>
      </c>
      <c r="BG16" s="419">
        <f t="shared" si="2"/>
        <v>0</v>
      </c>
      <c r="BH16" s="419">
        <f t="shared" si="2"/>
        <v>0</v>
      </c>
      <c r="BI16" s="419">
        <f t="shared" si="2"/>
        <v>0</v>
      </c>
      <c r="BJ16" s="419">
        <f t="shared" si="2"/>
        <v>0</v>
      </c>
      <c r="BK16" s="419">
        <f t="shared" si="2"/>
        <v>1000</v>
      </c>
      <c r="BL16" s="419">
        <f t="shared" si="2"/>
        <v>0</v>
      </c>
      <c r="BM16" s="419">
        <f t="shared" si="2"/>
        <v>0</v>
      </c>
      <c r="BN16" s="419">
        <f t="shared" si="2"/>
        <v>0</v>
      </c>
      <c r="BO16" s="419">
        <f t="shared" si="2"/>
        <v>0</v>
      </c>
      <c r="BP16" s="419">
        <f t="shared" si="2"/>
        <v>0</v>
      </c>
      <c r="BQ16" s="419">
        <f t="shared" si="2"/>
        <v>0</v>
      </c>
      <c r="BR16" s="419">
        <f t="shared" si="2"/>
        <v>0</v>
      </c>
      <c r="BS16" s="419">
        <f t="shared" si="2"/>
        <v>0</v>
      </c>
      <c r="BT16" s="419">
        <f t="shared" si="2"/>
        <v>0</v>
      </c>
      <c r="BU16" s="419">
        <f t="shared" si="2"/>
        <v>0</v>
      </c>
      <c r="BV16" s="419">
        <f t="shared" si="2"/>
        <v>0</v>
      </c>
      <c r="BW16" s="419">
        <f t="shared" si="2"/>
        <v>0</v>
      </c>
      <c r="BX16" s="419">
        <f t="shared" si="2"/>
        <v>0</v>
      </c>
      <c r="BY16" s="419">
        <f t="shared" si="2"/>
        <v>0</v>
      </c>
      <c r="BZ16" s="416"/>
      <c r="CA16" s="416"/>
      <c r="CK16" s="416"/>
    </row>
    <row r="17" spans="1:89" ht="55.5" customHeight="1" outlineLevel="1">
      <c r="A17" s="420">
        <v>1</v>
      </c>
      <c r="B17" s="421" t="s">
        <v>2334</v>
      </c>
      <c r="C17" s="420" t="s">
        <v>3595</v>
      </c>
      <c r="D17" s="420" t="s">
        <v>3596</v>
      </c>
      <c r="E17" s="422"/>
      <c r="F17" s="422"/>
      <c r="G17" s="142"/>
      <c r="H17" s="423"/>
      <c r="I17" s="420"/>
      <c r="J17" s="420"/>
      <c r="K17" s="424"/>
      <c r="L17" s="420"/>
      <c r="M17" s="425"/>
      <c r="N17" s="424"/>
      <c r="O17" s="424"/>
      <c r="P17" s="424"/>
      <c r="Q17" s="420"/>
      <c r="R17" s="423"/>
      <c r="S17" s="420"/>
      <c r="T17" s="421"/>
      <c r="U17" s="421"/>
      <c r="V17" s="421"/>
      <c r="W17" s="421"/>
      <c r="X17" s="421"/>
      <c r="Y17" s="143">
        <f t="shared" ref="Y17:Y18" si="3">SUM(Z17:AB17)</f>
        <v>500</v>
      </c>
      <c r="Z17" s="143"/>
      <c r="AA17" s="143"/>
      <c r="AB17" s="143">
        <f t="shared" ref="AB17:AB18" si="4">AC17+AD17+AE17</f>
        <v>500</v>
      </c>
      <c r="AC17" s="143"/>
      <c r="AD17" s="144"/>
      <c r="AE17" s="144">
        <v>500</v>
      </c>
      <c r="AF17" s="143">
        <f t="shared" ref="AF17:AF18" si="5">SUM(AG17:AI17)</f>
        <v>0</v>
      </c>
      <c r="AG17" s="143"/>
      <c r="AH17" s="143"/>
      <c r="AI17" s="143">
        <f t="shared" ref="AI17:AI18" si="6">SUM(AJ17:AL17)</f>
        <v>0</v>
      </c>
      <c r="AJ17" s="143"/>
      <c r="AK17" s="144">
        <v>0</v>
      </c>
      <c r="AL17" s="144"/>
      <c r="AM17" s="143">
        <f t="shared" ref="AM17:AM18" si="7">AN17+AO17+AP17</f>
        <v>0</v>
      </c>
      <c r="AN17" s="143"/>
      <c r="AO17" s="143"/>
      <c r="AP17" s="143">
        <f t="shared" ref="AP17:AP18" si="8">AQ17+AT17+AU17</f>
        <v>0</v>
      </c>
      <c r="AQ17" s="143"/>
      <c r="AR17" s="144"/>
      <c r="AS17" s="144"/>
      <c r="AT17" s="144">
        <v>0</v>
      </c>
      <c r="AU17" s="144"/>
      <c r="AV17" s="143">
        <f t="shared" ref="AV17:AV18" si="9">SUM(AW17:AY17)</f>
        <v>500</v>
      </c>
      <c r="AW17" s="143"/>
      <c r="AX17" s="143"/>
      <c r="AY17" s="143">
        <f t="shared" ref="AY17:AY18" si="10">SUM(AZ17:BB17)</f>
        <v>500</v>
      </c>
      <c r="AZ17" s="143"/>
      <c r="BA17" s="144"/>
      <c r="BB17" s="144">
        <v>500</v>
      </c>
      <c r="BC17" s="143">
        <f t="shared" ref="BC17:BC18" si="11">BD17+BE17+BF17</f>
        <v>500</v>
      </c>
      <c r="BD17" s="143"/>
      <c r="BE17" s="143"/>
      <c r="BF17" s="143">
        <f t="shared" ref="BF17:BF18" si="12">SUM(BH17:BK17)</f>
        <v>500</v>
      </c>
      <c r="BG17" s="143"/>
      <c r="BH17" s="148"/>
      <c r="BI17" s="148"/>
      <c r="BJ17" s="148"/>
      <c r="BK17" s="144">
        <v>500</v>
      </c>
      <c r="BL17" s="153"/>
      <c r="BM17" s="153"/>
      <c r="BN17" s="153"/>
      <c r="BO17" s="153"/>
      <c r="BP17" s="153"/>
      <c r="BQ17" s="153"/>
      <c r="BR17" s="153"/>
      <c r="BS17" s="153"/>
      <c r="BT17" s="153"/>
      <c r="BU17" s="153"/>
      <c r="BV17" s="153"/>
      <c r="BW17" s="153"/>
      <c r="BX17" s="232"/>
      <c r="BY17" s="426"/>
      <c r="BZ17" s="427"/>
      <c r="CJ17" s="417"/>
      <c r="CK17" s="416"/>
    </row>
    <row r="18" spans="1:89" ht="30.75" outlineLevel="1">
      <c r="A18" s="420">
        <v>2</v>
      </c>
      <c r="B18" s="421" t="s">
        <v>2335</v>
      </c>
      <c r="C18" s="428" t="s">
        <v>2336</v>
      </c>
      <c r="D18" s="428" t="s">
        <v>2337</v>
      </c>
      <c r="E18" s="422"/>
      <c r="F18" s="422"/>
      <c r="G18" s="142"/>
      <c r="H18" s="423"/>
      <c r="I18" s="420"/>
      <c r="J18" s="420"/>
      <c r="K18" s="424"/>
      <c r="L18" s="420"/>
      <c r="M18" s="425"/>
      <c r="N18" s="424"/>
      <c r="O18" s="424"/>
      <c r="P18" s="424"/>
      <c r="Q18" s="420"/>
      <c r="R18" s="423"/>
      <c r="S18" s="420"/>
      <c r="T18" s="421"/>
      <c r="U18" s="421"/>
      <c r="V18" s="421"/>
      <c r="W18" s="421"/>
      <c r="X18" s="421"/>
      <c r="Y18" s="143">
        <f t="shared" si="3"/>
        <v>1500</v>
      </c>
      <c r="Z18" s="143"/>
      <c r="AA18" s="143"/>
      <c r="AB18" s="143">
        <f t="shared" si="4"/>
        <v>1500</v>
      </c>
      <c r="AC18" s="143"/>
      <c r="AD18" s="144"/>
      <c r="AE18" s="144">
        <v>1500</v>
      </c>
      <c r="AF18" s="143">
        <f t="shared" si="5"/>
        <v>500</v>
      </c>
      <c r="AG18" s="143"/>
      <c r="AH18" s="143"/>
      <c r="AI18" s="143">
        <f t="shared" si="6"/>
        <v>500</v>
      </c>
      <c r="AJ18" s="143"/>
      <c r="AK18" s="144">
        <v>0</v>
      </c>
      <c r="AL18" s="144">
        <v>500</v>
      </c>
      <c r="AM18" s="143">
        <f t="shared" si="7"/>
        <v>500</v>
      </c>
      <c r="AN18" s="143"/>
      <c r="AO18" s="143"/>
      <c r="AP18" s="143">
        <f t="shared" si="8"/>
        <v>500</v>
      </c>
      <c r="AQ18" s="143"/>
      <c r="AR18" s="144"/>
      <c r="AS18" s="144"/>
      <c r="AT18" s="144">
        <v>0</v>
      </c>
      <c r="AU18" s="144">
        <v>500</v>
      </c>
      <c r="AV18" s="143">
        <f t="shared" si="9"/>
        <v>500</v>
      </c>
      <c r="AW18" s="143"/>
      <c r="AX18" s="143"/>
      <c r="AY18" s="143">
        <f t="shared" si="10"/>
        <v>500</v>
      </c>
      <c r="AZ18" s="143"/>
      <c r="BA18" s="144"/>
      <c r="BB18" s="144">
        <v>500</v>
      </c>
      <c r="BC18" s="143">
        <f t="shared" si="11"/>
        <v>500</v>
      </c>
      <c r="BD18" s="143"/>
      <c r="BE18" s="143"/>
      <c r="BF18" s="143">
        <f t="shared" si="12"/>
        <v>500</v>
      </c>
      <c r="BG18" s="143"/>
      <c r="BH18" s="148"/>
      <c r="BI18" s="148"/>
      <c r="BJ18" s="148"/>
      <c r="BK18" s="144">
        <v>500</v>
      </c>
      <c r="BL18" s="153"/>
      <c r="BM18" s="153"/>
      <c r="BN18" s="153"/>
      <c r="BO18" s="153"/>
      <c r="BP18" s="153"/>
      <c r="BQ18" s="153"/>
      <c r="BR18" s="153"/>
      <c r="BS18" s="153"/>
      <c r="BT18" s="153"/>
      <c r="BU18" s="153"/>
      <c r="BV18" s="153"/>
      <c r="BW18" s="153"/>
      <c r="BX18" s="232"/>
      <c r="BY18" s="426"/>
    </row>
    <row r="19" spans="1:89" ht="30.75" outlineLevel="1">
      <c r="A19" s="420">
        <v>3</v>
      </c>
      <c r="B19" s="421" t="s">
        <v>2338</v>
      </c>
      <c r="C19" s="428" t="s">
        <v>77</v>
      </c>
      <c r="D19" s="428" t="s">
        <v>570</v>
      </c>
      <c r="E19" s="422"/>
      <c r="F19" s="422"/>
      <c r="G19" s="142"/>
      <c r="H19" s="423"/>
      <c r="I19" s="420"/>
      <c r="J19" s="420"/>
      <c r="K19" s="424"/>
      <c r="L19" s="420"/>
      <c r="M19" s="425"/>
      <c r="N19" s="424"/>
      <c r="O19" s="424"/>
      <c r="P19" s="424"/>
      <c r="Q19" s="420"/>
      <c r="R19" s="423"/>
      <c r="S19" s="420"/>
      <c r="T19" s="421"/>
      <c r="U19" s="421"/>
      <c r="V19" s="421"/>
      <c r="W19" s="421"/>
      <c r="X19" s="421"/>
      <c r="Y19" s="143">
        <v>5000</v>
      </c>
      <c r="Z19" s="143"/>
      <c r="AA19" s="143"/>
      <c r="AB19" s="143">
        <v>5000</v>
      </c>
      <c r="AC19" s="143"/>
      <c r="AD19" s="144">
        <v>5000</v>
      </c>
      <c r="AE19" s="144"/>
      <c r="AF19" s="143">
        <v>4420.509</v>
      </c>
      <c r="AG19" s="143"/>
      <c r="AH19" s="143"/>
      <c r="AI19" s="143">
        <v>4420.509</v>
      </c>
      <c r="AJ19" s="143"/>
      <c r="AK19" s="144">
        <v>4420.509</v>
      </c>
      <c r="AL19" s="144"/>
      <c r="AM19" s="143">
        <v>995.375</v>
      </c>
      <c r="AN19" s="143"/>
      <c r="AO19" s="143"/>
      <c r="AP19" s="143">
        <v>995.375</v>
      </c>
      <c r="AQ19" s="143"/>
      <c r="AR19" s="144"/>
      <c r="AS19" s="144"/>
      <c r="AT19" s="144">
        <v>995.375</v>
      </c>
      <c r="AU19" s="144"/>
      <c r="AV19" s="143">
        <v>1000</v>
      </c>
      <c r="AW19" s="143"/>
      <c r="AX19" s="143"/>
      <c r="AY19" s="143">
        <v>1000</v>
      </c>
      <c r="AZ19" s="143"/>
      <c r="BA19" s="144">
        <v>1000</v>
      </c>
      <c r="BB19" s="144"/>
      <c r="BC19" s="143">
        <v>0</v>
      </c>
      <c r="BD19" s="143"/>
      <c r="BE19" s="143"/>
      <c r="BF19" s="143">
        <v>0</v>
      </c>
      <c r="BG19" s="143"/>
      <c r="BH19" s="148"/>
      <c r="BI19" s="148"/>
      <c r="BJ19" s="148"/>
      <c r="BK19" s="144"/>
      <c r="BL19" s="153"/>
      <c r="BM19" s="153"/>
      <c r="BN19" s="153"/>
      <c r="BO19" s="153"/>
      <c r="BP19" s="153"/>
      <c r="BQ19" s="153"/>
      <c r="BR19" s="153"/>
      <c r="BS19" s="153"/>
      <c r="BT19" s="153"/>
      <c r="BU19" s="153"/>
      <c r="BV19" s="153"/>
      <c r="BW19" s="153"/>
      <c r="BX19" s="232"/>
      <c r="BY19" s="426"/>
    </row>
    <row r="20" spans="1:89" s="417" customFormat="1" ht="38.25" customHeight="1">
      <c r="A20" s="418" t="s">
        <v>10</v>
      </c>
      <c r="B20" s="418" t="s">
        <v>3665</v>
      </c>
      <c r="C20" s="418"/>
      <c r="D20" s="418"/>
      <c r="E20" s="418"/>
      <c r="F20" s="418"/>
      <c r="G20" s="418"/>
      <c r="H20" s="419"/>
      <c r="I20" s="418"/>
      <c r="J20" s="418"/>
      <c r="K20" s="418"/>
      <c r="L20" s="418"/>
      <c r="M20" s="419">
        <f t="shared" ref="M20:BX20" si="13">M21+M90+M111+M162+M214+M241+M272</f>
        <v>5979353.0671670008</v>
      </c>
      <c r="N20" s="419">
        <f t="shared" si="13"/>
        <v>100000</v>
      </c>
      <c r="O20" s="419">
        <f t="shared" si="13"/>
        <v>324058</v>
      </c>
      <c r="P20" s="419">
        <f t="shared" si="13"/>
        <v>5025250.3510000007</v>
      </c>
      <c r="Q20" s="419">
        <f t="shared" si="13"/>
        <v>0</v>
      </c>
      <c r="R20" s="419">
        <f t="shared" si="13"/>
        <v>0</v>
      </c>
      <c r="S20" s="419">
        <f t="shared" si="13"/>
        <v>0</v>
      </c>
      <c r="T20" s="419">
        <f t="shared" si="13"/>
        <v>0</v>
      </c>
      <c r="U20" s="419">
        <f t="shared" si="13"/>
        <v>182081.01621</v>
      </c>
      <c r="V20" s="419">
        <f t="shared" si="13"/>
        <v>0</v>
      </c>
      <c r="W20" s="419">
        <f t="shared" si="13"/>
        <v>100082</v>
      </c>
      <c r="X20" s="419">
        <f t="shared" si="13"/>
        <v>81999.016210000002</v>
      </c>
      <c r="Y20" s="419">
        <f t="shared" si="13"/>
        <v>1678217.3050000002</v>
      </c>
      <c r="Z20" s="419">
        <f t="shared" si="13"/>
        <v>0</v>
      </c>
      <c r="AA20" s="419">
        <f t="shared" si="13"/>
        <v>0</v>
      </c>
      <c r="AB20" s="419">
        <f t="shared" si="13"/>
        <v>1678217.3050000002</v>
      </c>
      <c r="AC20" s="419">
        <f t="shared" si="13"/>
        <v>486900</v>
      </c>
      <c r="AD20" s="419">
        <f t="shared" si="13"/>
        <v>1129639.3049999999</v>
      </c>
      <c r="AE20" s="419">
        <f t="shared" si="13"/>
        <v>61678</v>
      </c>
      <c r="AF20" s="419">
        <f t="shared" si="13"/>
        <v>926715.27499999991</v>
      </c>
      <c r="AG20" s="419">
        <f t="shared" si="13"/>
        <v>0</v>
      </c>
      <c r="AH20" s="419">
        <f t="shared" si="13"/>
        <v>0</v>
      </c>
      <c r="AI20" s="419">
        <f t="shared" si="13"/>
        <v>926715.27499999991</v>
      </c>
      <c r="AJ20" s="419">
        <f t="shared" si="13"/>
        <v>409839.663</v>
      </c>
      <c r="AK20" s="419">
        <f t="shared" si="13"/>
        <v>438118.06000000006</v>
      </c>
      <c r="AL20" s="419">
        <f t="shared" si="13"/>
        <v>78757.551999999996</v>
      </c>
      <c r="AM20" s="419">
        <f t="shared" si="13"/>
        <v>779173.27403400023</v>
      </c>
      <c r="AN20" s="419">
        <f t="shared" si="13"/>
        <v>0</v>
      </c>
      <c r="AO20" s="419">
        <f t="shared" si="13"/>
        <v>29045.025381999996</v>
      </c>
      <c r="AP20" s="419">
        <f t="shared" si="13"/>
        <v>750128.24865200021</v>
      </c>
      <c r="AQ20" s="419">
        <f t="shared" si="13"/>
        <v>356530.7002110001</v>
      </c>
      <c r="AR20" s="419">
        <f t="shared" si="13"/>
        <v>349522.06121100008</v>
      </c>
      <c r="AS20" s="419">
        <f t="shared" si="13"/>
        <v>7008.6390000000001</v>
      </c>
      <c r="AT20" s="419">
        <f t="shared" si="13"/>
        <v>345814.22622100002</v>
      </c>
      <c r="AU20" s="419">
        <f t="shared" si="13"/>
        <v>47783.322220000002</v>
      </c>
      <c r="AV20" s="419">
        <f t="shared" si="13"/>
        <v>231022.65099999998</v>
      </c>
      <c r="AW20" s="419">
        <f t="shared" si="13"/>
        <v>0</v>
      </c>
      <c r="AX20" s="419">
        <f t="shared" si="13"/>
        <v>0</v>
      </c>
      <c r="AY20" s="419">
        <f t="shared" si="13"/>
        <v>231022.65099999998</v>
      </c>
      <c r="AZ20" s="419">
        <f t="shared" si="13"/>
        <v>77040</v>
      </c>
      <c r="BA20" s="419">
        <f t="shared" si="13"/>
        <v>148876</v>
      </c>
      <c r="BB20" s="419">
        <f t="shared" si="13"/>
        <v>5106.6509999999998</v>
      </c>
      <c r="BC20" s="419">
        <f t="shared" si="13"/>
        <v>118451.92637899998</v>
      </c>
      <c r="BD20" s="419">
        <f t="shared" si="13"/>
        <v>0</v>
      </c>
      <c r="BE20" s="419">
        <f t="shared" si="13"/>
        <v>0</v>
      </c>
      <c r="BF20" s="419">
        <f t="shared" si="13"/>
        <v>118451.92637899998</v>
      </c>
      <c r="BG20" s="419">
        <f t="shared" si="13"/>
        <v>57966.817300000002</v>
      </c>
      <c r="BH20" s="419">
        <f t="shared" si="13"/>
        <v>57966.817300000002</v>
      </c>
      <c r="BI20" s="419">
        <f t="shared" si="13"/>
        <v>0</v>
      </c>
      <c r="BJ20" s="419">
        <f t="shared" si="13"/>
        <v>59647.817545999998</v>
      </c>
      <c r="BK20" s="419">
        <f t="shared" si="13"/>
        <v>5034.3159999999998</v>
      </c>
      <c r="BL20" s="419">
        <f t="shared" si="13"/>
        <v>15346.918023999999</v>
      </c>
      <c r="BM20" s="419">
        <f t="shared" si="13"/>
        <v>0</v>
      </c>
      <c r="BN20" s="419">
        <f t="shared" si="13"/>
        <v>312.90480000000002</v>
      </c>
      <c r="BO20" s="419">
        <f t="shared" si="13"/>
        <v>15034.013223999998</v>
      </c>
      <c r="BP20" s="419">
        <f t="shared" si="13"/>
        <v>11815.586675</v>
      </c>
      <c r="BQ20" s="419">
        <f t="shared" si="13"/>
        <v>0</v>
      </c>
      <c r="BR20" s="419">
        <f t="shared" si="13"/>
        <v>312.90480000000002</v>
      </c>
      <c r="BS20" s="419">
        <f t="shared" si="13"/>
        <v>11502.681875</v>
      </c>
      <c r="BT20" s="419">
        <f t="shared" si="13"/>
        <v>1498889</v>
      </c>
      <c r="BU20" s="419">
        <f t="shared" si="13"/>
        <v>0</v>
      </c>
      <c r="BV20" s="419">
        <f t="shared" si="13"/>
        <v>1498889</v>
      </c>
      <c r="BW20" s="419">
        <f t="shared" si="13"/>
        <v>0</v>
      </c>
      <c r="BX20" s="429">
        <f t="shared" si="13"/>
        <v>373</v>
      </c>
      <c r="BY20" s="419" t="s">
        <v>3692</v>
      </c>
    </row>
    <row r="21" spans="1:89" s="417" customFormat="1" ht="28.5" customHeight="1">
      <c r="A21" s="418" t="s">
        <v>12</v>
      </c>
      <c r="B21" s="418" t="s">
        <v>2339</v>
      </c>
      <c r="C21" s="418"/>
      <c r="D21" s="418"/>
      <c r="E21" s="418"/>
      <c r="F21" s="418"/>
      <c r="G21" s="418"/>
      <c r="H21" s="419">
        <f t="shared" ref="H21" si="14">H22+H32</f>
        <v>0</v>
      </c>
      <c r="I21" s="418"/>
      <c r="J21" s="418"/>
      <c r="K21" s="418"/>
      <c r="L21" s="418"/>
      <c r="M21" s="419">
        <f>M22+M32+M81</f>
        <v>1176503.0240000002</v>
      </c>
      <c r="N21" s="419">
        <f t="shared" ref="N21:BY21" si="15">N22+N32+N81</f>
        <v>100000</v>
      </c>
      <c r="O21" s="419">
        <f t="shared" si="15"/>
        <v>236887</v>
      </c>
      <c r="P21" s="419">
        <f t="shared" si="15"/>
        <v>607457.10800000001</v>
      </c>
      <c r="Q21" s="419">
        <f t="shared" si="15"/>
        <v>0</v>
      </c>
      <c r="R21" s="419">
        <f t="shared" si="15"/>
        <v>0</v>
      </c>
      <c r="S21" s="419">
        <f t="shared" si="15"/>
        <v>0</v>
      </c>
      <c r="T21" s="419">
        <f t="shared" si="15"/>
        <v>0</v>
      </c>
      <c r="U21" s="419">
        <f t="shared" si="15"/>
        <v>39450.688999999998</v>
      </c>
      <c r="V21" s="419">
        <f t="shared" si="15"/>
        <v>0</v>
      </c>
      <c r="W21" s="419">
        <f t="shared" si="15"/>
        <v>6670</v>
      </c>
      <c r="X21" s="419">
        <f t="shared" si="15"/>
        <v>32780.688999999998</v>
      </c>
      <c r="Y21" s="419">
        <f t="shared" si="15"/>
        <v>479408</v>
      </c>
      <c r="Z21" s="419">
        <f t="shared" si="15"/>
        <v>0</v>
      </c>
      <c r="AA21" s="419">
        <f t="shared" si="15"/>
        <v>0</v>
      </c>
      <c r="AB21" s="419">
        <f t="shared" si="15"/>
        <v>479408</v>
      </c>
      <c r="AC21" s="419">
        <f t="shared" si="15"/>
        <v>238633</v>
      </c>
      <c r="AD21" s="419">
        <f t="shared" si="15"/>
        <v>220056</v>
      </c>
      <c r="AE21" s="419">
        <f t="shared" si="15"/>
        <v>20719</v>
      </c>
      <c r="AF21" s="419">
        <f t="shared" si="15"/>
        <v>332887.038</v>
      </c>
      <c r="AG21" s="419">
        <f t="shared" si="15"/>
        <v>0</v>
      </c>
      <c r="AH21" s="419">
        <f t="shared" si="15"/>
        <v>0</v>
      </c>
      <c r="AI21" s="419">
        <f t="shared" si="15"/>
        <v>332887.038</v>
      </c>
      <c r="AJ21" s="419">
        <f t="shared" si="15"/>
        <v>210398.356</v>
      </c>
      <c r="AK21" s="419">
        <f t="shared" si="15"/>
        <v>96882.682000000001</v>
      </c>
      <c r="AL21" s="419">
        <f t="shared" si="15"/>
        <v>25606</v>
      </c>
      <c r="AM21" s="419">
        <f t="shared" si="15"/>
        <v>274998.4703300001</v>
      </c>
      <c r="AN21" s="419">
        <f t="shared" si="15"/>
        <v>0</v>
      </c>
      <c r="AO21" s="419">
        <f t="shared" si="15"/>
        <v>8131.3989999999994</v>
      </c>
      <c r="AP21" s="419">
        <f t="shared" si="15"/>
        <v>266867.07133000012</v>
      </c>
      <c r="AQ21" s="419">
        <f t="shared" si="15"/>
        <v>166989.27178100002</v>
      </c>
      <c r="AR21" s="419">
        <f t="shared" si="15"/>
        <v>166989.27178100002</v>
      </c>
      <c r="AS21" s="419">
        <f t="shared" si="15"/>
        <v>0</v>
      </c>
      <c r="AT21" s="419">
        <f t="shared" si="15"/>
        <v>83905.151373000015</v>
      </c>
      <c r="AU21" s="419">
        <f t="shared" si="15"/>
        <v>15972.648175999999</v>
      </c>
      <c r="AV21" s="419">
        <f t="shared" si="15"/>
        <v>43900.23</v>
      </c>
      <c r="AW21" s="419">
        <f t="shared" si="15"/>
        <v>0</v>
      </c>
      <c r="AX21" s="419">
        <f t="shared" si="15"/>
        <v>0</v>
      </c>
      <c r="AY21" s="419">
        <f t="shared" si="15"/>
        <v>43900.23</v>
      </c>
      <c r="AZ21" s="419">
        <f t="shared" si="15"/>
        <v>28413</v>
      </c>
      <c r="BA21" s="419">
        <f t="shared" si="15"/>
        <v>15487.230000000001</v>
      </c>
      <c r="BB21" s="419">
        <f t="shared" si="15"/>
        <v>0</v>
      </c>
      <c r="BC21" s="419">
        <f t="shared" ref="BC21:BX21" si="16">BC22+BC32+BC81</f>
        <v>22951.781913999999</v>
      </c>
      <c r="BD21" s="419">
        <f t="shared" si="16"/>
        <v>0</v>
      </c>
      <c r="BE21" s="419">
        <f t="shared" si="16"/>
        <v>0</v>
      </c>
      <c r="BF21" s="419">
        <f t="shared" si="16"/>
        <v>22951.781913999999</v>
      </c>
      <c r="BG21" s="419">
        <f t="shared" si="16"/>
        <v>9609.6578000000009</v>
      </c>
      <c r="BH21" s="419">
        <f t="shared" si="16"/>
        <v>9609.6578000000009</v>
      </c>
      <c r="BI21" s="419">
        <f t="shared" si="16"/>
        <v>0</v>
      </c>
      <c r="BJ21" s="419">
        <f t="shared" si="16"/>
        <v>13342.124114</v>
      </c>
      <c r="BK21" s="419">
        <f t="shared" si="16"/>
        <v>0</v>
      </c>
      <c r="BL21" s="419">
        <f t="shared" si="16"/>
        <v>3379.1110000000003</v>
      </c>
      <c r="BM21" s="419">
        <f t="shared" si="16"/>
        <v>0</v>
      </c>
      <c r="BN21" s="419">
        <f t="shared" si="16"/>
        <v>0</v>
      </c>
      <c r="BO21" s="419">
        <f t="shared" si="16"/>
        <v>3379.1110000000003</v>
      </c>
      <c r="BP21" s="419">
        <f t="shared" si="16"/>
        <v>3305.5149999999999</v>
      </c>
      <c r="BQ21" s="419">
        <f t="shared" si="16"/>
        <v>0</v>
      </c>
      <c r="BR21" s="419">
        <f t="shared" si="16"/>
        <v>0</v>
      </c>
      <c r="BS21" s="419">
        <f t="shared" si="16"/>
        <v>3305.5149999999999</v>
      </c>
      <c r="BT21" s="419">
        <f t="shared" si="16"/>
        <v>162112</v>
      </c>
      <c r="BU21" s="419">
        <f t="shared" si="16"/>
        <v>0</v>
      </c>
      <c r="BV21" s="419">
        <f t="shared" si="16"/>
        <v>162112</v>
      </c>
      <c r="BW21" s="419">
        <f t="shared" si="16"/>
        <v>0</v>
      </c>
      <c r="BX21" s="419">
        <f t="shared" si="16"/>
        <v>38</v>
      </c>
      <c r="BY21" s="419">
        <f t="shared" si="15"/>
        <v>0</v>
      </c>
    </row>
    <row r="22" spans="1:89" s="417" customFormat="1" ht="28.5" customHeight="1" outlineLevel="1">
      <c r="A22" s="430" t="s">
        <v>45</v>
      </c>
      <c r="B22" s="418" t="s">
        <v>1910</v>
      </c>
      <c r="C22" s="418"/>
      <c r="D22" s="418"/>
      <c r="E22" s="418"/>
      <c r="F22" s="418"/>
      <c r="G22" s="418"/>
      <c r="H22" s="419">
        <f t="shared" ref="H22" si="17">SUM(H23:H31)</f>
        <v>0</v>
      </c>
      <c r="I22" s="418"/>
      <c r="J22" s="418"/>
      <c r="K22" s="418"/>
      <c r="L22" s="418"/>
      <c r="M22" s="419">
        <f>SUM(M23:M31)</f>
        <v>89262</v>
      </c>
      <c r="N22" s="419">
        <f t="shared" ref="N22:BY22" si="18">SUM(N23:N31)</f>
        <v>0</v>
      </c>
      <c r="O22" s="419">
        <f t="shared" si="18"/>
        <v>0</v>
      </c>
      <c r="P22" s="419">
        <f t="shared" si="18"/>
        <v>89262</v>
      </c>
      <c r="Q22" s="419">
        <f t="shared" si="18"/>
        <v>0</v>
      </c>
      <c r="R22" s="419">
        <f t="shared" si="18"/>
        <v>0</v>
      </c>
      <c r="S22" s="419">
        <f t="shared" si="18"/>
        <v>0</v>
      </c>
      <c r="T22" s="419">
        <f t="shared" si="18"/>
        <v>0</v>
      </c>
      <c r="U22" s="419">
        <f t="shared" si="18"/>
        <v>39450.688999999998</v>
      </c>
      <c r="V22" s="419">
        <f t="shared" si="18"/>
        <v>0</v>
      </c>
      <c r="W22" s="419">
        <f t="shared" si="18"/>
        <v>6670</v>
      </c>
      <c r="X22" s="419">
        <f t="shared" si="18"/>
        <v>32780.688999999998</v>
      </c>
      <c r="Y22" s="419">
        <f t="shared" si="18"/>
        <v>44027</v>
      </c>
      <c r="Z22" s="419">
        <f t="shared" si="18"/>
        <v>0</v>
      </c>
      <c r="AA22" s="419">
        <f t="shared" si="18"/>
        <v>0</v>
      </c>
      <c r="AB22" s="419">
        <f t="shared" si="18"/>
        <v>44027</v>
      </c>
      <c r="AC22" s="419">
        <f t="shared" si="18"/>
        <v>4319</v>
      </c>
      <c r="AD22" s="419">
        <f t="shared" si="18"/>
        <v>39174</v>
      </c>
      <c r="AE22" s="419">
        <f t="shared" si="18"/>
        <v>534</v>
      </c>
      <c r="AF22" s="419">
        <f t="shared" si="18"/>
        <v>37289.135999999999</v>
      </c>
      <c r="AG22" s="419">
        <f t="shared" si="18"/>
        <v>0</v>
      </c>
      <c r="AH22" s="419">
        <f t="shared" si="18"/>
        <v>0</v>
      </c>
      <c r="AI22" s="419">
        <f t="shared" si="18"/>
        <v>37289.135999999999</v>
      </c>
      <c r="AJ22" s="419">
        <f t="shared" si="18"/>
        <v>1415.0440000000001</v>
      </c>
      <c r="AK22" s="419">
        <f t="shared" si="18"/>
        <v>35340.092000000004</v>
      </c>
      <c r="AL22" s="419">
        <f t="shared" si="18"/>
        <v>534</v>
      </c>
      <c r="AM22" s="419">
        <f t="shared" si="18"/>
        <v>33441.552363000003</v>
      </c>
      <c r="AN22" s="419">
        <f t="shared" si="18"/>
        <v>0</v>
      </c>
      <c r="AO22" s="419">
        <f t="shared" si="18"/>
        <v>0</v>
      </c>
      <c r="AP22" s="419">
        <f t="shared" si="18"/>
        <v>33441.552363000003</v>
      </c>
      <c r="AQ22" s="419">
        <f t="shared" si="18"/>
        <v>1415.0440000000001</v>
      </c>
      <c r="AR22" s="419">
        <f t="shared" si="18"/>
        <v>1415.0440000000001</v>
      </c>
      <c r="AS22" s="419">
        <f t="shared" si="18"/>
        <v>0</v>
      </c>
      <c r="AT22" s="419">
        <f t="shared" si="18"/>
        <v>31493.495363000002</v>
      </c>
      <c r="AU22" s="419">
        <f t="shared" si="18"/>
        <v>533.01300000000003</v>
      </c>
      <c r="AV22" s="419">
        <f t="shared" si="18"/>
        <v>6903</v>
      </c>
      <c r="AW22" s="419">
        <f t="shared" si="18"/>
        <v>0</v>
      </c>
      <c r="AX22" s="419">
        <f t="shared" si="18"/>
        <v>0</v>
      </c>
      <c r="AY22" s="419">
        <f t="shared" si="18"/>
        <v>6903</v>
      </c>
      <c r="AZ22" s="419">
        <f t="shared" si="18"/>
        <v>2903</v>
      </c>
      <c r="BA22" s="419">
        <f t="shared" si="18"/>
        <v>4000</v>
      </c>
      <c r="BB22" s="419">
        <f t="shared" si="18"/>
        <v>0</v>
      </c>
      <c r="BC22" s="419">
        <f t="shared" ref="BC22:BX22" si="19">SUM(BC23:BC31)</f>
        <v>6900</v>
      </c>
      <c r="BD22" s="419">
        <f t="shared" si="19"/>
        <v>0</v>
      </c>
      <c r="BE22" s="419">
        <f t="shared" si="19"/>
        <v>0</v>
      </c>
      <c r="BF22" s="419">
        <f t="shared" si="19"/>
        <v>6900</v>
      </c>
      <c r="BG22" s="419">
        <f t="shared" si="19"/>
        <v>2900</v>
      </c>
      <c r="BH22" s="419">
        <f t="shared" si="19"/>
        <v>2900</v>
      </c>
      <c r="BI22" s="419">
        <f t="shared" si="19"/>
        <v>0</v>
      </c>
      <c r="BJ22" s="419">
        <f t="shared" si="19"/>
        <v>4000</v>
      </c>
      <c r="BK22" s="419">
        <f t="shared" si="19"/>
        <v>0</v>
      </c>
      <c r="BL22" s="419">
        <f t="shared" si="19"/>
        <v>72.942999999999998</v>
      </c>
      <c r="BM22" s="419">
        <f t="shared" si="19"/>
        <v>0</v>
      </c>
      <c r="BN22" s="419">
        <f t="shared" si="19"/>
        <v>0</v>
      </c>
      <c r="BO22" s="419">
        <f t="shared" si="19"/>
        <v>72.942999999999998</v>
      </c>
      <c r="BP22" s="419">
        <f t="shared" si="19"/>
        <v>0</v>
      </c>
      <c r="BQ22" s="419">
        <f t="shared" si="19"/>
        <v>0</v>
      </c>
      <c r="BR22" s="419">
        <f t="shared" si="19"/>
        <v>0</v>
      </c>
      <c r="BS22" s="419">
        <f t="shared" si="19"/>
        <v>0</v>
      </c>
      <c r="BT22" s="419">
        <f t="shared" si="19"/>
        <v>1500</v>
      </c>
      <c r="BU22" s="419">
        <f t="shared" si="19"/>
        <v>0</v>
      </c>
      <c r="BV22" s="419">
        <f t="shared" si="19"/>
        <v>1500</v>
      </c>
      <c r="BW22" s="419">
        <f t="shared" si="19"/>
        <v>0</v>
      </c>
      <c r="BX22" s="419">
        <f t="shared" si="19"/>
        <v>0</v>
      </c>
      <c r="BY22" s="419">
        <f t="shared" si="18"/>
        <v>0</v>
      </c>
    </row>
    <row r="23" spans="1:89" ht="33.75" customHeight="1" outlineLevel="1">
      <c r="A23" s="420">
        <v>1</v>
      </c>
      <c r="B23" s="421" t="s">
        <v>2340</v>
      </c>
      <c r="C23" s="428" t="s">
        <v>2341</v>
      </c>
      <c r="D23" s="420" t="s">
        <v>2342</v>
      </c>
      <c r="E23" s="420" t="s">
        <v>49</v>
      </c>
      <c r="F23" s="431" t="s">
        <v>2343</v>
      </c>
      <c r="G23" s="143">
        <v>7775354</v>
      </c>
      <c r="H23" s="432" t="s">
        <v>2344</v>
      </c>
      <c r="I23" s="420" t="s">
        <v>2345</v>
      </c>
      <c r="J23" s="422">
        <v>2020</v>
      </c>
      <c r="K23" s="422"/>
      <c r="L23" s="420" t="s">
        <v>2346</v>
      </c>
      <c r="M23" s="144">
        <f>N23+O23+P23</f>
        <v>9700</v>
      </c>
      <c r="N23" s="422"/>
      <c r="O23" s="422"/>
      <c r="P23" s="144">
        <v>9700</v>
      </c>
      <c r="Q23" s="420" t="s">
        <v>2347</v>
      </c>
      <c r="R23" s="432" t="s">
        <v>2348</v>
      </c>
      <c r="S23" s="422" t="s">
        <v>2339</v>
      </c>
      <c r="T23" s="420" t="s">
        <v>2342</v>
      </c>
      <c r="U23" s="143">
        <f>V23+W23+X23</f>
        <v>7795.2</v>
      </c>
      <c r="V23" s="143"/>
      <c r="W23" s="143">
        <v>6670</v>
      </c>
      <c r="X23" s="143">
        <v>1125.2</v>
      </c>
      <c r="Y23" s="143">
        <f>SUM(Z23:AB23)</f>
        <v>1416</v>
      </c>
      <c r="Z23" s="143"/>
      <c r="AA23" s="143"/>
      <c r="AB23" s="143">
        <f t="shared" ref="AB23:AB31" si="20">AC23+AD23+AE23</f>
        <v>1416</v>
      </c>
      <c r="AC23" s="143">
        <v>1416</v>
      </c>
      <c r="AD23" s="143"/>
      <c r="AE23" s="143"/>
      <c r="AF23" s="143">
        <f>SUM(AG23:AI23)</f>
        <v>1415.0440000000001</v>
      </c>
      <c r="AG23" s="143"/>
      <c r="AH23" s="143"/>
      <c r="AI23" s="143">
        <f>SUM(AJ23:AL23)</f>
        <v>1415.0440000000001</v>
      </c>
      <c r="AJ23" s="143">
        <v>1415.0440000000001</v>
      </c>
      <c r="AK23" s="143"/>
      <c r="AL23" s="143"/>
      <c r="AM23" s="143">
        <v>1415.0440000000001</v>
      </c>
      <c r="AN23" s="143"/>
      <c r="AO23" s="143"/>
      <c r="AP23" s="143">
        <v>1415.0440000000001</v>
      </c>
      <c r="AQ23" s="143">
        <v>1415.0440000000001</v>
      </c>
      <c r="AR23" s="143">
        <v>1415.0440000000001</v>
      </c>
      <c r="AS23" s="143"/>
      <c r="AT23" s="143"/>
      <c r="AU23" s="143"/>
      <c r="AV23" s="143">
        <f>SUM(AW23:AY23)</f>
        <v>0</v>
      </c>
      <c r="AW23" s="143"/>
      <c r="AX23" s="143"/>
      <c r="AY23" s="143">
        <f>SUM(AZ23:BB23)</f>
        <v>0</v>
      </c>
      <c r="AZ23" s="143">
        <v>0</v>
      </c>
      <c r="BA23" s="143"/>
      <c r="BB23" s="143"/>
      <c r="BC23" s="143">
        <v>0</v>
      </c>
      <c r="BD23" s="143"/>
      <c r="BE23" s="143"/>
      <c r="BF23" s="143">
        <v>0</v>
      </c>
      <c r="BG23" s="143">
        <v>0</v>
      </c>
      <c r="BH23" s="143"/>
      <c r="BI23" s="143"/>
      <c r="BJ23" s="143"/>
      <c r="BK23" s="143"/>
      <c r="BL23" s="143"/>
      <c r="BM23" s="143"/>
      <c r="BN23" s="143"/>
      <c r="BO23" s="143"/>
      <c r="BP23" s="143"/>
      <c r="BQ23" s="143"/>
      <c r="BR23" s="143"/>
      <c r="BS23" s="143"/>
      <c r="BT23" s="143"/>
      <c r="BU23" s="143"/>
      <c r="BV23" s="143"/>
      <c r="BW23" s="143"/>
      <c r="BX23" s="230"/>
      <c r="BY23" s="433"/>
    </row>
    <row r="24" spans="1:89" ht="60" customHeight="1" outlineLevel="1">
      <c r="A24" s="420">
        <v>2</v>
      </c>
      <c r="B24" s="421" t="s">
        <v>2349</v>
      </c>
      <c r="C24" s="428" t="s">
        <v>2350</v>
      </c>
      <c r="D24" s="420" t="s">
        <v>2351</v>
      </c>
      <c r="E24" s="420" t="s">
        <v>49</v>
      </c>
      <c r="F24" s="431" t="s">
        <v>48</v>
      </c>
      <c r="G24" s="142">
        <v>7775355</v>
      </c>
      <c r="H24" s="420" t="s">
        <v>2352</v>
      </c>
      <c r="I24" s="420" t="s">
        <v>69</v>
      </c>
      <c r="J24" s="422">
        <v>2020</v>
      </c>
      <c r="K24" s="422"/>
      <c r="L24" s="420" t="s">
        <v>2353</v>
      </c>
      <c r="M24" s="149">
        <v>5680</v>
      </c>
      <c r="N24" s="422"/>
      <c r="O24" s="422"/>
      <c r="P24" s="149">
        <v>5680</v>
      </c>
      <c r="Q24" s="420" t="s">
        <v>2354</v>
      </c>
      <c r="R24" s="420" t="s">
        <v>2352</v>
      </c>
      <c r="S24" s="422" t="s">
        <v>2339</v>
      </c>
      <c r="T24" s="420" t="s">
        <v>2351</v>
      </c>
      <c r="U24" s="143">
        <f t="shared" ref="U24:U80" si="21">V24+W24+X24</f>
        <v>4843.9889999999996</v>
      </c>
      <c r="V24" s="420"/>
      <c r="W24" s="420"/>
      <c r="X24" s="143">
        <v>4843.9889999999996</v>
      </c>
      <c r="Y24" s="143">
        <f t="shared" ref="Y24:Y80" si="22">SUM(Z24:AB24)</f>
        <v>11</v>
      </c>
      <c r="Z24" s="143"/>
      <c r="AA24" s="143"/>
      <c r="AB24" s="143">
        <f t="shared" si="20"/>
        <v>11</v>
      </c>
      <c r="AC24" s="143">
        <v>0</v>
      </c>
      <c r="AD24" s="143">
        <v>11</v>
      </c>
      <c r="AE24" s="143"/>
      <c r="AF24" s="143">
        <f t="shared" ref="AF24:AF80" si="23">SUM(AG24:AI24)</f>
        <v>10.013999999999999</v>
      </c>
      <c r="AG24" s="143"/>
      <c r="AH24" s="143"/>
      <c r="AI24" s="143">
        <f t="shared" ref="AI24:AI80" si="24">SUM(AJ24:AL24)</f>
        <v>10.013999999999999</v>
      </c>
      <c r="AJ24" s="143">
        <v>0</v>
      </c>
      <c r="AK24" s="143">
        <v>10.013999999999999</v>
      </c>
      <c r="AL24" s="143"/>
      <c r="AM24" s="143">
        <v>10.013999999999999</v>
      </c>
      <c r="AN24" s="143"/>
      <c r="AO24" s="143"/>
      <c r="AP24" s="143">
        <v>10.013999999999999</v>
      </c>
      <c r="AQ24" s="143">
        <v>0</v>
      </c>
      <c r="AR24" s="143"/>
      <c r="AS24" s="143"/>
      <c r="AT24" s="143">
        <v>10.013999999999999</v>
      </c>
      <c r="AU24" s="143"/>
      <c r="AV24" s="143">
        <f t="shared" ref="AV24:AV80" si="25">SUM(AW24:AY24)</f>
        <v>0</v>
      </c>
      <c r="AW24" s="143"/>
      <c r="AX24" s="143"/>
      <c r="AY24" s="143">
        <f t="shared" ref="AY24:AY80" si="26">SUM(AZ24:BB24)</f>
        <v>0</v>
      </c>
      <c r="AZ24" s="143">
        <v>0</v>
      </c>
      <c r="BA24" s="143">
        <v>0</v>
      </c>
      <c r="BB24" s="143"/>
      <c r="BC24" s="143">
        <v>0</v>
      </c>
      <c r="BD24" s="143"/>
      <c r="BE24" s="143"/>
      <c r="BF24" s="143">
        <v>0</v>
      </c>
      <c r="BG24" s="143">
        <v>0</v>
      </c>
      <c r="BH24" s="143"/>
      <c r="BI24" s="143"/>
      <c r="BJ24" s="143"/>
      <c r="BK24" s="143"/>
      <c r="BL24" s="143"/>
      <c r="BM24" s="143"/>
      <c r="BN24" s="143"/>
      <c r="BO24" s="143"/>
      <c r="BP24" s="143"/>
      <c r="BQ24" s="143"/>
      <c r="BR24" s="143"/>
      <c r="BS24" s="143"/>
      <c r="BT24" s="143"/>
      <c r="BU24" s="143"/>
      <c r="BV24" s="143"/>
      <c r="BW24" s="143"/>
      <c r="BX24" s="230"/>
      <c r="BY24" s="433"/>
    </row>
    <row r="25" spans="1:89" ht="46.15" outlineLevel="1">
      <c r="A25" s="420">
        <v>3</v>
      </c>
      <c r="B25" s="421" t="s">
        <v>2355</v>
      </c>
      <c r="C25" s="428" t="s">
        <v>2350</v>
      </c>
      <c r="D25" s="420" t="s">
        <v>2351</v>
      </c>
      <c r="E25" s="420" t="s">
        <v>49</v>
      </c>
      <c r="F25" s="431" t="s">
        <v>48</v>
      </c>
      <c r="G25" s="151">
        <v>7775352</v>
      </c>
      <c r="H25" s="420" t="s">
        <v>2356</v>
      </c>
      <c r="I25" s="420" t="s">
        <v>69</v>
      </c>
      <c r="J25" s="422">
        <v>2020</v>
      </c>
      <c r="K25" s="422"/>
      <c r="L25" s="420" t="s">
        <v>2357</v>
      </c>
      <c r="M25" s="149">
        <v>26348</v>
      </c>
      <c r="N25" s="422"/>
      <c r="O25" s="422"/>
      <c r="P25" s="149">
        <v>26348</v>
      </c>
      <c r="Q25" s="420" t="s">
        <v>2358</v>
      </c>
      <c r="R25" s="420" t="s">
        <v>2356</v>
      </c>
      <c r="S25" s="422" t="s">
        <v>2339</v>
      </c>
      <c r="T25" s="420" t="s">
        <v>2351</v>
      </c>
      <c r="U25" s="143">
        <f t="shared" si="21"/>
        <v>3688.9</v>
      </c>
      <c r="V25" s="420"/>
      <c r="W25" s="420"/>
      <c r="X25" s="143">
        <v>3688.9</v>
      </c>
      <c r="Y25" s="143">
        <f t="shared" si="22"/>
        <v>21350</v>
      </c>
      <c r="Z25" s="143"/>
      <c r="AA25" s="143"/>
      <c r="AB25" s="143">
        <f t="shared" si="20"/>
        <v>21350</v>
      </c>
      <c r="AC25" s="143">
        <v>0</v>
      </c>
      <c r="AD25" s="143">
        <v>21350</v>
      </c>
      <c r="AE25" s="143"/>
      <c r="AF25" s="143">
        <f t="shared" si="23"/>
        <v>20004.749</v>
      </c>
      <c r="AG25" s="143"/>
      <c r="AH25" s="143"/>
      <c r="AI25" s="143">
        <f t="shared" si="24"/>
        <v>20004.749</v>
      </c>
      <c r="AJ25" s="143">
        <v>0</v>
      </c>
      <c r="AK25" s="143">
        <v>20004.749</v>
      </c>
      <c r="AL25" s="143"/>
      <c r="AM25" s="143">
        <v>16233.010379000001</v>
      </c>
      <c r="AN25" s="143"/>
      <c r="AO25" s="143"/>
      <c r="AP25" s="143">
        <v>16233.010379000001</v>
      </c>
      <c r="AQ25" s="143">
        <v>0</v>
      </c>
      <c r="AR25" s="143"/>
      <c r="AS25" s="143"/>
      <c r="AT25" s="143">
        <v>16233.010379000001</v>
      </c>
      <c r="AU25" s="143"/>
      <c r="AV25" s="143">
        <f t="shared" si="25"/>
        <v>4000</v>
      </c>
      <c r="AW25" s="143"/>
      <c r="AX25" s="143"/>
      <c r="AY25" s="143">
        <f t="shared" si="26"/>
        <v>4000</v>
      </c>
      <c r="AZ25" s="143">
        <v>0</v>
      </c>
      <c r="BA25" s="143">
        <v>4000</v>
      </c>
      <c r="BB25" s="143"/>
      <c r="BC25" s="143">
        <v>4000</v>
      </c>
      <c r="BD25" s="143"/>
      <c r="BE25" s="143"/>
      <c r="BF25" s="143">
        <v>4000</v>
      </c>
      <c r="BG25" s="143">
        <v>0</v>
      </c>
      <c r="BH25" s="143"/>
      <c r="BI25" s="143"/>
      <c r="BJ25" s="143">
        <v>4000</v>
      </c>
      <c r="BK25" s="143"/>
      <c r="BL25" s="143"/>
      <c r="BM25" s="143"/>
      <c r="BN25" s="143"/>
      <c r="BO25" s="143"/>
      <c r="BP25" s="143"/>
      <c r="BQ25" s="143"/>
      <c r="BR25" s="143"/>
      <c r="BS25" s="143"/>
      <c r="BT25" s="143"/>
      <c r="BU25" s="143"/>
      <c r="BV25" s="143"/>
      <c r="BW25" s="143"/>
      <c r="BX25" s="230"/>
      <c r="BY25" s="433"/>
    </row>
    <row r="26" spans="1:89" ht="36.75" customHeight="1" outlineLevel="1">
      <c r="A26" s="420">
        <v>4</v>
      </c>
      <c r="B26" s="421" t="s">
        <v>2359</v>
      </c>
      <c r="C26" s="428" t="s">
        <v>2350</v>
      </c>
      <c r="D26" s="420" t="s">
        <v>2351</v>
      </c>
      <c r="E26" s="420" t="s">
        <v>49</v>
      </c>
      <c r="F26" s="431" t="s">
        <v>2343</v>
      </c>
      <c r="G26" s="248">
        <v>7775360</v>
      </c>
      <c r="H26" s="420" t="s">
        <v>2360</v>
      </c>
      <c r="I26" s="420" t="s">
        <v>69</v>
      </c>
      <c r="J26" s="422">
        <v>2020</v>
      </c>
      <c r="K26" s="422"/>
      <c r="L26" s="420" t="s">
        <v>2361</v>
      </c>
      <c r="M26" s="149">
        <v>12000</v>
      </c>
      <c r="N26" s="422"/>
      <c r="O26" s="422"/>
      <c r="P26" s="149">
        <v>12000</v>
      </c>
      <c r="Q26" s="420" t="s">
        <v>2362</v>
      </c>
      <c r="R26" s="420" t="s">
        <v>2360</v>
      </c>
      <c r="S26" s="422" t="s">
        <v>2339</v>
      </c>
      <c r="T26" s="420" t="s">
        <v>2351</v>
      </c>
      <c r="U26" s="143">
        <f t="shared" si="21"/>
        <v>3950</v>
      </c>
      <c r="V26" s="420"/>
      <c r="W26" s="420"/>
      <c r="X26" s="143">
        <v>3950</v>
      </c>
      <c r="Y26" s="143">
        <f t="shared" si="22"/>
        <v>7350</v>
      </c>
      <c r="Z26" s="143"/>
      <c r="AA26" s="143"/>
      <c r="AB26" s="143">
        <f t="shared" si="20"/>
        <v>7350</v>
      </c>
      <c r="AC26" s="143">
        <v>0</v>
      </c>
      <c r="AD26" s="143">
        <v>7350</v>
      </c>
      <c r="AE26" s="143"/>
      <c r="AF26" s="143">
        <f t="shared" si="23"/>
        <v>7346.1350000000002</v>
      </c>
      <c r="AG26" s="143"/>
      <c r="AH26" s="143"/>
      <c r="AI26" s="143">
        <f t="shared" si="24"/>
        <v>7346.1350000000002</v>
      </c>
      <c r="AJ26" s="143">
        <v>0</v>
      </c>
      <c r="AK26" s="143">
        <v>7346.1350000000002</v>
      </c>
      <c r="AL26" s="143"/>
      <c r="AM26" s="143">
        <v>7346.1379999999999</v>
      </c>
      <c r="AN26" s="143"/>
      <c r="AO26" s="143"/>
      <c r="AP26" s="143">
        <v>7346.1379999999999</v>
      </c>
      <c r="AQ26" s="143">
        <v>0</v>
      </c>
      <c r="AR26" s="143"/>
      <c r="AS26" s="143"/>
      <c r="AT26" s="143">
        <v>7346.1379999999999</v>
      </c>
      <c r="AU26" s="143"/>
      <c r="AV26" s="143">
        <f t="shared" si="25"/>
        <v>0</v>
      </c>
      <c r="AW26" s="143"/>
      <c r="AX26" s="143"/>
      <c r="AY26" s="143">
        <f t="shared" si="26"/>
        <v>0</v>
      </c>
      <c r="AZ26" s="143">
        <v>0</v>
      </c>
      <c r="BA26" s="143">
        <v>0</v>
      </c>
      <c r="BB26" s="143"/>
      <c r="BC26" s="143">
        <v>0</v>
      </c>
      <c r="BD26" s="143"/>
      <c r="BE26" s="143"/>
      <c r="BF26" s="143">
        <v>0</v>
      </c>
      <c r="BG26" s="143">
        <v>0</v>
      </c>
      <c r="BH26" s="143"/>
      <c r="BI26" s="143"/>
      <c r="BJ26" s="143"/>
      <c r="BK26" s="143"/>
      <c r="BL26" s="143"/>
      <c r="BM26" s="143"/>
      <c r="BN26" s="143"/>
      <c r="BO26" s="143"/>
      <c r="BP26" s="143"/>
      <c r="BQ26" s="143"/>
      <c r="BR26" s="143"/>
      <c r="BS26" s="143"/>
      <c r="BT26" s="143"/>
      <c r="BU26" s="143"/>
      <c r="BV26" s="143"/>
      <c r="BW26" s="143"/>
      <c r="BX26" s="230"/>
      <c r="BY26" s="433"/>
    </row>
    <row r="27" spans="1:89" ht="69.75" customHeight="1" outlineLevel="1">
      <c r="A27" s="420">
        <v>5</v>
      </c>
      <c r="B27" s="421" t="s">
        <v>2363</v>
      </c>
      <c r="C27" s="428" t="s">
        <v>2350</v>
      </c>
      <c r="D27" s="420" t="s">
        <v>2351</v>
      </c>
      <c r="E27" s="420" t="s">
        <v>49</v>
      </c>
      <c r="F27" s="431" t="s">
        <v>125</v>
      </c>
      <c r="G27" s="248">
        <v>7897129</v>
      </c>
      <c r="H27" s="420" t="s">
        <v>2364</v>
      </c>
      <c r="I27" s="420" t="s">
        <v>76</v>
      </c>
      <c r="J27" s="422">
        <v>2022</v>
      </c>
      <c r="K27" s="422"/>
      <c r="L27" s="420" t="s">
        <v>2365</v>
      </c>
      <c r="M27" s="149">
        <v>4862</v>
      </c>
      <c r="N27" s="422"/>
      <c r="O27" s="422"/>
      <c r="P27" s="149">
        <v>4862</v>
      </c>
      <c r="Q27" s="420" t="s">
        <v>2366</v>
      </c>
      <c r="R27" s="420" t="s">
        <v>2364</v>
      </c>
      <c r="S27" s="422" t="s">
        <v>2339</v>
      </c>
      <c r="T27" s="420" t="s">
        <v>2351</v>
      </c>
      <c r="U27" s="143">
        <f t="shared" si="21"/>
        <v>0</v>
      </c>
      <c r="V27" s="420"/>
      <c r="W27" s="420"/>
      <c r="X27" s="143"/>
      <c r="Y27" s="143">
        <f t="shared" si="22"/>
        <v>4862</v>
      </c>
      <c r="Z27" s="143"/>
      <c r="AA27" s="143"/>
      <c r="AB27" s="143">
        <f t="shared" si="20"/>
        <v>4862</v>
      </c>
      <c r="AC27" s="143">
        <v>2903</v>
      </c>
      <c r="AD27" s="143">
        <v>1959</v>
      </c>
      <c r="AE27" s="143"/>
      <c r="AF27" s="143">
        <f t="shared" si="23"/>
        <v>1474.694</v>
      </c>
      <c r="AG27" s="143"/>
      <c r="AH27" s="143"/>
      <c r="AI27" s="143">
        <f t="shared" si="24"/>
        <v>1474.694</v>
      </c>
      <c r="AJ27" s="143">
        <v>0</v>
      </c>
      <c r="AK27" s="143">
        <v>1474.694</v>
      </c>
      <c r="AL27" s="143"/>
      <c r="AM27" s="143">
        <v>1401.2299840000001</v>
      </c>
      <c r="AN27" s="143"/>
      <c r="AO27" s="143"/>
      <c r="AP27" s="143">
        <v>1401.2299840000001</v>
      </c>
      <c r="AQ27" s="143">
        <v>0</v>
      </c>
      <c r="AR27" s="143"/>
      <c r="AS27" s="143"/>
      <c r="AT27" s="143">
        <v>1401.2299840000001</v>
      </c>
      <c r="AU27" s="143"/>
      <c r="AV27" s="143">
        <f t="shared" si="25"/>
        <v>2903</v>
      </c>
      <c r="AW27" s="143"/>
      <c r="AX27" s="143"/>
      <c r="AY27" s="143">
        <f t="shared" si="26"/>
        <v>2903</v>
      </c>
      <c r="AZ27" s="143">
        <v>2903</v>
      </c>
      <c r="BA27" s="143">
        <v>0</v>
      </c>
      <c r="BB27" s="143"/>
      <c r="BC27" s="143">
        <v>2900</v>
      </c>
      <c r="BD27" s="143"/>
      <c r="BE27" s="143"/>
      <c r="BF27" s="143">
        <v>2900</v>
      </c>
      <c r="BG27" s="143">
        <v>2900</v>
      </c>
      <c r="BH27" s="143">
        <v>2900</v>
      </c>
      <c r="BI27" s="143"/>
      <c r="BJ27" s="143"/>
      <c r="BK27" s="143"/>
      <c r="BL27" s="143">
        <v>72.942999999999998</v>
      </c>
      <c r="BM27" s="143"/>
      <c r="BN27" s="143"/>
      <c r="BO27" s="143">
        <v>72.942999999999998</v>
      </c>
      <c r="BP27" s="143"/>
      <c r="BQ27" s="143"/>
      <c r="BR27" s="143"/>
      <c r="BS27" s="143"/>
      <c r="BT27" s="143"/>
      <c r="BU27" s="143"/>
      <c r="BV27" s="143"/>
      <c r="BW27" s="143"/>
      <c r="BX27" s="230"/>
      <c r="BY27" s="433"/>
    </row>
    <row r="28" spans="1:89" ht="39.75" customHeight="1" outlineLevel="1">
      <c r="A28" s="420">
        <v>6</v>
      </c>
      <c r="B28" s="421" t="s">
        <v>2367</v>
      </c>
      <c r="C28" s="428" t="s">
        <v>2350</v>
      </c>
      <c r="D28" s="420" t="s">
        <v>2351</v>
      </c>
      <c r="E28" s="420" t="s">
        <v>49</v>
      </c>
      <c r="F28" s="431" t="s">
        <v>48</v>
      </c>
      <c r="G28" s="142">
        <v>7729569</v>
      </c>
      <c r="H28" s="432" t="s">
        <v>2368</v>
      </c>
      <c r="I28" s="420" t="s">
        <v>70</v>
      </c>
      <c r="J28" s="422">
        <v>2019</v>
      </c>
      <c r="K28" s="422"/>
      <c r="L28" s="420" t="s">
        <v>2369</v>
      </c>
      <c r="M28" s="142">
        <v>20085</v>
      </c>
      <c r="N28" s="422"/>
      <c r="O28" s="422"/>
      <c r="P28" s="142">
        <v>20085</v>
      </c>
      <c r="Q28" s="420" t="s">
        <v>2370</v>
      </c>
      <c r="R28" s="432" t="s">
        <v>2368</v>
      </c>
      <c r="S28" s="422" t="s">
        <v>2339</v>
      </c>
      <c r="T28" s="420" t="s">
        <v>2351</v>
      </c>
      <c r="U28" s="143">
        <f t="shared" si="21"/>
        <v>16001</v>
      </c>
      <c r="V28" s="420"/>
      <c r="W28" s="420"/>
      <c r="X28" s="143">
        <v>16001</v>
      </c>
      <c r="Y28" s="143">
        <f t="shared" si="22"/>
        <v>2076</v>
      </c>
      <c r="Z28" s="143"/>
      <c r="AA28" s="143"/>
      <c r="AB28" s="143">
        <f t="shared" si="20"/>
        <v>2076</v>
      </c>
      <c r="AC28" s="143">
        <v>0</v>
      </c>
      <c r="AD28" s="143">
        <v>2076</v>
      </c>
      <c r="AE28" s="143"/>
      <c r="AF28" s="143">
        <f t="shared" si="23"/>
        <v>76.5</v>
      </c>
      <c r="AG28" s="143"/>
      <c r="AH28" s="143"/>
      <c r="AI28" s="143">
        <f t="shared" si="24"/>
        <v>76.5</v>
      </c>
      <c r="AJ28" s="143">
        <v>0</v>
      </c>
      <c r="AK28" s="143">
        <v>76.5</v>
      </c>
      <c r="AL28" s="143"/>
      <c r="AM28" s="143">
        <v>76.284999999999997</v>
      </c>
      <c r="AN28" s="143"/>
      <c r="AO28" s="143"/>
      <c r="AP28" s="143">
        <v>76.284999999999997</v>
      </c>
      <c r="AQ28" s="143">
        <v>0</v>
      </c>
      <c r="AR28" s="143"/>
      <c r="AS28" s="143"/>
      <c r="AT28" s="143">
        <v>76.284999999999997</v>
      </c>
      <c r="AU28" s="143"/>
      <c r="AV28" s="143">
        <f t="shared" si="25"/>
        <v>0</v>
      </c>
      <c r="AW28" s="143"/>
      <c r="AX28" s="143"/>
      <c r="AY28" s="143">
        <f t="shared" si="26"/>
        <v>0</v>
      </c>
      <c r="AZ28" s="143">
        <v>0</v>
      </c>
      <c r="BA28" s="143">
        <v>0</v>
      </c>
      <c r="BB28" s="143"/>
      <c r="BC28" s="143">
        <v>0</v>
      </c>
      <c r="BD28" s="143"/>
      <c r="BE28" s="143"/>
      <c r="BF28" s="143">
        <v>0</v>
      </c>
      <c r="BG28" s="143">
        <v>0</v>
      </c>
      <c r="BH28" s="143"/>
      <c r="BI28" s="143"/>
      <c r="BJ28" s="143"/>
      <c r="BK28" s="143"/>
      <c r="BL28" s="143"/>
      <c r="BM28" s="143"/>
      <c r="BN28" s="143"/>
      <c r="BO28" s="143"/>
      <c r="BP28" s="143"/>
      <c r="BQ28" s="143"/>
      <c r="BR28" s="143"/>
      <c r="BS28" s="143"/>
      <c r="BT28" s="143">
        <v>1500</v>
      </c>
      <c r="BU28" s="143"/>
      <c r="BV28" s="143">
        <v>1500</v>
      </c>
      <c r="BW28" s="143"/>
      <c r="BX28" s="230"/>
      <c r="BY28" s="434"/>
    </row>
    <row r="29" spans="1:89" ht="36.75" customHeight="1" outlineLevel="1">
      <c r="A29" s="420">
        <v>7</v>
      </c>
      <c r="B29" s="421" t="s">
        <v>2371</v>
      </c>
      <c r="C29" s="428" t="s">
        <v>2350</v>
      </c>
      <c r="D29" s="420" t="s">
        <v>2351</v>
      </c>
      <c r="E29" s="420" t="s">
        <v>49</v>
      </c>
      <c r="F29" s="431" t="s">
        <v>2372</v>
      </c>
      <c r="G29" s="142">
        <v>7775367</v>
      </c>
      <c r="H29" s="420" t="s">
        <v>2364</v>
      </c>
      <c r="I29" s="420" t="s">
        <v>81</v>
      </c>
      <c r="J29" s="422">
        <v>2020</v>
      </c>
      <c r="K29" s="422"/>
      <c r="L29" s="420" t="s">
        <v>2373</v>
      </c>
      <c r="M29" s="149">
        <v>10587</v>
      </c>
      <c r="N29" s="422"/>
      <c r="O29" s="422"/>
      <c r="P29" s="149">
        <v>10587</v>
      </c>
      <c r="Q29" s="420" t="s">
        <v>2374</v>
      </c>
      <c r="R29" s="420" t="s">
        <v>2364</v>
      </c>
      <c r="S29" s="422" t="s">
        <v>2339</v>
      </c>
      <c r="T29" s="420" t="s">
        <v>2351</v>
      </c>
      <c r="U29" s="143">
        <f t="shared" si="21"/>
        <v>3171.6</v>
      </c>
      <c r="V29" s="420"/>
      <c r="W29" s="420"/>
      <c r="X29" s="143">
        <v>3171.6</v>
      </c>
      <c r="Y29" s="143">
        <f t="shared" si="22"/>
        <v>6428</v>
      </c>
      <c r="Z29" s="143"/>
      <c r="AA29" s="143"/>
      <c r="AB29" s="143">
        <f t="shared" si="20"/>
        <v>6428</v>
      </c>
      <c r="AC29" s="143">
        <v>0</v>
      </c>
      <c r="AD29" s="143">
        <v>6428</v>
      </c>
      <c r="AE29" s="143"/>
      <c r="AF29" s="143">
        <f t="shared" si="23"/>
        <v>6428</v>
      </c>
      <c r="AG29" s="143"/>
      <c r="AH29" s="143"/>
      <c r="AI29" s="143">
        <f t="shared" si="24"/>
        <v>6428</v>
      </c>
      <c r="AJ29" s="143">
        <v>0</v>
      </c>
      <c r="AK29" s="143">
        <v>6428</v>
      </c>
      <c r="AL29" s="143"/>
      <c r="AM29" s="143">
        <v>6426.8179999999993</v>
      </c>
      <c r="AN29" s="143"/>
      <c r="AO29" s="143"/>
      <c r="AP29" s="143">
        <v>6426.8179999999993</v>
      </c>
      <c r="AQ29" s="143">
        <v>0</v>
      </c>
      <c r="AR29" s="143"/>
      <c r="AS29" s="143"/>
      <c r="AT29" s="143">
        <v>6426.8179999999993</v>
      </c>
      <c r="AU29" s="143"/>
      <c r="AV29" s="143">
        <f t="shared" si="25"/>
        <v>0</v>
      </c>
      <c r="AW29" s="143"/>
      <c r="AX29" s="143"/>
      <c r="AY29" s="143">
        <f t="shared" si="26"/>
        <v>0</v>
      </c>
      <c r="AZ29" s="143">
        <v>0</v>
      </c>
      <c r="BA29" s="143">
        <v>0</v>
      </c>
      <c r="BB29" s="143"/>
      <c r="BC29" s="143">
        <v>0</v>
      </c>
      <c r="BD29" s="143"/>
      <c r="BE29" s="143"/>
      <c r="BF29" s="143">
        <v>0</v>
      </c>
      <c r="BG29" s="143">
        <v>0</v>
      </c>
      <c r="BH29" s="143"/>
      <c r="BI29" s="143"/>
      <c r="BJ29" s="143"/>
      <c r="BK29" s="143"/>
      <c r="BL29" s="143"/>
      <c r="BM29" s="143"/>
      <c r="BN29" s="143"/>
      <c r="BO29" s="143"/>
      <c r="BP29" s="143"/>
      <c r="BQ29" s="143"/>
      <c r="BR29" s="143"/>
      <c r="BS29" s="143"/>
      <c r="BT29" s="143">
        <v>0</v>
      </c>
      <c r="BU29" s="143">
        <v>0</v>
      </c>
      <c r="BV29" s="143">
        <v>0</v>
      </c>
      <c r="BW29" s="143">
        <v>0</v>
      </c>
      <c r="BX29" s="230"/>
      <c r="BY29" s="433"/>
    </row>
    <row r="30" spans="1:89" ht="39.75" customHeight="1" outlineLevel="1">
      <c r="A30" s="420">
        <v>8</v>
      </c>
      <c r="B30" s="435" t="s">
        <v>2375</v>
      </c>
      <c r="C30" s="428" t="s">
        <v>2350</v>
      </c>
      <c r="D30" s="420" t="s">
        <v>2351</v>
      </c>
      <c r="E30" s="420" t="s">
        <v>49</v>
      </c>
      <c r="F30" s="431" t="s">
        <v>48</v>
      </c>
      <c r="G30" s="150">
        <v>7242124</v>
      </c>
      <c r="H30" s="420" t="s">
        <v>2376</v>
      </c>
      <c r="I30" s="420"/>
      <c r="J30" s="422"/>
      <c r="K30" s="424"/>
      <c r="L30" s="436" t="s">
        <v>2377</v>
      </c>
      <c r="M30" s="146"/>
      <c r="N30" s="424"/>
      <c r="O30" s="424"/>
      <c r="P30" s="424"/>
      <c r="Q30" s="420"/>
      <c r="R30" s="420" t="s">
        <v>2376</v>
      </c>
      <c r="S30" s="422" t="s">
        <v>2339</v>
      </c>
      <c r="T30" s="420" t="s">
        <v>2351</v>
      </c>
      <c r="U30" s="143">
        <f t="shared" si="21"/>
        <v>0</v>
      </c>
      <c r="V30" s="421"/>
      <c r="W30" s="421"/>
      <c r="X30" s="421"/>
      <c r="Y30" s="143">
        <f t="shared" si="22"/>
        <v>336</v>
      </c>
      <c r="Z30" s="143"/>
      <c r="AA30" s="143"/>
      <c r="AB30" s="143">
        <f t="shared" si="20"/>
        <v>336</v>
      </c>
      <c r="AC30" s="143">
        <v>0</v>
      </c>
      <c r="AD30" s="144"/>
      <c r="AE30" s="144">
        <v>336</v>
      </c>
      <c r="AF30" s="143">
        <f t="shared" si="23"/>
        <v>336</v>
      </c>
      <c r="AG30" s="143"/>
      <c r="AH30" s="143"/>
      <c r="AI30" s="143">
        <f t="shared" si="24"/>
        <v>336</v>
      </c>
      <c r="AJ30" s="143">
        <v>0</v>
      </c>
      <c r="AK30" s="144"/>
      <c r="AL30" s="144">
        <v>336</v>
      </c>
      <c r="AM30" s="143">
        <v>335.77600000000001</v>
      </c>
      <c r="AN30" s="143"/>
      <c r="AO30" s="143"/>
      <c r="AP30" s="143">
        <v>335.77600000000001</v>
      </c>
      <c r="AQ30" s="143">
        <v>0</v>
      </c>
      <c r="AR30" s="144"/>
      <c r="AS30" s="144"/>
      <c r="AT30" s="144"/>
      <c r="AU30" s="144">
        <v>335.77600000000001</v>
      </c>
      <c r="AV30" s="143">
        <f t="shared" si="25"/>
        <v>0</v>
      </c>
      <c r="AW30" s="143"/>
      <c r="AX30" s="143"/>
      <c r="AY30" s="143">
        <f t="shared" si="26"/>
        <v>0</v>
      </c>
      <c r="AZ30" s="143">
        <v>0</v>
      </c>
      <c r="BA30" s="144"/>
      <c r="BB30" s="144"/>
      <c r="BC30" s="143">
        <v>0</v>
      </c>
      <c r="BD30" s="143"/>
      <c r="BE30" s="143"/>
      <c r="BF30" s="143">
        <v>0</v>
      </c>
      <c r="BG30" s="143">
        <v>0</v>
      </c>
      <c r="BH30" s="148"/>
      <c r="BI30" s="148"/>
      <c r="BJ30" s="148"/>
      <c r="BK30" s="153"/>
      <c r="BL30" s="153"/>
      <c r="BM30" s="153"/>
      <c r="BN30" s="153"/>
      <c r="BO30" s="153"/>
      <c r="BP30" s="153"/>
      <c r="BQ30" s="153"/>
      <c r="BR30" s="153"/>
      <c r="BS30" s="153"/>
      <c r="BT30" s="143">
        <v>0</v>
      </c>
      <c r="BU30" s="143">
        <v>0</v>
      </c>
      <c r="BV30" s="143">
        <v>0</v>
      </c>
      <c r="BW30" s="143">
        <v>0</v>
      </c>
      <c r="BX30" s="230"/>
      <c r="BY30" s="426"/>
    </row>
    <row r="31" spans="1:89" ht="36" customHeight="1" outlineLevel="1">
      <c r="A31" s="420">
        <v>9</v>
      </c>
      <c r="B31" s="435" t="s">
        <v>2378</v>
      </c>
      <c r="C31" s="428" t="s">
        <v>2350</v>
      </c>
      <c r="D31" s="420" t="s">
        <v>2351</v>
      </c>
      <c r="E31" s="420" t="s">
        <v>49</v>
      </c>
      <c r="F31" s="420" t="s">
        <v>2343</v>
      </c>
      <c r="G31" s="150">
        <v>7470385</v>
      </c>
      <c r="H31" s="437" t="s">
        <v>2379</v>
      </c>
      <c r="I31" s="420" t="s">
        <v>69</v>
      </c>
      <c r="J31" s="422">
        <v>2020</v>
      </c>
      <c r="K31" s="424"/>
      <c r="L31" s="436"/>
      <c r="M31" s="146"/>
      <c r="N31" s="424"/>
      <c r="O31" s="424"/>
      <c r="P31" s="424"/>
      <c r="Q31" s="438" t="s">
        <v>2380</v>
      </c>
      <c r="R31" s="437" t="s">
        <v>2379</v>
      </c>
      <c r="S31" s="422" t="s">
        <v>2339</v>
      </c>
      <c r="T31" s="420" t="s">
        <v>2351</v>
      </c>
      <c r="U31" s="143">
        <f t="shared" si="21"/>
        <v>0</v>
      </c>
      <c r="V31" s="421"/>
      <c r="W31" s="421"/>
      <c r="X31" s="421"/>
      <c r="Y31" s="143">
        <f t="shared" si="22"/>
        <v>198</v>
      </c>
      <c r="Z31" s="143"/>
      <c r="AA31" s="143"/>
      <c r="AB31" s="143">
        <f t="shared" si="20"/>
        <v>198</v>
      </c>
      <c r="AC31" s="143">
        <v>0</v>
      </c>
      <c r="AD31" s="144"/>
      <c r="AE31" s="144">
        <v>198</v>
      </c>
      <c r="AF31" s="143">
        <f t="shared" si="23"/>
        <v>198</v>
      </c>
      <c r="AG31" s="143"/>
      <c r="AH31" s="143"/>
      <c r="AI31" s="143">
        <f t="shared" si="24"/>
        <v>198</v>
      </c>
      <c r="AJ31" s="143">
        <v>0</v>
      </c>
      <c r="AK31" s="144"/>
      <c r="AL31" s="144">
        <v>198</v>
      </c>
      <c r="AM31" s="143">
        <v>197.23699999999999</v>
      </c>
      <c r="AN31" s="143"/>
      <c r="AO31" s="143"/>
      <c r="AP31" s="143">
        <v>197.23699999999999</v>
      </c>
      <c r="AQ31" s="143">
        <v>0</v>
      </c>
      <c r="AR31" s="144"/>
      <c r="AS31" s="144"/>
      <c r="AT31" s="144"/>
      <c r="AU31" s="144">
        <v>197.23699999999999</v>
      </c>
      <c r="AV31" s="143">
        <f t="shared" si="25"/>
        <v>0</v>
      </c>
      <c r="AW31" s="143"/>
      <c r="AX31" s="143"/>
      <c r="AY31" s="143">
        <f t="shared" si="26"/>
        <v>0</v>
      </c>
      <c r="AZ31" s="143">
        <v>0</v>
      </c>
      <c r="BA31" s="144"/>
      <c r="BB31" s="144"/>
      <c r="BC31" s="143">
        <v>0</v>
      </c>
      <c r="BD31" s="143"/>
      <c r="BE31" s="143"/>
      <c r="BF31" s="143">
        <v>0</v>
      </c>
      <c r="BG31" s="143">
        <v>0</v>
      </c>
      <c r="BH31" s="148"/>
      <c r="BI31" s="148"/>
      <c r="BJ31" s="148"/>
      <c r="BK31" s="153"/>
      <c r="BL31" s="153"/>
      <c r="BM31" s="153"/>
      <c r="BN31" s="153"/>
      <c r="BO31" s="153"/>
      <c r="BP31" s="153"/>
      <c r="BQ31" s="153"/>
      <c r="BR31" s="153"/>
      <c r="BS31" s="153"/>
      <c r="BT31" s="153">
        <v>0</v>
      </c>
      <c r="BU31" s="153">
        <v>0</v>
      </c>
      <c r="BV31" s="153">
        <v>0</v>
      </c>
      <c r="BW31" s="153">
        <v>0</v>
      </c>
      <c r="BX31" s="232"/>
      <c r="BY31" s="426"/>
    </row>
    <row r="32" spans="1:89" s="417" customFormat="1" ht="28.5" customHeight="1" outlineLevel="1">
      <c r="A32" s="430" t="s">
        <v>45</v>
      </c>
      <c r="B32" s="418" t="s">
        <v>51</v>
      </c>
      <c r="C32" s="418"/>
      <c r="D32" s="418"/>
      <c r="E32" s="418"/>
      <c r="F32" s="418"/>
      <c r="G32" s="418"/>
      <c r="H32" s="419">
        <f>SUM(H33:H89)</f>
        <v>0</v>
      </c>
      <c r="I32" s="418"/>
      <c r="J32" s="418"/>
      <c r="K32" s="418"/>
      <c r="L32" s="418"/>
      <c r="M32" s="419">
        <f>SUM(M33:M80)</f>
        <v>979188.9360000001</v>
      </c>
      <c r="N32" s="419">
        <f t="shared" ref="N32:BY32" si="27">SUM(N33:N80)</f>
        <v>100000</v>
      </c>
      <c r="O32" s="419">
        <f t="shared" si="27"/>
        <v>236887</v>
      </c>
      <c r="P32" s="419">
        <f t="shared" si="27"/>
        <v>421181.01999999996</v>
      </c>
      <c r="Q32" s="419">
        <f t="shared" si="27"/>
        <v>0</v>
      </c>
      <c r="R32" s="419">
        <f t="shared" si="27"/>
        <v>0</v>
      </c>
      <c r="S32" s="419">
        <f t="shared" si="27"/>
        <v>0</v>
      </c>
      <c r="T32" s="419">
        <f t="shared" si="27"/>
        <v>0</v>
      </c>
      <c r="U32" s="419">
        <f t="shared" si="27"/>
        <v>0</v>
      </c>
      <c r="V32" s="419">
        <f t="shared" si="27"/>
        <v>0</v>
      </c>
      <c r="W32" s="419">
        <f t="shared" si="27"/>
        <v>0</v>
      </c>
      <c r="X32" s="419">
        <f t="shared" si="27"/>
        <v>0</v>
      </c>
      <c r="Y32" s="419">
        <f t="shared" si="27"/>
        <v>429352</v>
      </c>
      <c r="Z32" s="419">
        <f t="shared" si="27"/>
        <v>0</v>
      </c>
      <c r="AA32" s="419">
        <f t="shared" si="27"/>
        <v>0</v>
      </c>
      <c r="AB32" s="419">
        <f t="shared" si="27"/>
        <v>429352</v>
      </c>
      <c r="AC32" s="419">
        <f t="shared" si="27"/>
        <v>234314</v>
      </c>
      <c r="AD32" s="419">
        <f t="shared" si="27"/>
        <v>174853</v>
      </c>
      <c r="AE32" s="419">
        <f t="shared" si="27"/>
        <v>20185</v>
      </c>
      <c r="AF32" s="419">
        <f t="shared" si="27"/>
        <v>295385.28899999999</v>
      </c>
      <c r="AG32" s="419">
        <f t="shared" si="27"/>
        <v>0</v>
      </c>
      <c r="AH32" s="419">
        <f t="shared" si="27"/>
        <v>0</v>
      </c>
      <c r="AI32" s="419">
        <f t="shared" si="27"/>
        <v>295385.28899999999</v>
      </c>
      <c r="AJ32" s="419">
        <f t="shared" si="27"/>
        <v>208983.31200000001</v>
      </c>
      <c r="AK32" s="419">
        <f t="shared" si="27"/>
        <v>61329.976999999999</v>
      </c>
      <c r="AL32" s="419">
        <f t="shared" si="27"/>
        <v>25072</v>
      </c>
      <c r="AM32" s="419">
        <f t="shared" si="27"/>
        <v>241344.30496700009</v>
      </c>
      <c r="AN32" s="419">
        <f t="shared" si="27"/>
        <v>0</v>
      </c>
      <c r="AO32" s="419">
        <f t="shared" si="27"/>
        <v>8131.3989999999994</v>
      </c>
      <c r="AP32" s="419">
        <f t="shared" si="27"/>
        <v>233212.90596700009</v>
      </c>
      <c r="AQ32" s="419">
        <f t="shared" si="27"/>
        <v>165574.22778100002</v>
      </c>
      <c r="AR32" s="419">
        <f t="shared" si="27"/>
        <v>165574.22778100002</v>
      </c>
      <c r="AS32" s="419">
        <f t="shared" si="27"/>
        <v>0</v>
      </c>
      <c r="AT32" s="419">
        <f t="shared" si="27"/>
        <v>52199.043010000009</v>
      </c>
      <c r="AU32" s="419">
        <f t="shared" si="27"/>
        <v>15439.635175999998</v>
      </c>
      <c r="AV32" s="419">
        <f t="shared" si="27"/>
        <v>36997.230000000003</v>
      </c>
      <c r="AW32" s="419">
        <f t="shared" si="27"/>
        <v>0</v>
      </c>
      <c r="AX32" s="419">
        <f t="shared" si="27"/>
        <v>0</v>
      </c>
      <c r="AY32" s="419">
        <f t="shared" si="27"/>
        <v>36997.230000000003</v>
      </c>
      <c r="AZ32" s="419">
        <f t="shared" si="27"/>
        <v>25510</v>
      </c>
      <c r="BA32" s="419">
        <f t="shared" si="27"/>
        <v>11487.230000000001</v>
      </c>
      <c r="BB32" s="419">
        <f t="shared" si="27"/>
        <v>0</v>
      </c>
      <c r="BC32" s="419">
        <f t="shared" si="27"/>
        <v>16051.781913999999</v>
      </c>
      <c r="BD32" s="419">
        <f t="shared" si="27"/>
        <v>0</v>
      </c>
      <c r="BE32" s="419">
        <f t="shared" si="27"/>
        <v>0</v>
      </c>
      <c r="BF32" s="419">
        <f t="shared" si="27"/>
        <v>16051.781913999999</v>
      </c>
      <c r="BG32" s="419">
        <f t="shared" si="27"/>
        <v>6709.6578</v>
      </c>
      <c r="BH32" s="419">
        <f t="shared" si="27"/>
        <v>6709.6578</v>
      </c>
      <c r="BI32" s="419">
        <f t="shared" si="27"/>
        <v>0</v>
      </c>
      <c r="BJ32" s="419">
        <f t="shared" si="27"/>
        <v>9342.1241140000002</v>
      </c>
      <c r="BK32" s="419">
        <f t="shared" si="27"/>
        <v>0</v>
      </c>
      <c r="BL32" s="419">
        <f t="shared" si="27"/>
        <v>3306.1680000000001</v>
      </c>
      <c r="BM32" s="419">
        <f t="shared" si="27"/>
        <v>0</v>
      </c>
      <c r="BN32" s="419">
        <f t="shared" si="27"/>
        <v>0</v>
      </c>
      <c r="BO32" s="419">
        <f t="shared" si="27"/>
        <v>3306.1680000000001</v>
      </c>
      <c r="BP32" s="419">
        <f t="shared" si="27"/>
        <v>3305.5149999999999</v>
      </c>
      <c r="BQ32" s="419">
        <f t="shared" si="27"/>
        <v>0</v>
      </c>
      <c r="BR32" s="419">
        <f t="shared" si="27"/>
        <v>0</v>
      </c>
      <c r="BS32" s="419">
        <f t="shared" si="27"/>
        <v>3305.5149999999999</v>
      </c>
      <c r="BT32" s="419">
        <f t="shared" si="27"/>
        <v>160612</v>
      </c>
      <c r="BU32" s="419">
        <f t="shared" si="27"/>
        <v>0</v>
      </c>
      <c r="BV32" s="419">
        <f t="shared" si="27"/>
        <v>160612</v>
      </c>
      <c r="BW32" s="419">
        <f t="shared" si="27"/>
        <v>0</v>
      </c>
      <c r="BX32" s="419">
        <f t="shared" si="27"/>
        <v>38</v>
      </c>
      <c r="BY32" s="419">
        <f t="shared" si="27"/>
        <v>0</v>
      </c>
    </row>
    <row r="33" spans="1:77" ht="66" customHeight="1" outlineLevel="1">
      <c r="A33" s="420">
        <v>1</v>
      </c>
      <c r="B33" s="435" t="s">
        <v>2381</v>
      </c>
      <c r="C33" s="428" t="s">
        <v>2341</v>
      </c>
      <c r="D33" s="420" t="s">
        <v>2351</v>
      </c>
      <c r="E33" s="420" t="s">
        <v>49</v>
      </c>
      <c r="F33" s="431" t="s">
        <v>48</v>
      </c>
      <c r="G33" s="143">
        <v>7914544</v>
      </c>
      <c r="H33" s="420" t="s">
        <v>2364</v>
      </c>
      <c r="I33" s="420" t="s">
        <v>56</v>
      </c>
      <c r="J33" s="422">
        <v>2023</v>
      </c>
      <c r="K33" s="422"/>
      <c r="L33" s="420" t="s">
        <v>2382</v>
      </c>
      <c r="M33" s="145">
        <v>2600</v>
      </c>
      <c r="N33" s="422"/>
      <c r="O33" s="422"/>
      <c r="P33" s="145">
        <v>1483</v>
      </c>
      <c r="Q33" s="420" t="s">
        <v>2383</v>
      </c>
      <c r="R33" s="420" t="s">
        <v>2364</v>
      </c>
      <c r="S33" s="422" t="s">
        <v>2339</v>
      </c>
      <c r="T33" s="420" t="s">
        <v>2351</v>
      </c>
      <c r="U33" s="143">
        <f t="shared" si="21"/>
        <v>0</v>
      </c>
      <c r="V33" s="420"/>
      <c r="W33" s="420"/>
      <c r="X33" s="420"/>
      <c r="Y33" s="143">
        <f t="shared" si="22"/>
        <v>1380</v>
      </c>
      <c r="Z33" s="143"/>
      <c r="AA33" s="143"/>
      <c r="AB33" s="143">
        <f t="shared" ref="AB33:AB80" si="28">AC33+AD33+AE33</f>
        <v>1380</v>
      </c>
      <c r="AC33" s="143">
        <v>1380</v>
      </c>
      <c r="AD33" s="143"/>
      <c r="AE33" s="143"/>
      <c r="AF33" s="143">
        <f t="shared" si="23"/>
        <v>1416</v>
      </c>
      <c r="AG33" s="143"/>
      <c r="AH33" s="143"/>
      <c r="AI33" s="143">
        <f t="shared" si="24"/>
        <v>1416</v>
      </c>
      <c r="AJ33" s="143">
        <v>1416</v>
      </c>
      <c r="AK33" s="143"/>
      <c r="AL33" s="143"/>
      <c r="AM33" s="143">
        <v>1379.567</v>
      </c>
      <c r="AN33" s="143"/>
      <c r="AO33" s="143"/>
      <c r="AP33" s="143">
        <v>1379.567</v>
      </c>
      <c r="AQ33" s="143">
        <v>1379.567</v>
      </c>
      <c r="AR33" s="143">
        <v>1379.567</v>
      </c>
      <c r="AS33" s="143"/>
      <c r="AT33" s="143"/>
      <c r="AU33" s="143"/>
      <c r="AV33" s="143">
        <f t="shared" si="25"/>
        <v>0</v>
      </c>
      <c r="AW33" s="143"/>
      <c r="AX33" s="143"/>
      <c r="AY33" s="143">
        <f t="shared" si="26"/>
        <v>0</v>
      </c>
      <c r="AZ33" s="143">
        <v>0</v>
      </c>
      <c r="BA33" s="143"/>
      <c r="BB33" s="143"/>
      <c r="BC33" s="143">
        <v>0</v>
      </c>
      <c r="BD33" s="143"/>
      <c r="BE33" s="143"/>
      <c r="BF33" s="143">
        <v>0</v>
      </c>
      <c r="BG33" s="143">
        <v>0</v>
      </c>
      <c r="BH33" s="143">
        <v>0</v>
      </c>
      <c r="BI33" s="143"/>
      <c r="BJ33" s="143"/>
      <c r="BK33" s="143"/>
      <c r="BL33" s="143"/>
      <c r="BM33" s="143"/>
      <c r="BN33" s="143"/>
      <c r="BO33" s="143"/>
      <c r="BP33" s="143"/>
      <c r="BQ33" s="143"/>
      <c r="BR33" s="143"/>
      <c r="BS33" s="143"/>
      <c r="BT33" s="143"/>
      <c r="BU33" s="143"/>
      <c r="BV33" s="143"/>
      <c r="BW33" s="143"/>
      <c r="BX33" s="230"/>
      <c r="BY33" s="433"/>
    </row>
    <row r="34" spans="1:77" ht="60" customHeight="1" outlineLevel="1">
      <c r="A34" s="420">
        <v>2</v>
      </c>
      <c r="B34" s="435" t="s">
        <v>2384</v>
      </c>
      <c r="C34" s="428" t="s">
        <v>2341</v>
      </c>
      <c r="D34" s="420" t="s">
        <v>2351</v>
      </c>
      <c r="E34" s="420" t="s">
        <v>49</v>
      </c>
      <c r="F34" s="431" t="s">
        <v>48</v>
      </c>
      <c r="G34" s="143">
        <v>7914545</v>
      </c>
      <c r="H34" s="420" t="s">
        <v>2364</v>
      </c>
      <c r="I34" s="420" t="s">
        <v>56</v>
      </c>
      <c r="J34" s="422">
        <v>2023</v>
      </c>
      <c r="K34" s="422"/>
      <c r="L34" s="420" t="s">
        <v>2385</v>
      </c>
      <c r="M34" s="145">
        <v>2600</v>
      </c>
      <c r="N34" s="422"/>
      <c r="O34" s="422"/>
      <c r="P34" s="145">
        <v>2600</v>
      </c>
      <c r="Q34" s="420" t="s">
        <v>2386</v>
      </c>
      <c r="R34" s="420" t="s">
        <v>2364</v>
      </c>
      <c r="S34" s="422" t="s">
        <v>2339</v>
      </c>
      <c r="T34" s="420" t="s">
        <v>2351</v>
      </c>
      <c r="U34" s="143">
        <f t="shared" si="21"/>
        <v>0</v>
      </c>
      <c r="V34" s="420"/>
      <c r="W34" s="420"/>
      <c r="X34" s="420"/>
      <c r="Y34" s="143">
        <f t="shared" si="22"/>
        <v>1941</v>
      </c>
      <c r="Z34" s="143"/>
      <c r="AA34" s="143"/>
      <c r="AB34" s="143">
        <f t="shared" si="28"/>
        <v>1941</v>
      </c>
      <c r="AC34" s="143">
        <v>1941</v>
      </c>
      <c r="AD34" s="143"/>
      <c r="AE34" s="143"/>
      <c r="AF34" s="143">
        <f t="shared" si="23"/>
        <v>2084</v>
      </c>
      <c r="AG34" s="143"/>
      <c r="AH34" s="143"/>
      <c r="AI34" s="143">
        <f t="shared" si="24"/>
        <v>2084</v>
      </c>
      <c r="AJ34" s="143">
        <v>2084</v>
      </c>
      <c r="AK34" s="143"/>
      <c r="AL34" s="143"/>
      <c r="AM34" s="143">
        <v>1940.3509999999999</v>
      </c>
      <c r="AN34" s="143"/>
      <c r="AO34" s="143"/>
      <c r="AP34" s="143">
        <v>1940.3509999999999</v>
      </c>
      <c r="AQ34" s="143">
        <v>1940.3509999999999</v>
      </c>
      <c r="AR34" s="143">
        <v>1940.3509999999999</v>
      </c>
      <c r="AS34" s="143"/>
      <c r="AT34" s="143"/>
      <c r="AU34" s="143"/>
      <c r="AV34" s="143">
        <f t="shared" si="25"/>
        <v>0</v>
      </c>
      <c r="AW34" s="143"/>
      <c r="AX34" s="143"/>
      <c r="AY34" s="143">
        <f t="shared" si="26"/>
        <v>0</v>
      </c>
      <c r="AZ34" s="143">
        <v>0</v>
      </c>
      <c r="BA34" s="143"/>
      <c r="BB34" s="143"/>
      <c r="BC34" s="143">
        <v>0</v>
      </c>
      <c r="BD34" s="143"/>
      <c r="BE34" s="143"/>
      <c r="BF34" s="143">
        <v>0</v>
      </c>
      <c r="BG34" s="143">
        <v>0</v>
      </c>
      <c r="BH34" s="143">
        <v>0</v>
      </c>
      <c r="BI34" s="143"/>
      <c r="BJ34" s="143"/>
      <c r="BK34" s="143"/>
      <c r="BL34" s="143"/>
      <c r="BM34" s="143"/>
      <c r="BN34" s="143"/>
      <c r="BO34" s="143"/>
      <c r="BP34" s="143"/>
      <c r="BQ34" s="143"/>
      <c r="BR34" s="143"/>
      <c r="BS34" s="143"/>
      <c r="BT34" s="143"/>
      <c r="BU34" s="143"/>
      <c r="BV34" s="143"/>
      <c r="BW34" s="143"/>
      <c r="BX34" s="230"/>
      <c r="BY34" s="433"/>
    </row>
    <row r="35" spans="1:77" ht="39" customHeight="1" outlineLevel="1">
      <c r="A35" s="420">
        <v>3</v>
      </c>
      <c r="B35" s="435" t="s">
        <v>2387</v>
      </c>
      <c r="C35" s="428" t="s">
        <v>2341</v>
      </c>
      <c r="D35" s="420" t="s">
        <v>2351</v>
      </c>
      <c r="E35" s="420" t="s">
        <v>49</v>
      </c>
      <c r="F35" s="431" t="s">
        <v>48</v>
      </c>
      <c r="G35" s="143">
        <v>7918933</v>
      </c>
      <c r="H35" s="420" t="s">
        <v>2388</v>
      </c>
      <c r="I35" s="420" t="s">
        <v>84</v>
      </c>
      <c r="J35" s="422">
        <v>2024</v>
      </c>
      <c r="K35" s="422"/>
      <c r="L35" s="420" t="s">
        <v>2389</v>
      </c>
      <c r="M35" s="145">
        <v>3382.0230000000001</v>
      </c>
      <c r="N35" s="422"/>
      <c r="O35" s="422"/>
      <c r="P35" s="145">
        <v>3382.0230000000001</v>
      </c>
      <c r="Q35" s="420" t="s">
        <v>2390</v>
      </c>
      <c r="R35" s="420" t="s">
        <v>2388</v>
      </c>
      <c r="S35" s="422" t="s">
        <v>2339</v>
      </c>
      <c r="T35" s="420" t="s">
        <v>2351</v>
      </c>
      <c r="U35" s="143">
        <f t="shared" si="21"/>
        <v>0</v>
      </c>
      <c r="V35" s="420"/>
      <c r="W35" s="420"/>
      <c r="X35" s="420"/>
      <c r="Y35" s="143">
        <f t="shared" si="22"/>
        <v>2870</v>
      </c>
      <c r="Z35" s="143"/>
      <c r="AA35" s="143"/>
      <c r="AB35" s="143">
        <f t="shared" si="28"/>
        <v>2870</v>
      </c>
      <c r="AC35" s="143">
        <v>2870</v>
      </c>
      <c r="AD35" s="143"/>
      <c r="AE35" s="143"/>
      <c r="AF35" s="143">
        <f t="shared" si="23"/>
        <v>2870</v>
      </c>
      <c r="AG35" s="143"/>
      <c r="AH35" s="143"/>
      <c r="AI35" s="143">
        <f t="shared" si="24"/>
        <v>2870</v>
      </c>
      <c r="AJ35" s="143">
        <v>2870</v>
      </c>
      <c r="AK35" s="143"/>
      <c r="AL35" s="143"/>
      <c r="AM35" s="143">
        <v>2771.2489999999998</v>
      </c>
      <c r="AN35" s="143"/>
      <c r="AO35" s="143"/>
      <c r="AP35" s="143">
        <v>2771.2489999999998</v>
      </c>
      <c r="AQ35" s="143">
        <v>2771.2489999999998</v>
      </c>
      <c r="AR35" s="143">
        <v>2771.2489999999998</v>
      </c>
      <c r="AS35" s="143"/>
      <c r="AT35" s="143"/>
      <c r="AU35" s="143"/>
      <c r="AV35" s="143">
        <f t="shared" si="25"/>
        <v>0</v>
      </c>
      <c r="AW35" s="143"/>
      <c r="AX35" s="143"/>
      <c r="AY35" s="143">
        <f t="shared" si="26"/>
        <v>0</v>
      </c>
      <c r="AZ35" s="143">
        <v>0</v>
      </c>
      <c r="BA35" s="143"/>
      <c r="BB35" s="143"/>
      <c r="BC35" s="143">
        <v>0</v>
      </c>
      <c r="BD35" s="143"/>
      <c r="BE35" s="143"/>
      <c r="BF35" s="143">
        <v>0</v>
      </c>
      <c r="BG35" s="143">
        <v>0</v>
      </c>
      <c r="BH35" s="143">
        <v>0</v>
      </c>
      <c r="BI35" s="143"/>
      <c r="BJ35" s="143"/>
      <c r="BK35" s="143"/>
      <c r="BL35" s="143">
        <v>38</v>
      </c>
      <c r="BM35" s="143"/>
      <c r="BN35" s="143"/>
      <c r="BO35" s="148">
        <v>38</v>
      </c>
      <c r="BP35" s="143">
        <v>37.347000000000001</v>
      </c>
      <c r="BQ35" s="143"/>
      <c r="BR35" s="143"/>
      <c r="BS35" s="143">
        <v>37.347000000000001</v>
      </c>
      <c r="BT35" s="143"/>
      <c r="BU35" s="143"/>
      <c r="BV35" s="143"/>
      <c r="BW35" s="143"/>
      <c r="BX35" s="439">
        <v>38</v>
      </c>
      <c r="BY35" s="433"/>
    </row>
    <row r="36" spans="1:77" ht="67.5" customHeight="1" outlineLevel="1">
      <c r="A36" s="420">
        <v>4</v>
      </c>
      <c r="B36" s="421" t="s">
        <v>2391</v>
      </c>
      <c r="C36" s="420" t="s">
        <v>2392</v>
      </c>
      <c r="D36" s="420" t="s">
        <v>2351</v>
      </c>
      <c r="E36" s="420" t="s">
        <v>49</v>
      </c>
      <c r="F36" s="431" t="s">
        <v>48</v>
      </c>
      <c r="G36" s="148">
        <v>7940999</v>
      </c>
      <c r="H36" s="437" t="s">
        <v>2360</v>
      </c>
      <c r="I36" s="420" t="s">
        <v>906</v>
      </c>
      <c r="J36" s="420"/>
      <c r="K36" s="422"/>
      <c r="L36" s="143" t="s">
        <v>2393</v>
      </c>
      <c r="M36" s="144">
        <v>1258</v>
      </c>
      <c r="N36" s="422"/>
      <c r="O36" s="422"/>
      <c r="P36" s="144">
        <v>1258</v>
      </c>
      <c r="Q36" s="420"/>
      <c r="R36" s="437" t="s">
        <v>2360</v>
      </c>
      <c r="S36" s="422" t="s">
        <v>2339</v>
      </c>
      <c r="T36" s="420" t="s">
        <v>2351</v>
      </c>
      <c r="U36" s="143">
        <f t="shared" si="21"/>
        <v>0</v>
      </c>
      <c r="V36" s="420"/>
      <c r="W36" s="420"/>
      <c r="X36" s="420"/>
      <c r="Y36" s="143">
        <f t="shared" si="22"/>
        <v>1000</v>
      </c>
      <c r="Z36" s="143"/>
      <c r="AA36" s="143"/>
      <c r="AB36" s="143">
        <f t="shared" si="28"/>
        <v>1000</v>
      </c>
      <c r="AC36" s="143">
        <v>1000</v>
      </c>
      <c r="AD36" s="143"/>
      <c r="AE36" s="143"/>
      <c r="AF36" s="143">
        <f t="shared" si="23"/>
        <v>1000</v>
      </c>
      <c r="AG36" s="143"/>
      <c r="AH36" s="143"/>
      <c r="AI36" s="143">
        <f t="shared" si="24"/>
        <v>1000</v>
      </c>
      <c r="AJ36" s="143">
        <v>1000</v>
      </c>
      <c r="AK36" s="143"/>
      <c r="AL36" s="143"/>
      <c r="AM36" s="143">
        <v>1000</v>
      </c>
      <c r="AN36" s="143"/>
      <c r="AO36" s="143"/>
      <c r="AP36" s="143">
        <v>1000</v>
      </c>
      <c r="AQ36" s="143">
        <v>1000</v>
      </c>
      <c r="AR36" s="143">
        <v>1000</v>
      </c>
      <c r="AS36" s="143"/>
      <c r="AT36" s="143"/>
      <c r="AU36" s="143"/>
      <c r="AV36" s="143">
        <f t="shared" si="25"/>
        <v>0</v>
      </c>
      <c r="AW36" s="143"/>
      <c r="AX36" s="143"/>
      <c r="AY36" s="143">
        <f t="shared" si="26"/>
        <v>0</v>
      </c>
      <c r="AZ36" s="143">
        <v>0</v>
      </c>
      <c r="BA36" s="143"/>
      <c r="BB36" s="143"/>
      <c r="BC36" s="143">
        <v>0</v>
      </c>
      <c r="BD36" s="143"/>
      <c r="BE36" s="143"/>
      <c r="BF36" s="143">
        <v>0</v>
      </c>
      <c r="BG36" s="143">
        <v>0</v>
      </c>
      <c r="BH36" s="143">
        <v>0</v>
      </c>
      <c r="BI36" s="143"/>
      <c r="BJ36" s="143"/>
      <c r="BK36" s="143"/>
      <c r="BL36" s="143"/>
      <c r="BM36" s="143"/>
      <c r="BN36" s="143"/>
      <c r="BO36" s="143"/>
      <c r="BP36" s="143"/>
      <c r="BQ36" s="143"/>
      <c r="BR36" s="143"/>
      <c r="BS36" s="143"/>
      <c r="BT36" s="143"/>
      <c r="BU36" s="143"/>
      <c r="BV36" s="143"/>
      <c r="BW36" s="143"/>
      <c r="BX36" s="230"/>
      <c r="BY36" s="433"/>
    </row>
    <row r="37" spans="1:77" ht="48" customHeight="1" outlineLevel="1">
      <c r="A37" s="420">
        <v>5</v>
      </c>
      <c r="B37" s="421" t="s">
        <v>2394</v>
      </c>
      <c r="C37" s="420" t="s">
        <v>2395</v>
      </c>
      <c r="D37" s="420" t="s">
        <v>2351</v>
      </c>
      <c r="E37" s="420" t="s">
        <v>49</v>
      </c>
      <c r="F37" s="431" t="s">
        <v>48</v>
      </c>
      <c r="G37" s="144">
        <v>8119948</v>
      </c>
      <c r="H37" s="437" t="s">
        <v>2352</v>
      </c>
      <c r="I37" s="420" t="s">
        <v>960</v>
      </c>
      <c r="J37" s="420"/>
      <c r="K37" s="422"/>
      <c r="L37" s="420" t="s">
        <v>2396</v>
      </c>
      <c r="M37" s="440">
        <v>6208</v>
      </c>
      <c r="N37" s="422"/>
      <c r="O37" s="422"/>
      <c r="P37" s="440">
        <v>5898</v>
      </c>
      <c r="Q37" s="420"/>
      <c r="R37" s="437" t="s">
        <v>2352</v>
      </c>
      <c r="S37" s="422" t="s">
        <v>2339</v>
      </c>
      <c r="T37" s="420" t="s">
        <v>2351</v>
      </c>
      <c r="U37" s="143">
        <f t="shared" si="21"/>
        <v>0</v>
      </c>
      <c r="V37" s="420"/>
      <c r="W37" s="420"/>
      <c r="X37" s="420"/>
      <c r="Y37" s="143">
        <f t="shared" si="22"/>
        <v>5898</v>
      </c>
      <c r="Z37" s="143"/>
      <c r="AA37" s="145"/>
      <c r="AB37" s="143">
        <f t="shared" si="28"/>
        <v>5898</v>
      </c>
      <c r="AC37" s="143">
        <v>5674</v>
      </c>
      <c r="AD37" s="144">
        <v>224</v>
      </c>
      <c r="AE37" s="143"/>
      <c r="AF37" s="143">
        <f t="shared" si="23"/>
        <v>0</v>
      </c>
      <c r="AG37" s="143"/>
      <c r="AH37" s="143"/>
      <c r="AI37" s="143">
        <f t="shared" si="24"/>
        <v>0</v>
      </c>
      <c r="AJ37" s="143">
        <v>0</v>
      </c>
      <c r="AK37" s="143"/>
      <c r="AL37" s="143"/>
      <c r="AM37" s="143">
        <v>0</v>
      </c>
      <c r="AN37" s="143"/>
      <c r="AO37" s="143"/>
      <c r="AP37" s="143">
        <v>0</v>
      </c>
      <c r="AQ37" s="143">
        <v>0</v>
      </c>
      <c r="AR37" s="143">
        <v>0</v>
      </c>
      <c r="AS37" s="143"/>
      <c r="AT37" s="143"/>
      <c r="AU37" s="143"/>
      <c r="AV37" s="143">
        <f t="shared" si="25"/>
        <v>5674</v>
      </c>
      <c r="AW37" s="143"/>
      <c r="AX37" s="144"/>
      <c r="AY37" s="143">
        <f t="shared" si="26"/>
        <v>5674</v>
      </c>
      <c r="AZ37" s="143">
        <v>5674</v>
      </c>
      <c r="BA37" s="143"/>
      <c r="BB37" s="143"/>
      <c r="BC37" s="143">
        <v>5658.8069999999998</v>
      </c>
      <c r="BD37" s="143"/>
      <c r="BE37" s="144"/>
      <c r="BF37" s="143">
        <v>5658.8069999999998</v>
      </c>
      <c r="BG37" s="143">
        <v>5658.8069999999998</v>
      </c>
      <c r="BH37" s="143">
        <v>5658.8069999999998</v>
      </c>
      <c r="BI37" s="143"/>
      <c r="BJ37" s="143"/>
      <c r="BK37" s="143"/>
      <c r="BL37" s="143"/>
      <c r="BM37" s="143"/>
      <c r="BN37" s="143"/>
      <c r="BO37" s="143"/>
      <c r="BP37" s="143"/>
      <c r="BQ37" s="143"/>
      <c r="BR37" s="143"/>
      <c r="BS37" s="143"/>
      <c r="BT37" s="143"/>
      <c r="BU37" s="143"/>
      <c r="BV37" s="143"/>
      <c r="BW37" s="143"/>
      <c r="BX37" s="230"/>
      <c r="BY37" s="436"/>
    </row>
    <row r="38" spans="1:77" ht="30.75" outlineLevel="1">
      <c r="A38" s="420">
        <v>6</v>
      </c>
      <c r="B38" s="435" t="s">
        <v>2397</v>
      </c>
      <c r="C38" s="428" t="s">
        <v>2350</v>
      </c>
      <c r="D38" s="420" t="s">
        <v>2351</v>
      </c>
      <c r="E38" s="420" t="s">
        <v>49</v>
      </c>
      <c r="F38" s="431" t="s">
        <v>2343</v>
      </c>
      <c r="G38" s="142">
        <v>7894821</v>
      </c>
      <c r="H38" s="420" t="s">
        <v>2398</v>
      </c>
      <c r="I38" s="420" t="s">
        <v>73</v>
      </c>
      <c r="J38" s="422">
        <v>2021</v>
      </c>
      <c r="K38" s="422"/>
      <c r="L38" s="436" t="s">
        <v>2399</v>
      </c>
      <c r="M38" s="146">
        <v>9900</v>
      </c>
      <c r="N38" s="422"/>
      <c r="O38" s="422"/>
      <c r="P38" s="146">
        <v>9900</v>
      </c>
      <c r="Q38" s="420" t="s">
        <v>2400</v>
      </c>
      <c r="R38" s="420" t="s">
        <v>2398</v>
      </c>
      <c r="S38" s="422" t="s">
        <v>2339</v>
      </c>
      <c r="T38" s="420" t="s">
        <v>2351</v>
      </c>
      <c r="U38" s="143">
        <f t="shared" si="21"/>
        <v>0</v>
      </c>
      <c r="V38" s="420"/>
      <c r="W38" s="420"/>
      <c r="X38" s="420"/>
      <c r="Y38" s="143">
        <f t="shared" si="22"/>
        <v>9700</v>
      </c>
      <c r="Z38" s="143"/>
      <c r="AA38" s="143"/>
      <c r="AB38" s="143">
        <f t="shared" si="28"/>
        <v>9700</v>
      </c>
      <c r="AC38" s="143">
        <v>0</v>
      </c>
      <c r="AD38" s="143">
        <v>9700</v>
      </c>
      <c r="AE38" s="143"/>
      <c r="AF38" s="143">
        <f t="shared" si="23"/>
        <v>9668.3160000000007</v>
      </c>
      <c r="AG38" s="143"/>
      <c r="AH38" s="143"/>
      <c r="AI38" s="143">
        <f t="shared" si="24"/>
        <v>9668.3160000000007</v>
      </c>
      <c r="AJ38" s="143">
        <v>0</v>
      </c>
      <c r="AK38" s="143">
        <v>9668.3160000000007</v>
      </c>
      <c r="AL38" s="143"/>
      <c r="AM38" s="143">
        <v>9668.3160000000007</v>
      </c>
      <c r="AN38" s="143"/>
      <c r="AO38" s="143"/>
      <c r="AP38" s="143">
        <v>9668.3160000000007</v>
      </c>
      <c r="AQ38" s="143">
        <v>0</v>
      </c>
      <c r="AR38" s="143"/>
      <c r="AS38" s="143"/>
      <c r="AT38" s="143">
        <v>9668.3160000000007</v>
      </c>
      <c r="AU38" s="143"/>
      <c r="AV38" s="143">
        <f t="shared" si="25"/>
        <v>0</v>
      </c>
      <c r="AW38" s="143"/>
      <c r="AX38" s="143"/>
      <c r="AY38" s="143">
        <f t="shared" si="26"/>
        <v>0</v>
      </c>
      <c r="AZ38" s="143">
        <v>0</v>
      </c>
      <c r="BA38" s="143">
        <v>0</v>
      </c>
      <c r="BB38" s="143"/>
      <c r="BC38" s="143">
        <v>0</v>
      </c>
      <c r="BD38" s="143"/>
      <c r="BE38" s="143"/>
      <c r="BF38" s="143">
        <v>0</v>
      </c>
      <c r="BG38" s="143">
        <v>0</v>
      </c>
      <c r="BH38" s="143">
        <v>0</v>
      </c>
      <c r="BI38" s="143"/>
      <c r="BJ38" s="143"/>
      <c r="BK38" s="143"/>
      <c r="BL38" s="143"/>
      <c r="BM38" s="143"/>
      <c r="BN38" s="143"/>
      <c r="BO38" s="143"/>
      <c r="BP38" s="143"/>
      <c r="BQ38" s="143"/>
      <c r="BR38" s="143"/>
      <c r="BS38" s="143"/>
      <c r="BT38" s="143">
        <v>0</v>
      </c>
      <c r="BU38" s="143">
        <v>0</v>
      </c>
      <c r="BV38" s="143">
        <v>0</v>
      </c>
      <c r="BW38" s="143">
        <v>0</v>
      </c>
      <c r="BX38" s="230"/>
      <c r="BY38" s="433"/>
    </row>
    <row r="39" spans="1:77" ht="40.5" customHeight="1" outlineLevel="1">
      <c r="A39" s="420">
        <v>7</v>
      </c>
      <c r="B39" s="435" t="s">
        <v>2401</v>
      </c>
      <c r="C39" s="428" t="s">
        <v>2350</v>
      </c>
      <c r="D39" s="420" t="s">
        <v>2351</v>
      </c>
      <c r="E39" s="441" t="s">
        <v>49</v>
      </c>
      <c r="F39" s="420" t="s">
        <v>2402</v>
      </c>
      <c r="G39" s="142">
        <v>7880800</v>
      </c>
      <c r="H39" s="420" t="s">
        <v>2398</v>
      </c>
      <c r="I39" s="420">
        <v>2021</v>
      </c>
      <c r="J39" s="420">
        <v>2021</v>
      </c>
      <c r="K39" s="422"/>
      <c r="L39" s="436" t="s">
        <v>2403</v>
      </c>
      <c r="M39" s="146">
        <v>6955</v>
      </c>
      <c r="N39" s="422"/>
      <c r="O39" s="422"/>
      <c r="P39" s="146">
        <v>6955</v>
      </c>
      <c r="Q39" s="420" t="s">
        <v>2404</v>
      </c>
      <c r="R39" s="420" t="s">
        <v>2398</v>
      </c>
      <c r="S39" s="422" t="s">
        <v>2339</v>
      </c>
      <c r="T39" s="420" t="s">
        <v>2351</v>
      </c>
      <c r="U39" s="143">
        <f t="shared" si="21"/>
        <v>0</v>
      </c>
      <c r="V39" s="420"/>
      <c r="W39" s="420"/>
      <c r="X39" s="420"/>
      <c r="Y39" s="143">
        <f t="shared" si="22"/>
        <v>6090</v>
      </c>
      <c r="Z39" s="143"/>
      <c r="AA39" s="143"/>
      <c r="AB39" s="143">
        <f t="shared" si="28"/>
        <v>6090</v>
      </c>
      <c r="AC39" s="143">
        <v>0</v>
      </c>
      <c r="AD39" s="143">
        <v>6090</v>
      </c>
      <c r="AE39" s="143"/>
      <c r="AF39" s="143">
        <f t="shared" si="23"/>
        <v>6089.8429999999998</v>
      </c>
      <c r="AG39" s="143"/>
      <c r="AH39" s="143"/>
      <c r="AI39" s="143">
        <f t="shared" si="24"/>
        <v>6089.8429999999998</v>
      </c>
      <c r="AJ39" s="143">
        <v>0</v>
      </c>
      <c r="AK39" s="143">
        <v>6089.8429999999998</v>
      </c>
      <c r="AL39" s="143"/>
      <c r="AM39" s="143">
        <v>6089.8429999999998</v>
      </c>
      <c r="AN39" s="143"/>
      <c r="AO39" s="143"/>
      <c r="AP39" s="143">
        <v>6089.8429999999998</v>
      </c>
      <c r="AQ39" s="143">
        <v>0</v>
      </c>
      <c r="AR39" s="143"/>
      <c r="AS39" s="143"/>
      <c r="AT39" s="143">
        <v>6089.8429999999998</v>
      </c>
      <c r="AU39" s="143"/>
      <c r="AV39" s="143">
        <f t="shared" si="25"/>
        <v>0</v>
      </c>
      <c r="AW39" s="143"/>
      <c r="AX39" s="143"/>
      <c r="AY39" s="143">
        <f t="shared" si="26"/>
        <v>0</v>
      </c>
      <c r="AZ39" s="143">
        <v>0</v>
      </c>
      <c r="BA39" s="143">
        <v>0</v>
      </c>
      <c r="BB39" s="143"/>
      <c r="BC39" s="143">
        <v>0</v>
      </c>
      <c r="BD39" s="143"/>
      <c r="BE39" s="143"/>
      <c r="BF39" s="143">
        <v>0</v>
      </c>
      <c r="BG39" s="143">
        <v>0</v>
      </c>
      <c r="BH39" s="147">
        <v>0</v>
      </c>
      <c r="BI39" s="143"/>
      <c r="BJ39" s="147"/>
      <c r="BK39" s="148"/>
      <c r="BL39" s="148"/>
      <c r="BM39" s="148"/>
      <c r="BN39" s="148"/>
      <c r="BO39" s="148"/>
      <c r="BP39" s="148"/>
      <c r="BQ39" s="148"/>
      <c r="BR39" s="148"/>
      <c r="BS39" s="148"/>
      <c r="BT39" s="143">
        <v>0</v>
      </c>
      <c r="BU39" s="143">
        <v>0</v>
      </c>
      <c r="BV39" s="143">
        <v>0</v>
      </c>
      <c r="BW39" s="143">
        <v>0</v>
      </c>
      <c r="BX39" s="230"/>
      <c r="BY39" s="424"/>
    </row>
    <row r="40" spans="1:77" ht="54.75" customHeight="1" outlineLevel="1">
      <c r="A40" s="420">
        <v>8</v>
      </c>
      <c r="B40" s="442" t="s">
        <v>3680</v>
      </c>
      <c r="C40" s="428" t="s">
        <v>2395</v>
      </c>
      <c r="D40" s="420" t="s">
        <v>2351</v>
      </c>
      <c r="E40" s="422" t="s">
        <v>49</v>
      </c>
      <c r="F40" s="422"/>
      <c r="G40" s="142">
        <v>7896612</v>
      </c>
      <c r="H40" s="420" t="s">
        <v>2398</v>
      </c>
      <c r="I40" s="420">
        <v>2021</v>
      </c>
      <c r="J40" s="420"/>
      <c r="K40" s="424"/>
      <c r="L40" s="436" t="s">
        <v>2405</v>
      </c>
      <c r="M40" s="146">
        <v>650</v>
      </c>
      <c r="N40" s="424"/>
      <c r="O40" s="424"/>
      <c r="P40" s="146">
        <v>650</v>
      </c>
      <c r="Q40" s="420"/>
      <c r="R40" s="420" t="s">
        <v>2398</v>
      </c>
      <c r="S40" s="422" t="s">
        <v>2339</v>
      </c>
      <c r="T40" s="420" t="s">
        <v>2351</v>
      </c>
      <c r="U40" s="143">
        <f t="shared" si="21"/>
        <v>0</v>
      </c>
      <c r="V40" s="421"/>
      <c r="W40" s="421"/>
      <c r="X40" s="421"/>
      <c r="Y40" s="143">
        <f t="shared" si="22"/>
        <v>650</v>
      </c>
      <c r="Z40" s="143"/>
      <c r="AA40" s="143"/>
      <c r="AB40" s="143">
        <f t="shared" si="28"/>
        <v>650</v>
      </c>
      <c r="AC40" s="143">
        <v>0</v>
      </c>
      <c r="AD40" s="144">
        <v>650</v>
      </c>
      <c r="AE40" s="144"/>
      <c r="AF40" s="143">
        <f t="shared" si="23"/>
        <v>626</v>
      </c>
      <c r="AG40" s="143"/>
      <c r="AH40" s="143"/>
      <c r="AI40" s="143">
        <f t="shared" si="24"/>
        <v>626</v>
      </c>
      <c r="AJ40" s="143">
        <v>0</v>
      </c>
      <c r="AK40" s="144">
        <v>626</v>
      </c>
      <c r="AL40" s="144"/>
      <c r="AM40" s="143">
        <v>624.17623600000002</v>
      </c>
      <c r="AN40" s="143"/>
      <c r="AO40" s="143"/>
      <c r="AP40" s="143">
        <v>624.17623600000002</v>
      </c>
      <c r="AQ40" s="143">
        <v>0</v>
      </c>
      <c r="AR40" s="143"/>
      <c r="AS40" s="144"/>
      <c r="AT40" s="144">
        <v>624.17623600000002</v>
      </c>
      <c r="AU40" s="144"/>
      <c r="AV40" s="143">
        <f t="shared" si="25"/>
        <v>0</v>
      </c>
      <c r="AW40" s="143"/>
      <c r="AX40" s="143"/>
      <c r="AY40" s="143">
        <f t="shared" si="26"/>
        <v>0</v>
      </c>
      <c r="AZ40" s="143">
        <v>0</v>
      </c>
      <c r="BA40" s="144">
        <v>0</v>
      </c>
      <c r="BB40" s="144"/>
      <c r="BC40" s="143">
        <v>0</v>
      </c>
      <c r="BD40" s="143"/>
      <c r="BE40" s="143"/>
      <c r="BF40" s="143">
        <v>0</v>
      </c>
      <c r="BG40" s="143">
        <v>0</v>
      </c>
      <c r="BH40" s="148">
        <v>0</v>
      </c>
      <c r="BI40" s="143"/>
      <c r="BJ40" s="148"/>
      <c r="BK40" s="148"/>
      <c r="BL40" s="148"/>
      <c r="BM40" s="148"/>
      <c r="BN40" s="148"/>
      <c r="BO40" s="148"/>
      <c r="BP40" s="148"/>
      <c r="BQ40" s="148"/>
      <c r="BR40" s="148"/>
      <c r="BS40" s="148"/>
      <c r="BT40" s="148"/>
      <c r="BU40" s="148"/>
      <c r="BV40" s="148"/>
      <c r="BW40" s="148"/>
      <c r="BX40" s="231"/>
      <c r="BY40" s="424"/>
    </row>
    <row r="41" spans="1:77" ht="69.75" customHeight="1" outlineLevel="1">
      <c r="A41" s="420">
        <v>9</v>
      </c>
      <c r="B41" s="442" t="s">
        <v>2406</v>
      </c>
      <c r="C41" s="428" t="s">
        <v>2350</v>
      </c>
      <c r="D41" s="420" t="s">
        <v>2351</v>
      </c>
      <c r="E41" s="422" t="s">
        <v>10</v>
      </c>
      <c r="F41" s="422" t="s">
        <v>2402</v>
      </c>
      <c r="G41" s="142">
        <v>7987127</v>
      </c>
      <c r="H41" s="420" t="s">
        <v>2398</v>
      </c>
      <c r="I41" s="420" t="s">
        <v>54</v>
      </c>
      <c r="J41" s="420">
        <v>2023</v>
      </c>
      <c r="K41" s="424"/>
      <c r="L41" s="436" t="s">
        <v>2407</v>
      </c>
      <c r="M41" s="146">
        <v>119216</v>
      </c>
      <c r="N41" s="424"/>
      <c r="O41" s="424">
        <v>80000</v>
      </c>
      <c r="P41" s="146">
        <v>30363</v>
      </c>
      <c r="Q41" s="420"/>
      <c r="R41" s="420" t="s">
        <v>2398</v>
      </c>
      <c r="S41" s="422" t="s">
        <v>2339</v>
      </c>
      <c r="T41" s="420" t="s">
        <v>2351</v>
      </c>
      <c r="U41" s="143">
        <f t="shared" si="21"/>
        <v>0</v>
      </c>
      <c r="V41" s="421"/>
      <c r="W41" s="421"/>
      <c r="X41" s="421"/>
      <c r="Y41" s="143">
        <f t="shared" si="22"/>
        <v>75926</v>
      </c>
      <c r="Z41" s="143"/>
      <c r="AA41" s="143"/>
      <c r="AB41" s="143">
        <f t="shared" si="28"/>
        <v>75926</v>
      </c>
      <c r="AC41" s="143">
        <v>56400</v>
      </c>
      <c r="AD41" s="144">
        <v>19526</v>
      </c>
      <c r="AE41" s="144"/>
      <c r="AF41" s="143">
        <f t="shared" si="23"/>
        <v>45845</v>
      </c>
      <c r="AG41" s="143"/>
      <c r="AH41" s="143"/>
      <c r="AI41" s="143">
        <f t="shared" si="24"/>
        <v>45845</v>
      </c>
      <c r="AJ41" s="143">
        <v>45845</v>
      </c>
      <c r="AK41" s="144">
        <v>0</v>
      </c>
      <c r="AL41" s="144"/>
      <c r="AM41" s="143">
        <v>0</v>
      </c>
      <c r="AN41" s="143"/>
      <c r="AO41" s="143"/>
      <c r="AP41" s="143">
        <v>0</v>
      </c>
      <c r="AQ41" s="143">
        <v>0</v>
      </c>
      <c r="AR41" s="143"/>
      <c r="AS41" s="144"/>
      <c r="AT41" s="144">
        <v>0</v>
      </c>
      <c r="AU41" s="144"/>
      <c r="AV41" s="143">
        <f t="shared" si="25"/>
        <v>10555</v>
      </c>
      <c r="AW41" s="143"/>
      <c r="AX41" s="143"/>
      <c r="AY41" s="143">
        <f t="shared" si="26"/>
        <v>10555</v>
      </c>
      <c r="AZ41" s="143">
        <v>10555</v>
      </c>
      <c r="BA41" s="144">
        <v>0</v>
      </c>
      <c r="BB41" s="144"/>
      <c r="BC41" s="143">
        <v>0</v>
      </c>
      <c r="BD41" s="143"/>
      <c r="BE41" s="143"/>
      <c r="BF41" s="143">
        <v>0</v>
      </c>
      <c r="BG41" s="143">
        <v>0</v>
      </c>
      <c r="BH41" s="148">
        <v>0</v>
      </c>
      <c r="BI41" s="143"/>
      <c r="BJ41" s="148"/>
      <c r="BK41" s="148"/>
      <c r="BL41" s="148"/>
      <c r="BM41" s="148"/>
      <c r="BN41" s="148"/>
      <c r="BO41" s="148"/>
      <c r="BP41" s="148"/>
      <c r="BQ41" s="148"/>
      <c r="BR41" s="148"/>
      <c r="BS41" s="148"/>
      <c r="BT41" s="148"/>
      <c r="BU41" s="148"/>
      <c r="BV41" s="148"/>
      <c r="BW41" s="148">
        <v>0</v>
      </c>
      <c r="BX41" s="231"/>
      <c r="BY41" s="424"/>
    </row>
    <row r="42" spans="1:77" ht="66.75" customHeight="1" outlineLevel="1">
      <c r="A42" s="420">
        <v>10</v>
      </c>
      <c r="B42" s="442" t="s">
        <v>2408</v>
      </c>
      <c r="C42" s="428" t="s">
        <v>2350</v>
      </c>
      <c r="D42" s="420" t="s">
        <v>2351</v>
      </c>
      <c r="E42" s="422" t="s">
        <v>49</v>
      </c>
      <c r="F42" s="420" t="s">
        <v>2402</v>
      </c>
      <c r="G42" s="142">
        <v>7896614</v>
      </c>
      <c r="H42" s="437" t="s">
        <v>2398</v>
      </c>
      <c r="I42" s="420" t="s">
        <v>54</v>
      </c>
      <c r="J42" s="420">
        <v>2023</v>
      </c>
      <c r="K42" s="424"/>
      <c r="L42" s="436" t="s">
        <v>2409</v>
      </c>
      <c r="M42" s="146">
        <v>77654</v>
      </c>
      <c r="N42" s="424"/>
      <c r="O42" s="146">
        <v>51000</v>
      </c>
      <c r="P42" s="146">
        <v>18878</v>
      </c>
      <c r="Q42" s="420" t="s">
        <v>2410</v>
      </c>
      <c r="R42" s="437" t="s">
        <v>2398</v>
      </c>
      <c r="S42" s="422" t="s">
        <v>2339</v>
      </c>
      <c r="T42" s="420" t="s">
        <v>2351</v>
      </c>
      <c r="U42" s="143">
        <f t="shared" si="21"/>
        <v>0</v>
      </c>
      <c r="V42" s="421"/>
      <c r="W42" s="421"/>
      <c r="X42" s="421"/>
      <c r="Y42" s="143">
        <f t="shared" si="22"/>
        <v>52509</v>
      </c>
      <c r="Z42" s="143"/>
      <c r="AA42" s="145"/>
      <c r="AB42" s="143">
        <f t="shared" si="28"/>
        <v>52509</v>
      </c>
      <c r="AC42" s="143">
        <v>52509</v>
      </c>
      <c r="AD42" s="144">
        <v>0</v>
      </c>
      <c r="AE42" s="144"/>
      <c r="AF42" s="143">
        <f t="shared" si="23"/>
        <v>52509.108999999997</v>
      </c>
      <c r="AG42" s="143"/>
      <c r="AH42" s="145"/>
      <c r="AI42" s="143">
        <f t="shared" si="24"/>
        <v>52509.108999999997</v>
      </c>
      <c r="AJ42" s="143">
        <v>52509.108999999997</v>
      </c>
      <c r="AK42" s="144">
        <v>0</v>
      </c>
      <c r="AL42" s="144"/>
      <c r="AM42" s="143">
        <v>52509.009000000005</v>
      </c>
      <c r="AN42" s="143"/>
      <c r="AO42" s="144"/>
      <c r="AP42" s="143">
        <v>52509.009000000005</v>
      </c>
      <c r="AQ42" s="143">
        <v>52509.009000000005</v>
      </c>
      <c r="AR42" s="144">
        <v>52509.009000000005</v>
      </c>
      <c r="AS42" s="144"/>
      <c r="AT42" s="144">
        <v>0</v>
      </c>
      <c r="AU42" s="144"/>
      <c r="AV42" s="143">
        <f t="shared" si="25"/>
        <v>0</v>
      </c>
      <c r="AW42" s="143"/>
      <c r="AX42" s="143"/>
      <c r="AY42" s="143">
        <f t="shared" si="26"/>
        <v>0</v>
      </c>
      <c r="AZ42" s="143">
        <v>0</v>
      </c>
      <c r="BA42" s="144">
        <v>0</v>
      </c>
      <c r="BB42" s="144"/>
      <c r="BC42" s="143">
        <v>0</v>
      </c>
      <c r="BD42" s="143"/>
      <c r="BE42" s="143"/>
      <c r="BF42" s="143">
        <v>0</v>
      </c>
      <c r="BG42" s="143">
        <v>0</v>
      </c>
      <c r="BH42" s="148">
        <v>0</v>
      </c>
      <c r="BI42" s="143"/>
      <c r="BJ42" s="148"/>
      <c r="BK42" s="148"/>
      <c r="BL42" s="148"/>
      <c r="BM42" s="148"/>
      <c r="BN42" s="148"/>
      <c r="BO42" s="148"/>
      <c r="BP42" s="148"/>
      <c r="BQ42" s="148"/>
      <c r="BR42" s="148"/>
      <c r="BS42" s="148"/>
      <c r="BT42" s="148">
        <v>0</v>
      </c>
      <c r="BU42" s="148">
        <v>0</v>
      </c>
      <c r="BV42" s="148">
        <v>0</v>
      </c>
      <c r="BW42" s="148">
        <v>0</v>
      </c>
      <c r="BX42" s="231"/>
      <c r="BY42" s="424"/>
    </row>
    <row r="43" spans="1:77" ht="67.5" customHeight="1" outlineLevel="1">
      <c r="A43" s="420">
        <v>11</v>
      </c>
      <c r="B43" s="442" t="s">
        <v>2411</v>
      </c>
      <c r="C43" s="428" t="s">
        <v>2350</v>
      </c>
      <c r="D43" s="420" t="s">
        <v>2351</v>
      </c>
      <c r="E43" s="422" t="s">
        <v>10</v>
      </c>
      <c r="F43" s="420" t="s">
        <v>2402</v>
      </c>
      <c r="G43" s="443">
        <v>7896613</v>
      </c>
      <c r="H43" s="437" t="s">
        <v>2398</v>
      </c>
      <c r="I43" s="420" t="s">
        <v>71</v>
      </c>
      <c r="J43" s="420">
        <v>2021</v>
      </c>
      <c r="K43" s="424"/>
      <c r="L43" s="444" t="s">
        <v>2412</v>
      </c>
      <c r="M43" s="249">
        <v>102389</v>
      </c>
      <c r="N43" s="424"/>
      <c r="O43" s="146">
        <v>69000</v>
      </c>
      <c r="P43" s="249">
        <v>26131</v>
      </c>
      <c r="Q43" s="420" t="s">
        <v>2413</v>
      </c>
      <c r="R43" s="445" t="s">
        <v>2398</v>
      </c>
      <c r="S43" s="422" t="s">
        <v>2339</v>
      </c>
      <c r="T43" s="420" t="s">
        <v>2351</v>
      </c>
      <c r="U43" s="143">
        <f t="shared" si="21"/>
        <v>0</v>
      </c>
      <c r="V43" s="421"/>
      <c r="W43" s="421"/>
      <c r="X43" s="421"/>
      <c r="Y43" s="143">
        <f t="shared" si="22"/>
        <v>43511</v>
      </c>
      <c r="Z43" s="143"/>
      <c r="AA43" s="145"/>
      <c r="AB43" s="143">
        <f t="shared" si="28"/>
        <v>43511</v>
      </c>
      <c r="AC43" s="143">
        <v>43511</v>
      </c>
      <c r="AD43" s="144">
        <v>0</v>
      </c>
      <c r="AE43" s="144"/>
      <c r="AF43" s="143">
        <f t="shared" si="23"/>
        <v>43510.548000000003</v>
      </c>
      <c r="AG43" s="143"/>
      <c r="AH43" s="145"/>
      <c r="AI43" s="143">
        <f t="shared" si="24"/>
        <v>43510.548000000003</v>
      </c>
      <c r="AJ43" s="143">
        <v>43510.548000000003</v>
      </c>
      <c r="AK43" s="144">
        <v>0</v>
      </c>
      <c r="AL43" s="144"/>
      <c r="AM43" s="143">
        <v>43510.548000000003</v>
      </c>
      <c r="AN43" s="143"/>
      <c r="AO43" s="144"/>
      <c r="AP43" s="143">
        <v>43510.548000000003</v>
      </c>
      <c r="AQ43" s="143">
        <v>43510.548000000003</v>
      </c>
      <c r="AR43" s="144">
        <v>43510.548000000003</v>
      </c>
      <c r="AS43" s="144"/>
      <c r="AT43" s="144">
        <v>0</v>
      </c>
      <c r="AU43" s="144"/>
      <c r="AV43" s="143">
        <f t="shared" si="25"/>
        <v>0</v>
      </c>
      <c r="AW43" s="143"/>
      <c r="AX43" s="143"/>
      <c r="AY43" s="143">
        <f t="shared" si="26"/>
        <v>0</v>
      </c>
      <c r="AZ43" s="143">
        <v>0</v>
      </c>
      <c r="BA43" s="144">
        <v>0</v>
      </c>
      <c r="BB43" s="144"/>
      <c r="BC43" s="143">
        <v>0</v>
      </c>
      <c r="BD43" s="143"/>
      <c r="BE43" s="143"/>
      <c r="BF43" s="143">
        <v>0</v>
      </c>
      <c r="BG43" s="143">
        <v>0</v>
      </c>
      <c r="BH43" s="148">
        <v>0</v>
      </c>
      <c r="BI43" s="143"/>
      <c r="BJ43" s="148"/>
      <c r="BK43" s="148"/>
      <c r="BL43" s="148"/>
      <c r="BM43" s="148"/>
      <c r="BN43" s="148"/>
      <c r="BO43" s="148"/>
      <c r="BP43" s="148"/>
      <c r="BQ43" s="148"/>
      <c r="BR43" s="148"/>
      <c r="BS43" s="148"/>
      <c r="BT43" s="148">
        <v>0</v>
      </c>
      <c r="BU43" s="148">
        <v>0</v>
      </c>
      <c r="BV43" s="148">
        <v>0</v>
      </c>
      <c r="BW43" s="148">
        <v>0</v>
      </c>
      <c r="BX43" s="231"/>
      <c r="BY43" s="424"/>
    </row>
    <row r="44" spans="1:77" ht="66.75" customHeight="1" outlineLevel="1">
      <c r="A44" s="420">
        <v>12</v>
      </c>
      <c r="B44" s="421" t="s">
        <v>2414</v>
      </c>
      <c r="C44" s="428" t="s">
        <v>2350</v>
      </c>
      <c r="D44" s="420" t="s">
        <v>2351</v>
      </c>
      <c r="E44" s="422" t="s">
        <v>49</v>
      </c>
      <c r="F44" s="420" t="s">
        <v>2402</v>
      </c>
      <c r="G44" s="446">
        <v>8040400</v>
      </c>
      <c r="H44" s="437" t="s">
        <v>2398</v>
      </c>
      <c r="I44" s="420" t="s">
        <v>54</v>
      </c>
      <c r="J44" s="420">
        <v>2023</v>
      </c>
      <c r="K44" s="424"/>
      <c r="L44" s="436" t="s">
        <v>2415</v>
      </c>
      <c r="M44" s="249">
        <v>97149</v>
      </c>
      <c r="N44" s="424"/>
      <c r="O44" s="424"/>
      <c r="P44" s="249">
        <v>96087</v>
      </c>
      <c r="Q44" s="420"/>
      <c r="R44" s="445" t="s">
        <v>2398</v>
      </c>
      <c r="S44" s="422" t="s">
        <v>2339</v>
      </c>
      <c r="T44" s="420" t="s">
        <v>2351</v>
      </c>
      <c r="U44" s="143">
        <f t="shared" si="21"/>
        <v>0</v>
      </c>
      <c r="V44" s="421"/>
      <c r="W44" s="421"/>
      <c r="X44" s="421"/>
      <c r="Y44" s="143">
        <f t="shared" si="22"/>
        <v>71869</v>
      </c>
      <c r="Z44" s="143"/>
      <c r="AA44" s="143"/>
      <c r="AB44" s="143">
        <f t="shared" si="28"/>
        <v>71869</v>
      </c>
      <c r="AC44" s="143">
        <v>44485</v>
      </c>
      <c r="AD44" s="144">
        <v>27384</v>
      </c>
      <c r="AE44" s="144"/>
      <c r="AF44" s="143">
        <f t="shared" si="23"/>
        <v>36262.654999999999</v>
      </c>
      <c r="AG44" s="143"/>
      <c r="AH44" s="145"/>
      <c r="AI44" s="143">
        <f t="shared" si="24"/>
        <v>36262.654999999999</v>
      </c>
      <c r="AJ44" s="143">
        <v>36262.654999999999</v>
      </c>
      <c r="AK44" s="144">
        <v>0</v>
      </c>
      <c r="AL44" s="144"/>
      <c r="AM44" s="143">
        <v>39033.482099999994</v>
      </c>
      <c r="AN44" s="143"/>
      <c r="AO44" s="144"/>
      <c r="AP44" s="143">
        <v>39033.482099999994</v>
      </c>
      <c r="AQ44" s="143">
        <v>39033.482099999994</v>
      </c>
      <c r="AR44" s="144">
        <v>39033.482099999994</v>
      </c>
      <c r="AS44" s="144"/>
      <c r="AT44" s="144">
        <v>0</v>
      </c>
      <c r="AU44" s="144"/>
      <c r="AV44" s="143">
        <f t="shared" si="25"/>
        <v>8223</v>
      </c>
      <c r="AW44" s="143"/>
      <c r="AX44" s="144"/>
      <c r="AY44" s="143">
        <f t="shared" si="26"/>
        <v>8223</v>
      </c>
      <c r="AZ44" s="143">
        <v>8223</v>
      </c>
      <c r="BA44" s="144">
        <v>0</v>
      </c>
      <c r="BB44" s="144"/>
      <c r="BC44" s="143">
        <v>0</v>
      </c>
      <c r="BD44" s="143"/>
      <c r="BE44" s="143"/>
      <c r="BF44" s="143">
        <v>0</v>
      </c>
      <c r="BG44" s="143">
        <v>0</v>
      </c>
      <c r="BH44" s="148">
        <v>0</v>
      </c>
      <c r="BI44" s="143"/>
      <c r="BJ44" s="148"/>
      <c r="BK44" s="148"/>
      <c r="BL44" s="148">
        <v>2000</v>
      </c>
      <c r="BM44" s="148"/>
      <c r="BN44" s="148"/>
      <c r="BO44" s="148">
        <v>2000</v>
      </c>
      <c r="BP44" s="148">
        <v>2000</v>
      </c>
      <c r="BQ44" s="148"/>
      <c r="BR44" s="148"/>
      <c r="BS44" s="148">
        <v>2000</v>
      </c>
      <c r="BT44" s="148">
        <v>0</v>
      </c>
      <c r="BU44" s="148">
        <v>0</v>
      </c>
      <c r="BV44" s="148">
        <v>0</v>
      </c>
      <c r="BW44" s="148">
        <v>0</v>
      </c>
      <c r="BX44" s="231"/>
      <c r="BY44" s="436"/>
    </row>
    <row r="45" spans="1:77" ht="49.5" customHeight="1" outlineLevel="1">
      <c r="A45" s="420">
        <v>13</v>
      </c>
      <c r="B45" s="421" t="s">
        <v>2416</v>
      </c>
      <c r="C45" s="142" t="s">
        <v>2417</v>
      </c>
      <c r="D45" s="420" t="s">
        <v>2351</v>
      </c>
      <c r="E45" s="422" t="s">
        <v>49</v>
      </c>
      <c r="F45" s="422" t="s">
        <v>55</v>
      </c>
      <c r="G45" s="142">
        <v>7912312</v>
      </c>
      <c r="H45" s="437" t="s">
        <v>2398</v>
      </c>
      <c r="I45" s="420" t="s">
        <v>891</v>
      </c>
      <c r="J45" s="420"/>
      <c r="K45" s="424"/>
      <c r="L45" s="436" t="s">
        <v>2418</v>
      </c>
      <c r="M45" s="146">
        <v>2300</v>
      </c>
      <c r="N45" s="424"/>
      <c r="O45" s="424"/>
      <c r="P45" s="146">
        <v>2300</v>
      </c>
      <c r="Q45" s="420"/>
      <c r="R45" s="437" t="s">
        <v>2419</v>
      </c>
      <c r="S45" s="420" t="s">
        <v>2339</v>
      </c>
      <c r="T45" s="420" t="s">
        <v>2351</v>
      </c>
      <c r="U45" s="143">
        <f t="shared" si="21"/>
        <v>0</v>
      </c>
      <c r="V45" s="421"/>
      <c r="W45" s="421"/>
      <c r="X45" s="421"/>
      <c r="Y45" s="143">
        <f t="shared" si="22"/>
        <v>2275</v>
      </c>
      <c r="Z45" s="143"/>
      <c r="AA45" s="144"/>
      <c r="AB45" s="143">
        <f t="shared" si="28"/>
        <v>2275</v>
      </c>
      <c r="AC45" s="143">
        <v>0</v>
      </c>
      <c r="AD45" s="144">
        <v>2275</v>
      </c>
      <c r="AE45" s="144"/>
      <c r="AF45" s="143">
        <f t="shared" si="23"/>
        <v>2275</v>
      </c>
      <c r="AG45" s="143"/>
      <c r="AH45" s="145"/>
      <c r="AI45" s="143">
        <f t="shared" si="24"/>
        <v>2275</v>
      </c>
      <c r="AJ45" s="143">
        <v>0</v>
      </c>
      <c r="AK45" s="144">
        <v>388</v>
      </c>
      <c r="AL45" s="144">
        <v>1887</v>
      </c>
      <c r="AM45" s="143">
        <v>2274.6423690000001</v>
      </c>
      <c r="AN45" s="143"/>
      <c r="AO45" s="144">
        <v>1887</v>
      </c>
      <c r="AP45" s="143">
        <v>387.64236899999997</v>
      </c>
      <c r="AQ45" s="143">
        <v>0</v>
      </c>
      <c r="AR45" s="144"/>
      <c r="AS45" s="144"/>
      <c r="AT45" s="144">
        <v>387.64236899999997</v>
      </c>
      <c r="AU45" s="144"/>
      <c r="AV45" s="143">
        <f t="shared" si="25"/>
        <v>0</v>
      </c>
      <c r="AW45" s="143"/>
      <c r="AX45" s="143"/>
      <c r="AY45" s="143">
        <f t="shared" si="26"/>
        <v>0</v>
      </c>
      <c r="AZ45" s="143">
        <v>0</v>
      </c>
      <c r="BA45" s="144">
        <v>0</v>
      </c>
      <c r="BB45" s="144"/>
      <c r="BC45" s="143">
        <v>0</v>
      </c>
      <c r="BD45" s="143"/>
      <c r="BE45" s="143"/>
      <c r="BF45" s="143">
        <v>0</v>
      </c>
      <c r="BG45" s="143">
        <v>0</v>
      </c>
      <c r="BH45" s="148">
        <v>0</v>
      </c>
      <c r="BI45" s="143"/>
      <c r="BJ45" s="148"/>
      <c r="BK45" s="148"/>
      <c r="BL45" s="148"/>
      <c r="BM45" s="148"/>
      <c r="BN45" s="148"/>
      <c r="BO45" s="148"/>
      <c r="BP45" s="148"/>
      <c r="BQ45" s="148"/>
      <c r="BR45" s="148"/>
      <c r="BS45" s="148"/>
      <c r="BT45" s="148"/>
      <c r="BU45" s="148"/>
      <c r="BV45" s="148"/>
      <c r="BW45" s="148"/>
      <c r="BX45" s="231"/>
      <c r="BY45" s="421"/>
    </row>
    <row r="46" spans="1:77" ht="46.15" outlineLevel="1">
      <c r="A46" s="420">
        <v>14</v>
      </c>
      <c r="B46" s="447" t="s">
        <v>2420</v>
      </c>
      <c r="C46" s="428" t="s">
        <v>2350</v>
      </c>
      <c r="D46" s="420" t="s">
        <v>2351</v>
      </c>
      <c r="E46" s="422" t="s">
        <v>49</v>
      </c>
      <c r="F46" s="420" t="s">
        <v>2402</v>
      </c>
      <c r="G46" s="150">
        <v>7912217</v>
      </c>
      <c r="H46" s="250" t="s">
        <v>2398</v>
      </c>
      <c r="I46" s="420" t="s">
        <v>73</v>
      </c>
      <c r="J46" s="420">
        <v>2021</v>
      </c>
      <c r="K46" s="424"/>
      <c r="L46" s="420" t="s">
        <v>2421</v>
      </c>
      <c r="M46" s="149">
        <v>7473</v>
      </c>
      <c r="N46" s="424"/>
      <c r="O46" s="424"/>
      <c r="P46" s="149">
        <v>7473</v>
      </c>
      <c r="Q46" s="420" t="s">
        <v>2422</v>
      </c>
      <c r="R46" s="250" t="s">
        <v>2398</v>
      </c>
      <c r="S46" s="422" t="s">
        <v>2339</v>
      </c>
      <c r="T46" s="420" t="s">
        <v>2351</v>
      </c>
      <c r="U46" s="143">
        <f t="shared" si="21"/>
        <v>0</v>
      </c>
      <c r="V46" s="421"/>
      <c r="W46" s="421"/>
      <c r="X46" s="421"/>
      <c r="Y46" s="143">
        <f t="shared" si="22"/>
        <v>6751</v>
      </c>
      <c r="Z46" s="143"/>
      <c r="AA46" s="143"/>
      <c r="AB46" s="143">
        <f t="shared" si="28"/>
        <v>6751</v>
      </c>
      <c r="AC46" s="143">
        <v>0</v>
      </c>
      <c r="AD46" s="144">
        <v>6751</v>
      </c>
      <c r="AE46" s="144"/>
      <c r="AF46" s="143">
        <f t="shared" si="23"/>
        <v>6751</v>
      </c>
      <c r="AG46" s="143"/>
      <c r="AH46" s="143"/>
      <c r="AI46" s="143">
        <f t="shared" si="24"/>
        <v>6751</v>
      </c>
      <c r="AJ46" s="143">
        <v>0</v>
      </c>
      <c r="AK46" s="144">
        <v>6751</v>
      </c>
      <c r="AL46" s="144"/>
      <c r="AM46" s="143">
        <v>6750.7179999999998</v>
      </c>
      <c r="AN46" s="143"/>
      <c r="AO46" s="143"/>
      <c r="AP46" s="143">
        <v>6750.7179999999998</v>
      </c>
      <c r="AQ46" s="143">
        <v>0</v>
      </c>
      <c r="AR46" s="143"/>
      <c r="AS46" s="144"/>
      <c r="AT46" s="144">
        <v>6750.7179999999998</v>
      </c>
      <c r="AU46" s="144"/>
      <c r="AV46" s="143">
        <f t="shared" si="25"/>
        <v>0</v>
      </c>
      <c r="AW46" s="143"/>
      <c r="AX46" s="143"/>
      <c r="AY46" s="143">
        <f t="shared" si="26"/>
        <v>0</v>
      </c>
      <c r="AZ46" s="143">
        <v>0</v>
      </c>
      <c r="BA46" s="144">
        <v>0</v>
      </c>
      <c r="BB46" s="144"/>
      <c r="BC46" s="143">
        <v>0</v>
      </c>
      <c r="BD46" s="143"/>
      <c r="BE46" s="143"/>
      <c r="BF46" s="143">
        <v>0</v>
      </c>
      <c r="BG46" s="143">
        <v>0</v>
      </c>
      <c r="BH46" s="148">
        <v>0</v>
      </c>
      <c r="BI46" s="143"/>
      <c r="BJ46" s="148"/>
      <c r="BK46" s="148"/>
      <c r="BL46" s="148"/>
      <c r="BM46" s="148"/>
      <c r="BN46" s="148"/>
      <c r="BO46" s="148"/>
      <c r="BP46" s="148"/>
      <c r="BQ46" s="148"/>
      <c r="BR46" s="148"/>
      <c r="BS46" s="148"/>
      <c r="BT46" s="148">
        <v>0</v>
      </c>
      <c r="BU46" s="148">
        <v>0</v>
      </c>
      <c r="BV46" s="148">
        <v>0</v>
      </c>
      <c r="BW46" s="148">
        <v>0</v>
      </c>
      <c r="BX46" s="231"/>
      <c r="BY46" s="424"/>
    </row>
    <row r="47" spans="1:77" ht="36.75" customHeight="1" outlineLevel="1">
      <c r="A47" s="420">
        <v>15</v>
      </c>
      <c r="B47" s="447" t="s">
        <v>2423</v>
      </c>
      <c r="C47" s="428" t="s">
        <v>2350</v>
      </c>
      <c r="D47" s="420" t="s">
        <v>2351</v>
      </c>
      <c r="E47" s="422" t="s">
        <v>49</v>
      </c>
      <c r="F47" s="420" t="s">
        <v>2343</v>
      </c>
      <c r="G47" s="150">
        <v>7912215</v>
      </c>
      <c r="H47" s="250" t="s">
        <v>2364</v>
      </c>
      <c r="I47" s="420" t="s">
        <v>73</v>
      </c>
      <c r="J47" s="422">
        <v>2021</v>
      </c>
      <c r="K47" s="424"/>
      <c r="L47" s="420" t="s">
        <v>2424</v>
      </c>
      <c r="M47" s="149">
        <v>11000</v>
      </c>
      <c r="N47" s="424"/>
      <c r="O47" s="424"/>
      <c r="P47" s="149">
        <v>11000</v>
      </c>
      <c r="Q47" s="420" t="s">
        <v>2425</v>
      </c>
      <c r="R47" s="250" t="s">
        <v>2364</v>
      </c>
      <c r="S47" s="422" t="s">
        <v>2339</v>
      </c>
      <c r="T47" s="420" t="s">
        <v>2351</v>
      </c>
      <c r="U47" s="143">
        <f t="shared" si="21"/>
        <v>0</v>
      </c>
      <c r="V47" s="421"/>
      <c r="W47" s="421"/>
      <c r="X47" s="421"/>
      <c r="Y47" s="143">
        <f t="shared" si="22"/>
        <v>10500</v>
      </c>
      <c r="Z47" s="143"/>
      <c r="AA47" s="143"/>
      <c r="AB47" s="143">
        <f t="shared" si="28"/>
        <v>10500</v>
      </c>
      <c r="AC47" s="143">
        <v>0</v>
      </c>
      <c r="AD47" s="144">
        <v>8711</v>
      </c>
      <c r="AE47" s="144">
        <v>1789</v>
      </c>
      <c r="AF47" s="143">
        <f t="shared" si="23"/>
        <v>10491.969000000001</v>
      </c>
      <c r="AG47" s="143"/>
      <c r="AH47" s="143"/>
      <c r="AI47" s="143">
        <f t="shared" si="24"/>
        <v>10491.969000000001</v>
      </c>
      <c r="AJ47" s="143">
        <v>0</v>
      </c>
      <c r="AK47" s="144">
        <v>8702.969000000001</v>
      </c>
      <c r="AL47" s="144">
        <v>1789</v>
      </c>
      <c r="AM47" s="143">
        <v>6878.9690000000001</v>
      </c>
      <c r="AN47" s="143"/>
      <c r="AO47" s="143"/>
      <c r="AP47" s="143">
        <v>6878.9690000000001</v>
      </c>
      <c r="AQ47" s="143">
        <v>0</v>
      </c>
      <c r="AR47" s="143"/>
      <c r="AS47" s="144"/>
      <c r="AT47" s="144">
        <v>5089.9690000000001</v>
      </c>
      <c r="AU47" s="144">
        <v>1789</v>
      </c>
      <c r="AV47" s="143">
        <f t="shared" si="25"/>
        <v>3613</v>
      </c>
      <c r="AW47" s="143"/>
      <c r="AX47" s="143"/>
      <c r="AY47" s="143">
        <f t="shared" si="26"/>
        <v>3613</v>
      </c>
      <c r="AZ47" s="143">
        <v>0</v>
      </c>
      <c r="BA47" s="144">
        <v>3613</v>
      </c>
      <c r="BB47" s="144"/>
      <c r="BC47" s="143">
        <v>3612.1149999999998</v>
      </c>
      <c r="BD47" s="143"/>
      <c r="BE47" s="143"/>
      <c r="BF47" s="143">
        <v>3612.1149999999998</v>
      </c>
      <c r="BG47" s="143">
        <v>0</v>
      </c>
      <c r="BH47" s="148">
        <v>0</v>
      </c>
      <c r="BI47" s="143"/>
      <c r="BJ47" s="148">
        <v>3612.1149999999998</v>
      </c>
      <c r="BK47" s="148"/>
      <c r="BL47" s="148"/>
      <c r="BM47" s="148"/>
      <c r="BN47" s="148"/>
      <c r="BO47" s="148"/>
      <c r="BP47" s="148"/>
      <c r="BQ47" s="148"/>
      <c r="BR47" s="148"/>
      <c r="BS47" s="148"/>
      <c r="BT47" s="148">
        <v>0</v>
      </c>
      <c r="BU47" s="148">
        <v>0</v>
      </c>
      <c r="BV47" s="148">
        <v>0</v>
      </c>
      <c r="BW47" s="148">
        <v>0</v>
      </c>
      <c r="BX47" s="231"/>
      <c r="BY47" s="424"/>
    </row>
    <row r="48" spans="1:77" ht="49.5" customHeight="1" outlineLevel="1">
      <c r="A48" s="420">
        <v>16</v>
      </c>
      <c r="B48" s="421" t="s">
        <v>2426</v>
      </c>
      <c r="C48" s="420" t="s">
        <v>2427</v>
      </c>
      <c r="D48" s="420" t="s">
        <v>2351</v>
      </c>
      <c r="E48" s="422" t="s">
        <v>49</v>
      </c>
      <c r="F48" s="422" t="s">
        <v>55</v>
      </c>
      <c r="G48" s="150">
        <v>7923883</v>
      </c>
      <c r="H48" s="437" t="s">
        <v>2388</v>
      </c>
      <c r="I48" s="420" t="s">
        <v>906</v>
      </c>
      <c r="J48" s="420"/>
      <c r="K48" s="424"/>
      <c r="L48" s="142" t="s">
        <v>2428</v>
      </c>
      <c r="M48" s="149">
        <v>3700</v>
      </c>
      <c r="N48" s="424"/>
      <c r="O48" s="424"/>
      <c r="P48" s="149">
        <v>3700</v>
      </c>
      <c r="Q48" s="420"/>
      <c r="R48" s="437" t="s">
        <v>2388</v>
      </c>
      <c r="S48" s="422" t="s">
        <v>2339</v>
      </c>
      <c r="T48" s="420" t="s">
        <v>2351</v>
      </c>
      <c r="U48" s="143">
        <f t="shared" si="21"/>
        <v>0</v>
      </c>
      <c r="V48" s="421"/>
      <c r="W48" s="421"/>
      <c r="X48" s="421"/>
      <c r="Y48" s="143">
        <f t="shared" si="22"/>
        <v>3615</v>
      </c>
      <c r="Z48" s="143"/>
      <c r="AA48" s="143"/>
      <c r="AB48" s="143">
        <f t="shared" si="28"/>
        <v>3615</v>
      </c>
      <c r="AC48" s="143">
        <v>0</v>
      </c>
      <c r="AD48" s="144">
        <v>3615</v>
      </c>
      <c r="AE48" s="144"/>
      <c r="AF48" s="143">
        <f t="shared" si="23"/>
        <v>3614.3469999999998</v>
      </c>
      <c r="AG48" s="143"/>
      <c r="AH48" s="143"/>
      <c r="AI48" s="143">
        <f t="shared" si="24"/>
        <v>3614.3469999999998</v>
      </c>
      <c r="AJ48" s="143">
        <v>0</v>
      </c>
      <c r="AK48" s="144">
        <v>3614.3469999999998</v>
      </c>
      <c r="AL48" s="144"/>
      <c r="AM48" s="143">
        <v>3614.3469999999998</v>
      </c>
      <c r="AN48" s="143"/>
      <c r="AO48" s="143"/>
      <c r="AP48" s="143">
        <v>3614.3469999999998</v>
      </c>
      <c r="AQ48" s="143">
        <v>0</v>
      </c>
      <c r="AR48" s="143"/>
      <c r="AS48" s="144"/>
      <c r="AT48" s="144">
        <v>3614.3469999999998</v>
      </c>
      <c r="AU48" s="144"/>
      <c r="AV48" s="143">
        <f t="shared" si="25"/>
        <v>0</v>
      </c>
      <c r="AW48" s="143"/>
      <c r="AX48" s="143"/>
      <c r="AY48" s="143">
        <f t="shared" si="26"/>
        <v>0</v>
      </c>
      <c r="AZ48" s="143">
        <v>0</v>
      </c>
      <c r="BA48" s="144">
        <v>0</v>
      </c>
      <c r="BB48" s="144"/>
      <c r="BC48" s="143">
        <v>0</v>
      </c>
      <c r="BD48" s="143"/>
      <c r="BE48" s="143"/>
      <c r="BF48" s="143">
        <v>0</v>
      </c>
      <c r="BG48" s="143">
        <v>0</v>
      </c>
      <c r="BH48" s="148">
        <v>0</v>
      </c>
      <c r="BI48" s="143"/>
      <c r="BJ48" s="148"/>
      <c r="BK48" s="148"/>
      <c r="BL48" s="148"/>
      <c r="BM48" s="148"/>
      <c r="BN48" s="148"/>
      <c r="BO48" s="148"/>
      <c r="BP48" s="148"/>
      <c r="BQ48" s="148"/>
      <c r="BR48" s="148"/>
      <c r="BS48" s="148"/>
      <c r="BT48" s="148"/>
      <c r="BU48" s="148"/>
      <c r="BV48" s="148"/>
      <c r="BW48" s="148"/>
      <c r="BX48" s="231"/>
      <c r="BY48" s="424"/>
    </row>
    <row r="49" spans="1:77" ht="66" customHeight="1" outlineLevel="1">
      <c r="A49" s="420">
        <v>17</v>
      </c>
      <c r="B49" s="421" t="s">
        <v>2429</v>
      </c>
      <c r="C49" s="420" t="s">
        <v>2395</v>
      </c>
      <c r="D49" s="420" t="s">
        <v>2351</v>
      </c>
      <c r="E49" s="422" t="s">
        <v>49</v>
      </c>
      <c r="F49" s="422" t="s">
        <v>125</v>
      </c>
      <c r="G49" s="150">
        <v>7953377</v>
      </c>
      <c r="H49" s="437" t="s">
        <v>2398</v>
      </c>
      <c r="I49" s="420" t="s">
        <v>960</v>
      </c>
      <c r="J49" s="420"/>
      <c r="K49" s="424"/>
      <c r="L49" s="420" t="s">
        <v>2430</v>
      </c>
      <c r="M49" s="149">
        <v>1111.82</v>
      </c>
      <c r="N49" s="424"/>
      <c r="O49" s="424"/>
      <c r="P49" s="149">
        <v>1111.82</v>
      </c>
      <c r="Q49" s="420"/>
      <c r="R49" s="437" t="s">
        <v>2398</v>
      </c>
      <c r="S49" s="422" t="s">
        <v>2339</v>
      </c>
      <c r="T49" s="420" t="s">
        <v>2351</v>
      </c>
      <c r="U49" s="143">
        <f t="shared" si="21"/>
        <v>0</v>
      </c>
      <c r="V49" s="421"/>
      <c r="W49" s="421"/>
      <c r="X49" s="421"/>
      <c r="Y49" s="143">
        <f t="shared" si="22"/>
        <v>1050</v>
      </c>
      <c r="Z49" s="143"/>
      <c r="AA49" s="143"/>
      <c r="AB49" s="143">
        <f t="shared" si="28"/>
        <v>1050</v>
      </c>
      <c r="AC49" s="143">
        <v>0</v>
      </c>
      <c r="AD49" s="144">
        <v>1050</v>
      </c>
      <c r="AE49" s="144"/>
      <c r="AF49" s="143">
        <f t="shared" si="23"/>
        <v>1041.502</v>
      </c>
      <c r="AG49" s="143"/>
      <c r="AH49" s="143"/>
      <c r="AI49" s="143">
        <f t="shared" si="24"/>
        <v>1041.502</v>
      </c>
      <c r="AJ49" s="143">
        <v>0</v>
      </c>
      <c r="AK49" s="144">
        <v>1041.502</v>
      </c>
      <c r="AL49" s="144"/>
      <c r="AM49" s="143">
        <v>1041.5018990000001</v>
      </c>
      <c r="AN49" s="143"/>
      <c r="AO49" s="143"/>
      <c r="AP49" s="143">
        <v>1041.5018990000001</v>
      </c>
      <c r="AQ49" s="143">
        <v>0</v>
      </c>
      <c r="AR49" s="143"/>
      <c r="AS49" s="144"/>
      <c r="AT49" s="144">
        <v>1041.5018990000001</v>
      </c>
      <c r="AU49" s="144"/>
      <c r="AV49" s="143">
        <f t="shared" si="25"/>
        <v>0</v>
      </c>
      <c r="AW49" s="143"/>
      <c r="AX49" s="143"/>
      <c r="AY49" s="143">
        <f t="shared" si="26"/>
        <v>0</v>
      </c>
      <c r="AZ49" s="143">
        <v>0</v>
      </c>
      <c r="BA49" s="144">
        <v>0</v>
      </c>
      <c r="BB49" s="144"/>
      <c r="BC49" s="143">
        <v>0</v>
      </c>
      <c r="BD49" s="143"/>
      <c r="BE49" s="143"/>
      <c r="BF49" s="143">
        <v>0</v>
      </c>
      <c r="BG49" s="143">
        <v>0</v>
      </c>
      <c r="BH49" s="148">
        <v>0</v>
      </c>
      <c r="BI49" s="143"/>
      <c r="BJ49" s="148"/>
      <c r="BK49" s="148"/>
      <c r="BL49" s="148"/>
      <c r="BM49" s="148"/>
      <c r="BN49" s="148"/>
      <c r="BO49" s="148"/>
      <c r="BP49" s="148"/>
      <c r="BQ49" s="148"/>
      <c r="BR49" s="148"/>
      <c r="BS49" s="148"/>
      <c r="BT49" s="148"/>
      <c r="BU49" s="148"/>
      <c r="BV49" s="148"/>
      <c r="BW49" s="148"/>
      <c r="BX49" s="231"/>
      <c r="BY49" s="424"/>
    </row>
    <row r="50" spans="1:77" ht="66" customHeight="1" outlineLevel="1">
      <c r="A50" s="420">
        <v>18</v>
      </c>
      <c r="B50" s="435" t="s">
        <v>2431</v>
      </c>
      <c r="C50" s="420" t="s">
        <v>2432</v>
      </c>
      <c r="D50" s="420" t="s">
        <v>2351</v>
      </c>
      <c r="E50" s="422" t="s">
        <v>49</v>
      </c>
      <c r="F50" s="422" t="s">
        <v>125</v>
      </c>
      <c r="G50" s="149">
        <v>7952283</v>
      </c>
      <c r="H50" s="437" t="s">
        <v>2433</v>
      </c>
      <c r="I50" s="420" t="s">
        <v>3675</v>
      </c>
      <c r="J50" s="420"/>
      <c r="K50" s="424"/>
      <c r="L50" s="420" t="s">
        <v>2434</v>
      </c>
      <c r="M50" s="448">
        <v>2100</v>
      </c>
      <c r="N50" s="424"/>
      <c r="O50" s="424"/>
      <c r="P50" s="448">
        <v>2100</v>
      </c>
      <c r="Q50" s="420"/>
      <c r="R50" s="437" t="s">
        <v>2433</v>
      </c>
      <c r="S50" s="422" t="s">
        <v>2339</v>
      </c>
      <c r="T50" s="420" t="s">
        <v>2351</v>
      </c>
      <c r="U50" s="143">
        <f t="shared" si="21"/>
        <v>0</v>
      </c>
      <c r="V50" s="421"/>
      <c r="W50" s="421"/>
      <c r="X50" s="421"/>
      <c r="Y50" s="143">
        <f t="shared" si="22"/>
        <v>1999</v>
      </c>
      <c r="Z50" s="143"/>
      <c r="AA50" s="143"/>
      <c r="AB50" s="143">
        <f t="shared" si="28"/>
        <v>1999</v>
      </c>
      <c r="AC50" s="143">
        <v>0</v>
      </c>
      <c r="AD50" s="144">
        <v>4</v>
      </c>
      <c r="AE50" s="144">
        <v>1995</v>
      </c>
      <c r="AF50" s="143">
        <f t="shared" si="23"/>
        <v>1999</v>
      </c>
      <c r="AG50" s="143"/>
      <c r="AH50" s="143"/>
      <c r="AI50" s="143">
        <f t="shared" si="24"/>
        <v>1999</v>
      </c>
      <c r="AJ50" s="143">
        <v>0</v>
      </c>
      <c r="AK50" s="144">
        <v>4</v>
      </c>
      <c r="AL50" s="144">
        <v>1995</v>
      </c>
      <c r="AM50" s="143">
        <v>1998.576315</v>
      </c>
      <c r="AN50" s="143"/>
      <c r="AO50" s="143"/>
      <c r="AP50" s="143">
        <v>1998.576315</v>
      </c>
      <c r="AQ50" s="143">
        <v>0</v>
      </c>
      <c r="AR50" s="143"/>
      <c r="AS50" s="144"/>
      <c r="AT50" s="144">
        <v>4</v>
      </c>
      <c r="AU50" s="144">
        <v>1994.576315</v>
      </c>
      <c r="AV50" s="143">
        <f t="shared" si="25"/>
        <v>0</v>
      </c>
      <c r="AW50" s="143"/>
      <c r="AX50" s="143"/>
      <c r="AY50" s="143">
        <f t="shared" si="26"/>
        <v>0</v>
      </c>
      <c r="AZ50" s="143">
        <v>0</v>
      </c>
      <c r="BA50" s="144">
        <v>0</v>
      </c>
      <c r="BB50" s="144"/>
      <c r="BC50" s="143">
        <v>0</v>
      </c>
      <c r="BD50" s="143"/>
      <c r="BE50" s="143"/>
      <c r="BF50" s="143">
        <v>0</v>
      </c>
      <c r="BG50" s="143">
        <v>0</v>
      </c>
      <c r="BH50" s="148">
        <v>0</v>
      </c>
      <c r="BI50" s="143"/>
      <c r="BJ50" s="148"/>
      <c r="BK50" s="148"/>
      <c r="BL50" s="148"/>
      <c r="BM50" s="148"/>
      <c r="BN50" s="148"/>
      <c r="BO50" s="148"/>
      <c r="BP50" s="148"/>
      <c r="BQ50" s="148"/>
      <c r="BR50" s="148"/>
      <c r="BS50" s="148"/>
      <c r="BT50" s="148"/>
      <c r="BU50" s="148"/>
      <c r="BV50" s="148"/>
      <c r="BW50" s="148"/>
      <c r="BX50" s="231"/>
      <c r="BY50" s="421"/>
    </row>
    <row r="51" spans="1:77" ht="84.75" customHeight="1" outlineLevel="1">
      <c r="A51" s="420">
        <v>19</v>
      </c>
      <c r="B51" s="435" t="s">
        <v>2435</v>
      </c>
      <c r="C51" s="420" t="s">
        <v>2350</v>
      </c>
      <c r="D51" s="420" t="s">
        <v>2351</v>
      </c>
      <c r="E51" s="422" t="s">
        <v>49</v>
      </c>
      <c r="F51" s="420" t="s">
        <v>1397</v>
      </c>
      <c r="G51" s="150">
        <v>7937941</v>
      </c>
      <c r="H51" s="437" t="s">
        <v>2364</v>
      </c>
      <c r="I51" s="420" t="s">
        <v>76</v>
      </c>
      <c r="J51" s="422">
        <v>2022</v>
      </c>
      <c r="K51" s="424"/>
      <c r="L51" s="420" t="s">
        <v>2437</v>
      </c>
      <c r="M51" s="448">
        <v>6200</v>
      </c>
      <c r="N51" s="424"/>
      <c r="O51" s="424"/>
      <c r="P51" s="448">
        <v>6200</v>
      </c>
      <c r="Q51" s="420" t="s">
        <v>2438</v>
      </c>
      <c r="R51" s="437" t="s">
        <v>2364</v>
      </c>
      <c r="S51" s="422" t="s">
        <v>2339</v>
      </c>
      <c r="T51" s="422" t="s">
        <v>2339</v>
      </c>
      <c r="U51" s="143">
        <f>V51+W51+X51</f>
        <v>0</v>
      </c>
      <c r="V51" s="421"/>
      <c r="W51" s="421"/>
      <c r="X51" s="421"/>
      <c r="Y51" s="143">
        <f>SUM(Z51:AB51)</f>
        <v>5244</v>
      </c>
      <c r="Z51" s="143"/>
      <c r="AA51" s="143"/>
      <c r="AB51" s="143">
        <f>AC51+AD51+AE51</f>
        <v>5244</v>
      </c>
      <c r="AC51" s="143">
        <v>0</v>
      </c>
      <c r="AD51" s="144">
        <v>5244</v>
      </c>
      <c r="AE51" s="144"/>
      <c r="AF51" s="143">
        <f>SUM(AG51:AI51)</f>
        <v>3244</v>
      </c>
      <c r="AG51" s="143"/>
      <c r="AH51" s="143"/>
      <c r="AI51" s="143">
        <f>SUM(AJ51:AL51)</f>
        <v>3244</v>
      </c>
      <c r="AJ51" s="143">
        <v>0</v>
      </c>
      <c r="AK51" s="144">
        <v>3244</v>
      </c>
      <c r="AL51" s="144"/>
      <c r="AM51" s="143">
        <v>3243.3809999999999</v>
      </c>
      <c r="AN51" s="143"/>
      <c r="AO51" s="143"/>
      <c r="AP51" s="143">
        <v>3243.3809999999999</v>
      </c>
      <c r="AQ51" s="143">
        <v>0</v>
      </c>
      <c r="AR51" s="143"/>
      <c r="AS51" s="144"/>
      <c r="AT51" s="144">
        <v>3243.3809999999999</v>
      </c>
      <c r="AU51" s="144"/>
      <c r="AV51" s="143">
        <f>SUM(AW51:AY51)</f>
        <v>2000</v>
      </c>
      <c r="AW51" s="143"/>
      <c r="AX51" s="143"/>
      <c r="AY51" s="143">
        <f>SUM(AZ51:BB51)</f>
        <v>2000</v>
      </c>
      <c r="AZ51" s="143">
        <v>0</v>
      </c>
      <c r="BA51" s="144">
        <v>2000</v>
      </c>
      <c r="BB51" s="144"/>
      <c r="BC51" s="143">
        <v>2000</v>
      </c>
      <c r="BD51" s="143"/>
      <c r="BE51" s="143"/>
      <c r="BF51" s="143">
        <v>2000</v>
      </c>
      <c r="BG51" s="143">
        <v>0</v>
      </c>
      <c r="BH51" s="148">
        <v>0</v>
      </c>
      <c r="BI51" s="143"/>
      <c r="BJ51" s="144">
        <v>2000</v>
      </c>
      <c r="BK51" s="148"/>
      <c r="BL51" s="148"/>
      <c r="BM51" s="148"/>
      <c r="BN51" s="148"/>
      <c r="BO51" s="148"/>
      <c r="BP51" s="148"/>
      <c r="BQ51" s="148"/>
      <c r="BR51" s="148"/>
      <c r="BS51" s="148"/>
      <c r="BT51" s="148"/>
      <c r="BU51" s="148"/>
      <c r="BV51" s="148"/>
      <c r="BW51" s="148"/>
      <c r="BX51" s="231"/>
      <c r="BY51" s="421"/>
    </row>
    <row r="52" spans="1:77" ht="36" customHeight="1" outlineLevel="1">
      <c r="A52" s="420">
        <v>20</v>
      </c>
      <c r="B52" s="435" t="s">
        <v>2439</v>
      </c>
      <c r="C52" s="420" t="s">
        <v>2440</v>
      </c>
      <c r="D52" s="420" t="s">
        <v>2351</v>
      </c>
      <c r="E52" s="422" t="s">
        <v>49</v>
      </c>
      <c r="F52" s="422" t="s">
        <v>48</v>
      </c>
      <c r="G52" s="150">
        <v>7949895</v>
      </c>
      <c r="H52" s="437" t="s">
        <v>2388</v>
      </c>
      <c r="I52" s="420" t="s">
        <v>906</v>
      </c>
      <c r="J52" s="420"/>
      <c r="K52" s="424"/>
      <c r="L52" s="420" t="s">
        <v>2441</v>
      </c>
      <c r="M52" s="448">
        <v>1171</v>
      </c>
      <c r="N52" s="424"/>
      <c r="O52" s="424"/>
      <c r="P52" s="448">
        <v>1171</v>
      </c>
      <c r="Q52" s="420"/>
      <c r="R52" s="437" t="s">
        <v>2388</v>
      </c>
      <c r="S52" s="422" t="s">
        <v>2339</v>
      </c>
      <c r="T52" s="420" t="s">
        <v>2351</v>
      </c>
      <c r="U52" s="143">
        <f t="shared" si="21"/>
        <v>0</v>
      </c>
      <c r="V52" s="421"/>
      <c r="W52" s="421"/>
      <c r="X52" s="421"/>
      <c r="Y52" s="143">
        <f t="shared" si="22"/>
        <v>1112</v>
      </c>
      <c r="Z52" s="143"/>
      <c r="AA52" s="143"/>
      <c r="AB52" s="143">
        <f t="shared" si="28"/>
        <v>1112</v>
      </c>
      <c r="AC52" s="143">
        <v>0</v>
      </c>
      <c r="AD52" s="144">
        <v>1112</v>
      </c>
      <c r="AE52" s="144"/>
      <c r="AF52" s="143">
        <f t="shared" si="23"/>
        <v>1112</v>
      </c>
      <c r="AG52" s="143"/>
      <c r="AH52" s="143"/>
      <c r="AI52" s="143">
        <f t="shared" si="24"/>
        <v>1112</v>
      </c>
      <c r="AJ52" s="143">
        <v>0</v>
      </c>
      <c r="AK52" s="144">
        <v>1112</v>
      </c>
      <c r="AL52" s="144"/>
      <c r="AM52" s="143">
        <v>1112</v>
      </c>
      <c r="AN52" s="143"/>
      <c r="AO52" s="143"/>
      <c r="AP52" s="143">
        <v>1112</v>
      </c>
      <c r="AQ52" s="143">
        <v>0</v>
      </c>
      <c r="AR52" s="143"/>
      <c r="AS52" s="144"/>
      <c r="AT52" s="144">
        <v>1112</v>
      </c>
      <c r="AU52" s="144"/>
      <c r="AV52" s="143">
        <f t="shared" si="25"/>
        <v>0</v>
      </c>
      <c r="AW52" s="143"/>
      <c r="AX52" s="143"/>
      <c r="AY52" s="143">
        <f t="shared" si="26"/>
        <v>0</v>
      </c>
      <c r="AZ52" s="143">
        <v>0</v>
      </c>
      <c r="BA52" s="144">
        <v>0</v>
      </c>
      <c r="BB52" s="144"/>
      <c r="BC52" s="143">
        <v>0</v>
      </c>
      <c r="BD52" s="143"/>
      <c r="BE52" s="143"/>
      <c r="BF52" s="143">
        <v>0</v>
      </c>
      <c r="BG52" s="143">
        <v>0</v>
      </c>
      <c r="BH52" s="148">
        <v>0</v>
      </c>
      <c r="BI52" s="143"/>
      <c r="BJ52" s="148"/>
      <c r="BK52" s="148"/>
      <c r="BL52" s="148"/>
      <c r="BM52" s="148"/>
      <c r="BN52" s="148"/>
      <c r="BO52" s="148"/>
      <c r="BP52" s="148"/>
      <c r="BQ52" s="148"/>
      <c r="BR52" s="148"/>
      <c r="BS52" s="148"/>
      <c r="BT52" s="148"/>
      <c r="BU52" s="148"/>
      <c r="BV52" s="148"/>
      <c r="BW52" s="148"/>
      <c r="BX52" s="231"/>
      <c r="BY52" s="424"/>
    </row>
    <row r="53" spans="1:77" ht="69.75" customHeight="1" outlineLevel="1">
      <c r="A53" s="420">
        <v>21</v>
      </c>
      <c r="B53" s="421" t="s">
        <v>2442</v>
      </c>
      <c r="C53" s="420" t="s">
        <v>2350</v>
      </c>
      <c r="D53" s="420" t="s">
        <v>2351</v>
      </c>
      <c r="E53" s="422" t="s">
        <v>49</v>
      </c>
      <c r="F53" s="422" t="s">
        <v>125</v>
      </c>
      <c r="G53" s="150">
        <v>7935828</v>
      </c>
      <c r="H53" s="437" t="s">
        <v>2364</v>
      </c>
      <c r="I53" s="420" t="s">
        <v>73</v>
      </c>
      <c r="J53" s="422">
        <v>2021</v>
      </c>
      <c r="K53" s="424"/>
      <c r="L53" s="420" t="s">
        <v>2443</v>
      </c>
      <c r="M53" s="448">
        <v>8226</v>
      </c>
      <c r="N53" s="424"/>
      <c r="O53" s="424"/>
      <c r="P53" s="448">
        <v>8226</v>
      </c>
      <c r="Q53" s="420" t="s">
        <v>2444</v>
      </c>
      <c r="R53" s="437" t="s">
        <v>2364</v>
      </c>
      <c r="S53" s="422" t="s">
        <v>2339</v>
      </c>
      <c r="T53" s="420" t="s">
        <v>2351</v>
      </c>
      <c r="U53" s="143">
        <f t="shared" si="21"/>
        <v>0</v>
      </c>
      <c r="V53" s="421"/>
      <c r="W53" s="421"/>
      <c r="X53" s="421"/>
      <c r="Y53" s="143">
        <f t="shared" si="22"/>
        <v>6989</v>
      </c>
      <c r="Z53" s="143"/>
      <c r="AA53" s="143"/>
      <c r="AB53" s="143">
        <f t="shared" si="28"/>
        <v>6989</v>
      </c>
      <c r="AC53" s="143">
        <v>0</v>
      </c>
      <c r="AD53" s="144">
        <v>6989</v>
      </c>
      <c r="AE53" s="144"/>
      <c r="AF53" s="143">
        <f t="shared" si="23"/>
        <v>6989</v>
      </c>
      <c r="AG53" s="143"/>
      <c r="AH53" s="143"/>
      <c r="AI53" s="143">
        <f t="shared" si="24"/>
        <v>6989</v>
      </c>
      <c r="AJ53" s="143">
        <v>0</v>
      </c>
      <c r="AK53" s="144">
        <v>6989</v>
      </c>
      <c r="AL53" s="144"/>
      <c r="AM53" s="143">
        <v>5988.1270000000004</v>
      </c>
      <c r="AN53" s="143"/>
      <c r="AO53" s="143"/>
      <c r="AP53" s="143">
        <v>5988.1270000000004</v>
      </c>
      <c r="AQ53" s="143">
        <v>0</v>
      </c>
      <c r="AR53" s="143"/>
      <c r="AS53" s="144"/>
      <c r="AT53" s="144">
        <v>5988.1270000000004</v>
      </c>
      <c r="AU53" s="144"/>
      <c r="AV53" s="143">
        <f t="shared" si="25"/>
        <v>1000</v>
      </c>
      <c r="AW53" s="143"/>
      <c r="AX53" s="143"/>
      <c r="AY53" s="143">
        <f t="shared" si="26"/>
        <v>1000</v>
      </c>
      <c r="AZ53" s="143">
        <v>0</v>
      </c>
      <c r="BA53" s="144">
        <v>1000</v>
      </c>
      <c r="BB53" s="144"/>
      <c r="BC53" s="143">
        <v>1000</v>
      </c>
      <c r="BD53" s="143"/>
      <c r="BE53" s="143"/>
      <c r="BF53" s="143">
        <v>1000</v>
      </c>
      <c r="BG53" s="143">
        <v>0</v>
      </c>
      <c r="BH53" s="148">
        <v>0</v>
      </c>
      <c r="BI53" s="143"/>
      <c r="BJ53" s="148">
        <v>1000</v>
      </c>
      <c r="BK53" s="148"/>
      <c r="BL53" s="148"/>
      <c r="BM53" s="148"/>
      <c r="BN53" s="148"/>
      <c r="BO53" s="148"/>
      <c r="BP53" s="148"/>
      <c r="BQ53" s="148"/>
      <c r="BR53" s="148"/>
      <c r="BS53" s="148"/>
      <c r="BT53" s="148">
        <v>0</v>
      </c>
      <c r="BU53" s="148"/>
      <c r="BV53" s="148"/>
      <c r="BW53" s="148"/>
      <c r="BX53" s="231"/>
      <c r="BY53" s="424"/>
    </row>
    <row r="54" spans="1:77" ht="39" customHeight="1" outlineLevel="1">
      <c r="A54" s="420">
        <v>22</v>
      </c>
      <c r="B54" s="421" t="s">
        <v>2445</v>
      </c>
      <c r="C54" s="420" t="s">
        <v>2446</v>
      </c>
      <c r="D54" s="420" t="s">
        <v>2351</v>
      </c>
      <c r="E54" s="422" t="s">
        <v>49</v>
      </c>
      <c r="F54" s="422" t="s">
        <v>55</v>
      </c>
      <c r="G54" s="151">
        <v>7957987</v>
      </c>
      <c r="H54" s="437" t="s">
        <v>2398</v>
      </c>
      <c r="I54" s="420" t="s">
        <v>76</v>
      </c>
      <c r="J54" s="420"/>
      <c r="K54" s="424"/>
      <c r="L54" s="420" t="s">
        <v>2447</v>
      </c>
      <c r="M54" s="152">
        <v>9990</v>
      </c>
      <c r="N54" s="424"/>
      <c r="O54" s="424"/>
      <c r="P54" s="152">
        <v>5248</v>
      </c>
      <c r="Q54" s="420"/>
      <c r="R54" s="437" t="s">
        <v>2398</v>
      </c>
      <c r="S54" s="422" t="s">
        <v>2339</v>
      </c>
      <c r="T54" s="420" t="s">
        <v>2351</v>
      </c>
      <c r="U54" s="143">
        <f t="shared" si="21"/>
        <v>0</v>
      </c>
      <c r="V54" s="421"/>
      <c r="W54" s="421"/>
      <c r="X54" s="421"/>
      <c r="Y54" s="143">
        <f t="shared" si="22"/>
        <v>9990</v>
      </c>
      <c r="Z54" s="143"/>
      <c r="AA54" s="143"/>
      <c r="AB54" s="143">
        <f t="shared" si="28"/>
        <v>9990</v>
      </c>
      <c r="AC54" s="143">
        <v>0</v>
      </c>
      <c r="AD54" s="144">
        <v>5248</v>
      </c>
      <c r="AE54" s="144">
        <v>4742</v>
      </c>
      <c r="AF54" s="143">
        <f t="shared" si="23"/>
        <v>9529</v>
      </c>
      <c r="AG54" s="143"/>
      <c r="AH54" s="143"/>
      <c r="AI54" s="143">
        <f t="shared" si="24"/>
        <v>9529</v>
      </c>
      <c r="AJ54" s="143">
        <v>0</v>
      </c>
      <c r="AK54" s="144">
        <v>4787</v>
      </c>
      <c r="AL54" s="144">
        <v>4742</v>
      </c>
      <c r="AM54" s="143">
        <v>9528.8149999999987</v>
      </c>
      <c r="AN54" s="143"/>
      <c r="AO54" s="143"/>
      <c r="AP54" s="143">
        <v>9528.8149999999987</v>
      </c>
      <c r="AQ54" s="143">
        <v>0</v>
      </c>
      <c r="AR54" s="143"/>
      <c r="AS54" s="144"/>
      <c r="AT54" s="144">
        <v>4786.8149999999996</v>
      </c>
      <c r="AU54" s="144">
        <v>4742</v>
      </c>
      <c r="AV54" s="143">
        <f t="shared" si="25"/>
        <v>0</v>
      </c>
      <c r="AW54" s="143"/>
      <c r="AX54" s="143"/>
      <c r="AY54" s="143">
        <f t="shared" si="26"/>
        <v>0</v>
      </c>
      <c r="AZ54" s="143">
        <v>0</v>
      </c>
      <c r="BA54" s="144">
        <v>0</v>
      </c>
      <c r="BB54" s="144"/>
      <c r="BC54" s="143">
        <v>0</v>
      </c>
      <c r="BD54" s="143"/>
      <c r="BE54" s="143"/>
      <c r="BF54" s="143">
        <v>0</v>
      </c>
      <c r="BG54" s="143">
        <v>0</v>
      </c>
      <c r="BH54" s="148">
        <v>0</v>
      </c>
      <c r="BI54" s="143"/>
      <c r="BJ54" s="148"/>
      <c r="BK54" s="148"/>
      <c r="BL54" s="148"/>
      <c r="BM54" s="148"/>
      <c r="BN54" s="148"/>
      <c r="BO54" s="148"/>
      <c r="BP54" s="148"/>
      <c r="BQ54" s="148"/>
      <c r="BR54" s="148"/>
      <c r="BS54" s="148"/>
      <c r="BT54" s="148"/>
      <c r="BU54" s="148"/>
      <c r="BV54" s="148"/>
      <c r="BW54" s="148"/>
      <c r="BX54" s="231"/>
      <c r="BY54" s="424"/>
    </row>
    <row r="55" spans="1:77" ht="97.5" customHeight="1" outlineLevel="1">
      <c r="A55" s="420">
        <v>23</v>
      </c>
      <c r="B55" s="449" t="s">
        <v>2448</v>
      </c>
      <c r="C55" s="420" t="s">
        <v>2395</v>
      </c>
      <c r="D55" s="420" t="s">
        <v>2351</v>
      </c>
      <c r="E55" s="422" t="s">
        <v>49</v>
      </c>
      <c r="F55" s="422" t="s">
        <v>125</v>
      </c>
      <c r="G55" s="151">
        <v>8015318</v>
      </c>
      <c r="H55" s="437" t="s">
        <v>2398</v>
      </c>
      <c r="I55" s="420" t="s">
        <v>906</v>
      </c>
      <c r="J55" s="420"/>
      <c r="K55" s="424"/>
      <c r="L55" s="420" t="s">
        <v>2449</v>
      </c>
      <c r="M55" s="152">
        <v>1207</v>
      </c>
      <c r="N55" s="424"/>
      <c r="O55" s="424"/>
      <c r="P55" s="152">
        <v>1207</v>
      </c>
      <c r="Q55" s="420"/>
      <c r="R55" s="437" t="s">
        <v>2398</v>
      </c>
      <c r="S55" s="422" t="s">
        <v>2339</v>
      </c>
      <c r="T55" s="420" t="s">
        <v>2351</v>
      </c>
      <c r="U55" s="143">
        <f t="shared" si="21"/>
        <v>0</v>
      </c>
      <c r="V55" s="421"/>
      <c r="W55" s="421"/>
      <c r="X55" s="421"/>
      <c r="Y55" s="143">
        <f t="shared" si="22"/>
        <v>1207</v>
      </c>
      <c r="Z55" s="143"/>
      <c r="AA55" s="143"/>
      <c r="AB55" s="143">
        <f t="shared" si="28"/>
        <v>1207</v>
      </c>
      <c r="AC55" s="143">
        <v>0</v>
      </c>
      <c r="AD55" s="144">
        <v>1207</v>
      </c>
      <c r="AE55" s="144"/>
      <c r="AF55" s="143">
        <f t="shared" si="23"/>
        <v>1096</v>
      </c>
      <c r="AG55" s="143"/>
      <c r="AH55" s="143"/>
      <c r="AI55" s="143">
        <f t="shared" si="24"/>
        <v>1096</v>
      </c>
      <c r="AJ55" s="143">
        <v>0</v>
      </c>
      <c r="AK55" s="144">
        <v>1096</v>
      </c>
      <c r="AL55" s="144"/>
      <c r="AM55" s="143">
        <v>1096</v>
      </c>
      <c r="AN55" s="143"/>
      <c r="AO55" s="143"/>
      <c r="AP55" s="143">
        <v>1096</v>
      </c>
      <c r="AQ55" s="143">
        <v>0</v>
      </c>
      <c r="AR55" s="143"/>
      <c r="AS55" s="144"/>
      <c r="AT55" s="144">
        <v>1096</v>
      </c>
      <c r="AU55" s="144"/>
      <c r="AV55" s="143">
        <f t="shared" si="25"/>
        <v>0</v>
      </c>
      <c r="AW55" s="143"/>
      <c r="AX55" s="143"/>
      <c r="AY55" s="143">
        <f t="shared" si="26"/>
        <v>0</v>
      </c>
      <c r="AZ55" s="143">
        <v>0</v>
      </c>
      <c r="BA55" s="144">
        <v>0</v>
      </c>
      <c r="BB55" s="144"/>
      <c r="BC55" s="143">
        <v>0</v>
      </c>
      <c r="BD55" s="143"/>
      <c r="BE55" s="143"/>
      <c r="BF55" s="143">
        <v>0</v>
      </c>
      <c r="BG55" s="143">
        <v>0</v>
      </c>
      <c r="BH55" s="148">
        <v>0</v>
      </c>
      <c r="BI55" s="143"/>
      <c r="BJ55" s="148"/>
      <c r="BK55" s="148"/>
      <c r="BL55" s="148"/>
      <c r="BM55" s="148"/>
      <c r="BN55" s="148"/>
      <c r="BO55" s="148"/>
      <c r="BP55" s="148"/>
      <c r="BQ55" s="148"/>
      <c r="BR55" s="148"/>
      <c r="BS55" s="148"/>
      <c r="BT55" s="148"/>
      <c r="BU55" s="148"/>
      <c r="BV55" s="148"/>
      <c r="BW55" s="148"/>
      <c r="BX55" s="231"/>
      <c r="BY55" s="424"/>
    </row>
    <row r="56" spans="1:77" ht="64.5" customHeight="1" outlineLevel="1">
      <c r="A56" s="420">
        <v>24</v>
      </c>
      <c r="B56" s="421" t="s">
        <v>2450</v>
      </c>
      <c r="C56" s="420" t="s">
        <v>2395</v>
      </c>
      <c r="D56" s="420" t="s">
        <v>2351</v>
      </c>
      <c r="E56" s="422" t="s">
        <v>49</v>
      </c>
      <c r="F56" s="422" t="s">
        <v>125</v>
      </c>
      <c r="G56" s="151">
        <v>8015317</v>
      </c>
      <c r="H56" s="437" t="s">
        <v>2398</v>
      </c>
      <c r="I56" s="420" t="s">
        <v>910</v>
      </c>
      <c r="J56" s="420"/>
      <c r="K56" s="424"/>
      <c r="L56" s="420" t="s">
        <v>2451</v>
      </c>
      <c r="M56" s="152">
        <v>1155.9000000000001</v>
      </c>
      <c r="N56" s="424"/>
      <c r="O56" s="424"/>
      <c r="P56" s="152">
        <v>1155.9000000000001</v>
      </c>
      <c r="Q56" s="420"/>
      <c r="R56" s="437" t="s">
        <v>2398</v>
      </c>
      <c r="S56" s="422" t="s">
        <v>2339</v>
      </c>
      <c r="T56" s="420" t="s">
        <v>2351</v>
      </c>
      <c r="U56" s="143">
        <f t="shared" si="21"/>
        <v>0</v>
      </c>
      <c r="V56" s="421"/>
      <c r="W56" s="421"/>
      <c r="X56" s="421"/>
      <c r="Y56" s="143">
        <f t="shared" si="22"/>
        <v>1155</v>
      </c>
      <c r="Z56" s="143"/>
      <c r="AA56" s="143"/>
      <c r="AB56" s="143">
        <f t="shared" si="28"/>
        <v>1155</v>
      </c>
      <c r="AC56" s="143">
        <v>0</v>
      </c>
      <c r="AD56" s="144">
        <v>1155</v>
      </c>
      <c r="AE56" s="144"/>
      <c r="AF56" s="143">
        <f t="shared" si="23"/>
        <v>1155</v>
      </c>
      <c r="AG56" s="143"/>
      <c r="AH56" s="143"/>
      <c r="AI56" s="143">
        <f t="shared" si="24"/>
        <v>1155</v>
      </c>
      <c r="AJ56" s="143">
        <v>0</v>
      </c>
      <c r="AK56" s="144">
        <v>1155</v>
      </c>
      <c r="AL56" s="144"/>
      <c r="AM56" s="143">
        <v>1043.223506</v>
      </c>
      <c r="AN56" s="143"/>
      <c r="AO56" s="143"/>
      <c r="AP56" s="143">
        <v>1043.223506</v>
      </c>
      <c r="AQ56" s="143">
        <v>0</v>
      </c>
      <c r="AR56" s="143"/>
      <c r="AS56" s="144"/>
      <c r="AT56" s="144">
        <v>1043.223506</v>
      </c>
      <c r="AU56" s="144"/>
      <c r="AV56" s="143">
        <f t="shared" si="25"/>
        <v>0</v>
      </c>
      <c r="AW56" s="143"/>
      <c r="AX56" s="143"/>
      <c r="AY56" s="143">
        <f t="shared" si="26"/>
        <v>0</v>
      </c>
      <c r="AZ56" s="143">
        <v>0</v>
      </c>
      <c r="BA56" s="144">
        <v>0</v>
      </c>
      <c r="BB56" s="144"/>
      <c r="BC56" s="143">
        <v>0</v>
      </c>
      <c r="BD56" s="143"/>
      <c r="BE56" s="143"/>
      <c r="BF56" s="143">
        <v>0</v>
      </c>
      <c r="BG56" s="143">
        <v>0</v>
      </c>
      <c r="BH56" s="148">
        <v>0</v>
      </c>
      <c r="BI56" s="143"/>
      <c r="BJ56" s="148"/>
      <c r="BK56" s="148"/>
      <c r="BL56" s="148"/>
      <c r="BM56" s="148"/>
      <c r="BN56" s="148"/>
      <c r="BO56" s="148"/>
      <c r="BP56" s="148"/>
      <c r="BQ56" s="148"/>
      <c r="BR56" s="148"/>
      <c r="BS56" s="148"/>
      <c r="BT56" s="148"/>
      <c r="BU56" s="148"/>
      <c r="BV56" s="148"/>
      <c r="BW56" s="148"/>
      <c r="BX56" s="231"/>
      <c r="BY56" s="424"/>
    </row>
    <row r="57" spans="1:77" ht="30.75" outlineLevel="1">
      <c r="A57" s="420">
        <v>25</v>
      </c>
      <c r="B57" s="421" t="s">
        <v>2452</v>
      </c>
      <c r="C57" s="420" t="s">
        <v>2350</v>
      </c>
      <c r="D57" s="420" t="s">
        <v>2351</v>
      </c>
      <c r="E57" s="422" t="s">
        <v>49</v>
      </c>
      <c r="F57" s="422" t="s">
        <v>78</v>
      </c>
      <c r="G57" s="151">
        <v>7986356</v>
      </c>
      <c r="H57" s="437" t="s">
        <v>2368</v>
      </c>
      <c r="I57" s="420" t="s">
        <v>76</v>
      </c>
      <c r="J57" s="422">
        <v>2022</v>
      </c>
      <c r="K57" s="424"/>
      <c r="L57" s="436" t="s">
        <v>2453</v>
      </c>
      <c r="M57" s="440">
        <v>1226</v>
      </c>
      <c r="N57" s="424"/>
      <c r="O57" s="424"/>
      <c r="P57" s="440">
        <v>1226</v>
      </c>
      <c r="Q57" s="420" t="s">
        <v>2454</v>
      </c>
      <c r="R57" s="437" t="s">
        <v>2368</v>
      </c>
      <c r="S57" s="422" t="s">
        <v>2339</v>
      </c>
      <c r="T57" s="420" t="s">
        <v>2351</v>
      </c>
      <c r="U57" s="143">
        <f t="shared" si="21"/>
        <v>0</v>
      </c>
      <c r="V57" s="421"/>
      <c r="W57" s="421"/>
      <c r="X57" s="421"/>
      <c r="Y57" s="143">
        <f t="shared" si="22"/>
        <v>1211</v>
      </c>
      <c r="Z57" s="143"/>
      <c r="AA57" s="143"/>
      <c r="AB57" s="143">
        <f t="shared" si="28"/>
        <v>1211</v>
      </c>
      <c r="AC57" s="143">
        <v>0</v>
      </c>
      <c r="AD57" s="144">
        <v>611</v>
      </c>
      <c r="AE57" s="144">
        <v>600</v>
      </c>
      <c r="AF57" s="143">
        <f t="shared" si="23"/>
        <v>1200</v>
      </c>
      <c r="AG57" s="143"/>
      <c r="AH57" s="143"/>
      <c r="AI57" s="143">
        <f t="shared" si="24"/>
        <v>1200</v>
      </c>
      <c r="AJ57" s="143">
        <v>0</v>
      </c>
      <c r="AK57" s="144">
        <v>600</v>
      </c>
      <c r="AL57" s="144">
        <v>600</v>
      </c>
      <c r="AM57" s="143">
        <v>1200</v>
      </c>
      <c r="AN57" s="143"/>
      <c r="AO57" s="143"/>
      <c r="AP57" s="143">
        <v>1200</v>
      </c>
      <c r="AQ57" s="143">
        <v>0</v>
      </c>
      <c r="AR57" s="143"/>
      <c r="AS57" s="144"/>
      <c r="AT57" s="144">
        <v>600</v>
      </c>
      <c r="AU57" s="144">
        <v>600</v>
      </c>
      <c r="AV57" s="143">
        <f t="shared" si="25"/>
        <v>10.218</v>
      </c>
      <c r="AW57" s="143"/>
      <c r="AX57" s="143"/>
      <c r="AY57" s="143">
        <f t="shared" si="26"/>
        <v>10.218</v>
      </c>
      <c r="AZ57" s="143">
        <v>0</v>
      </c>
      <c r="BA57" s="144">
        <v>10.218</v>
      </c>
      <c r="BB57" s="144"/>
      <c r="BC57" s="143">
        <v>10.218</v>
      </c>
      <c r="BD57" s="143"/>
      <c r="BE57" s="143"/>
      <c r="BF57" s="143">
        <v>10.218</v>
      </c>
      <c r="BG57" s="143">
        <v>0</v>
      </c>
      <c r="BH57" s="148">
        <v>0</v>
      </c>
      <c r="BI57" s="143"/>
      <c r="BJ57" s="148">
        <v>10.218</v>
      </c>
      <c r="BK57" s="148"/>
      <c r="BL57" s="148"/>
      <c r="BM57" s="148"/>
      <c r="BN57" s="148"/>
      <c r="BO57" s="148"/>
      <c r="BP57" s="148"/>
      <c r="BQ57" s="148"/>
      <c r="BR57" s="148"/>
      <c r="BS57" s="148"/>
      <c r="BT57" s="148">
        <v>0</v>
      </c>
      <c r="BU57" s="148"/>
      <c r="BV57" s="148"/>
      <c r="BW57" s="148"/>
      <c r="BX57" s="231"/>
      <c r="BY57" s="424"/>
    </row>
    <row r="58" spans="1:77" ht="64.5" customHeight="1" outlineLevel="1">
      <c r="A58" s="420">
        <v>26</v>
      </c>
      <c r="B58" s="421" t="s">
        <v>2455</v>
      </c>
      <c r="C58" s="420" t="s">
        <v>2395</v>
      </c>
      <c r="D58" s="420" t="s">
        <v>2351</v>
      </c>
      <c r="E58" s="422"/>
      <c r="F58" s="422" t="s">
        <v>125</v>
      </c>
      <c r="G58" s="151">
        <v>8119949</v>
      </c>
      <c r="H58" s="437" t="s">
        <v>2398</v>
      </c>
      <c r="I58" s="420" t="s">
        <v>960</v>
      </c>
      <c r="J58" s="420"/>
      <c r="K58" s="424"/>
      <c r="L58" s="436" t="s">
        <v>2456</v>
      </c>
      <c r="M58" s="440">
        <v>1139.933</v>
      </c>
      <c r="N58" s="424"/>
      <c r="O58" s="424"/>
      <c r="P58" s="440">
        <v>1139.933</v>
      </c>
      <c r="Q58" s="420"/>
      <c r="R58" s="437" t="s">
        <v>2398</v>
      </c>
      <c r="S58" s="422" t="s">
        <v>2339</v>
      </c>
      <c r="T58" s="420" t="s">
        <v>2351</v>
      </c>
      <c r="U58" s="143">
        <f t="shared" si="21"/>
        <v>0</v>
      </c>
      <c r="V58" s="421"/>
      <c r="W58" s="421"/>
      <c r="X58" s="421"/>
      <c r="Y58" s="143">
        <f t="shared" si="22"/>
        <v>1140</v>
      </c>
      <c r="Z58" s="143"/>
      <c r="AA58" s="145"/>
      <c r="AB58" s="143">
        <f t="shared" si="28"/>
        <v>1140</v>
      </c>
      <c r="AC58" s="143">
        <v>1058</v>
      </c>
      <c r="AD58" s="144">
        <v>82</v>
      </c>
      <c r="AE58" s="144"/>
      <c r="AF58" s="143">
        <f t="shared" si="23"/>
        <v>0</v>
      </c>
      <c r="AG58" s="143"/>
      <c r="AH58" s="143"/>
      <c r="AI58" s="143">
        <f t="shared" si="24"/>
        <v>0</v>
      </c>
      <c r="AJ58" s="143">
        <v>0</v>
      </c>
      <c r="AK58" s="144">
        <v>0</v>
      </c>
      <c r="AL58" s="144"/>
      <c r="AM58" s="143">
        <v>0</v>
      </c>
      <c r="AN58" s="143"/>
      <c r="AO58" s="143"/>
      <c r="AP58" s="143">
        <v>0</v>
      </c>
      <c r="AQ58" s="143">
        <v>0</v>
      </c>
      <c r="AR58" s="143"/>
      <c r="AS58" s="144"/>
      <c r="AT58" s="144">
        <v>0</v>
      </c>
      <c r="AU58" s="144"/>
      <c r="AV58" s="143">
        <f t="shared" si="25"/>
        <v>1058</v>
      </c>
      <c r="AW58" s="143"/>
      <c r="AX58" s="144"/>
      <c r="AY58" s="143">
        <f t="shared" si="26"/>
        <v>1058</v>
      </c>
      <c r="AZ58" s="143">
        <v>1058</v>
      </c>
      <c r="BA58" s="144">
        <v>0</v>
      </c>
      <c r="BB58" s="144"/>
      <c r="BC58" s="143">
        <v>1050.8507999999999</v>
      </c>
      <c r="BD58" s="143"/>
      <c r="BE58" s="144"/>
      <c r="BF58" s="143">
        <v>1050.8507999999999</v>
      </c>
      <c r="BG58" s="143">
        <v>1050.8507999999999</v>
      </c>
      <c r="BH58" s="148">
        <v>1050.8507999999999</v>
      </c>
      <c r="BI58" s="143"/>
      <c r="BJ58" s="148"/>
      <c r="BK58" s="148"/>
      <c r="BL58" s="148"/>
      <c r="BM58" s="148"/>
      <c r="BN58" s="148"/>
      <c r="BO58" s="148"/>
      <c r="BP58" s="148"/>
      <c r="BQ58" s="148"/>
      <c r="BR58" s="148"/>
      <c r="BS58" s="148"/>
      <c r="BT58" s="148"/>
      <c r="BU58" s="148"/>
      <c r="BV58" s="148"/>
      <c r="BW58" s="148"/>
      <c r="BX58" s="231"/>
      <c r="BY58" s="436"/>
    </row>
    <row r="59" spans="1:77" ht="36.75" customHeight="1" outlineLevel="1">
      <c r="A59" s="420">
        <v>27</v>
      </c>
      <c r="B59" s="449" t="s">
        <v>2457</v>
      </c>
      <c r="C59" s="420" t="s">
        <v>2350</v>
      </c>
      <c r="D59" s="420" t="s">
        <v>2351</v>
      </c>
      <c r="E59" s="422" t="s">
        <v>49</v>
      </c>
      <c r="F59" s="422" t="s">
        <v>78</v>
      </c>
      <c r="G59" s="151">
        <v>8037460</v>
      </c>
      <c r="H59" s="437" t="s">
        <v>2364</v>
      </c>
      <c r="I59" s="420" t="s">
        <v>84</v>
      </c>
      <c r="J59" s="422">
        <v>2024</v>
      </c>
      <c r="K59" s="424"/>
      <c r="L59" s="436" t="s">
        <v>2458</v>
      </c>
      <c r="M59" s="440">
        <v>4200</v>
      </c>
      <c r="N59" s="424"/>
      <c r="O59" s="424"/>
      <c r="P59" s="440">
        <v>4200</v>
      </c>
      <c r="Q59" s="420"/>
      <c r="R59" s="437" t="s">
        <v>2364</v>
      </c>
      <c r="S59" s="422" t="s">
        <v>2339</v>
      </c>
      <c r="T59" s="420" t="s">
        <v>2351</v>
      </c>
      <c r="U59" s="143">
        <f t="shared" si="21"/>
        <v>0</v>
      </c>
      <c r="V59" s="421"/>
      <c r="W59" s="421"/>
      <c r="X59" s="421"/>
      <c r="Y59" s="143">
        <f t="shared" si="22"/>
        <v>4200</v>
      </c>
      <c r="Z59" s="143"/>
      <c r="AA59" s="144"/>
      <c r="AB59" s="143">
        <f t="shared" si="28"/>
        <v>4200</v>
      </c>
      <c r="AC59" s="143">
        <v>0</v>
      </c>
      <c r="AD59" s="144">
        <v>4200</v>
      </c>
      <c r="AE59" s="144"/>
      <c r="AF59" s="143">
        <f t="shared" si="23"/>
        <v>4000</v>
      </c>
      <c r="AG59" s="143"/>
      <c r="AH59" s="143"/>
      <c r="AI59" s="143">
        <f t="shared" si="24"/>
        <v>4000</v>
      </c>
      <c r="AJ59" s="143">
        <v>0</v>
      </c>
      <c r="AK59" s="144">
        <v>1000</v>
      </c>
      <c r="AL59" s="144">
        <v>3000</v>
      </c>
      <c r="AM59" s="143">
        <v>2127</v>
      </c>
      <c r="AN59" s="143"/>
      <c r="AO59" s="143">
        <v>2127</v>
      </c>
      <c r="AP59" s="143">
        <v>0</v>
      </c>
      <c r="AQ59" s="143">
        <v>0</v>
      </c>
      <c r="AR59" s="143"/>
      <c r="AS59" s="144"/>
      <c r="AT59" s="144">
        <v>0</v>
      </c>
      <c r="AU59" s="144"/>
      <c r="AV59" s="143">
        <f t="shared" si="25"/>
        <v>1000</v>
      </c>
      <c r="AW59" s="143"/>
      <c r="AX59" s="143"/>
      <c r="AY59" s="143">
        <f t="shared" si="26"/>
        <v>1000</v>
      </c>
      <c r="AZ59" s="143">
        <v>0</v>
      </c>
      <c r="BA59" s="144">
        <v>1000</v>
      </c>
      <c r="BB59" s="144"/>
      <c r="BC59" s="143">
        <v>398.42599999999999</v>
      </c>
      <c r="BD59" s="143"/>
      <c r="BE59" s="143"/>
      <c r="BF59" s="143">
        <v>398.42599999999999</v>
      </c>
      <c r="BG59" s="143">
        <v>0</v>
      </c>
      <c r="BH59" s="148">
        <v>0</v>
      </c>
      <c r="BI59" s="143"/>
      <c r="BJ59" s="148">
        <v>398.42599999999999</v>
      </c>
      <c r="BK59" s="148"/>
      <c r="BL59" s="148">
        <v>873</v>
      </c>
      <c r="BM59" s="148"/>
      <c r="BN59" s="148"/>
      <c r="BO59" s="148">
        <v>873</v>
      </c>
      <c r="BP59" s="148">
        <v>873</v>
      </c>
      <c r="BQ59" s="148"/>
      <c r="BR59" s="148"/>
      <c r="BS59" s="148">
        <v>873</v>
      </c>
      <c r="BT59" s="148">
        <v>0</v>
      </c>
      <c r="BU59" s="148">
        <v>0</v>
      </c>
      <c r="BV59" s="148">
        <v>0</v>
      </c>
      <c r="BW59" s="148">
        <v>0</v>
      </c>
      <c r="BX59" s="231"/>
      <c r="BY59" s="424"/>
    </row>
    <row r="60" spans="1:77" ht="51" customHeight="1" outlineLevel="1">
      <c r="A60" s="420">
        <v>28</v>
      </c>
      <c r="B60" s="421" t="s">
        <v>2459</v>
      </c>
      <c r="C60" s="420" t="s">
        <v>2350</v>
      </c>
      <c r="D60" s="420" t="s">
        <v>2351</v>
      </c>
      <c r="E60" s="422" t="s">
        <v>49</v>
      </c>
      <c r="F60" s="422" t="s">
        <v>2460</v>
      </c>
      <c r="G60" s="149">
        <v>8135521</v>
      </c>
      <c r="H60" s="437" t="s">
        <v>2352</v>
      </c>
      <c r="I60" s="420" t="s">
        <v>84</v>
      </c>
      <c r="J60" s="422">
        <v>2024</v>
      </c>
      <c r="K60" s="424"/>
      <c r="L60" s="420" t="s">
        <v>2461</v>
      </c>
      <c r="M60" s="142">
        <v>2522.0830000000001</v>
      </c>
      <c r="N60" s="424"/>
      <c r="O60" s="424"/>
      <c r="P60" s="142">
        <v>2522</v>
      </c>
      <c r="Q60" s="420"/>
      <c r="R60" s="437" t="s">
        <v>2352</v>
      </c>
      <c r="S60" s="422" t="s">
        <v>2339</v>
      </c>
      <c r="T60" s="420" t="s">
        <v>2351</v>
      </c>
      <c r="U60" s="143">
        <f t="shared" si="21"/>
        <v>0</v>
      </c>
      <c r="V60" s="421"/>
      <c r="W60" s="421"/>
      <c r="X60" s="421"/>
      <c r="Y60" s="143">
        <f t="shared" si="22"/>
        <v>2522</v>
      </c>
      <c r="Z60" s="143"/>
      <c r="AA60" s="143"/>
      <c r="AB60" s="143">
        <f t="shared" si="28"/>
        <v>2522</v>
      </c>
      <c r="AC60" s="143">
        <v>0</v>
      </c>
      <c r="AD60" s="144">
        <v>1322</v>
      </c>
      <c r="AE60" s="144">
        <v>1200</v>
      </c>
      <c r="AF60" s="143">
        <f t="shared" si="23"/>
        <v>2508</v>
      </c>
      <c r="AG60" s="143"/>
      <c r="AH60" s="143"/>
      <c r="AI60" s="143">
        <f t="shared" si="24"/>
        <v>2508</v>
      </c>
      <c r="AJ60" s="143">
        <v>0</v>
      </c>
      <c r="AK60" s="144">
        <v>1308</v>
      </c>
      <c r="AL60" s="144">
        <v>1200</v>
      </c>
      <c r="AM60" s="143">
        <v>804.81399999999996</v>
      </c>
      <c r="AN60" s="143"/>
      <c r="AO60" s="143"/>
      <c r="AP60" s="143">
        <v>804.81399999999996</v>
      </c>
      <c r="AQ60" s="143">
        <v>0</v>
      </c>
      <c r="AR60" s="143"/>
      <c r="AS60" s="144"/>
      <c r="AT60" s="144">
        <v>0</v>
      </c>
      <c r="AU60" s="144">
        <v>804.81399999999996</v>
      </c>
      <c r="AV60" s="143">
        <f t="shared" si="25"/>
        <v>1308</v>
      </c>
      <c r="AW60" s="143"/>
      <c r="AX60" s="143"/>
      <c r="AY60" s="143">
        <f t="shared" si="26"/>
        <v>1308</v>
      </c>
      <c r="AZ60" s="143">
        <v>0</v>
      </c>
      <c r="BA60" s="144">
        <v>1308</v>
      </c>
      <c r="BB60" s="144"/>
      <c r="BC60" s="143">
        <v>1021.444</v>
      </c>
      <c r="BD60" s="143"/>
      <c r="BE60" s="143"/>
      <c r="BF60" s="143">
        <v>1021.444</v>
      </c>
      <c r="BG60" s="143">
        <v>0</v>
      </c>
      <c r="BH60" s="148">
        <v>0</v>
      </c>
      <c r="BI60" s="143"/>
      <c r="BJ60" s="148">
        <v>1021.444</v>
      </c>
      <c r="BK60" s="148"/>
      <c r="BL60" s="148">
        <v>395.16800000000001</v>
      </c>
      <c r="BM60" s="148"/>
      <c r="BN60" s="148"/>
      <c r="BO60" s="148">
        <v>395.16800000000001</v>
      </c>
      <c r="BP60" s="148">
        <v>395.16800000000001</v>
      </c>
      <c r="BQ60" s="148"/>
      <c r="BR60" s="148"/>
      <c r="BS60" s="148">
        <v>395.16800000000001</v>
      </c>
      <c r="BT60" s="148">
        <v>0</v>
      </c>
      <c r="BU60" s="148">
        <v>0</v>
      </c>
      <c r="BV60" s="148">
        <v>0</v>
      </c>
      <c r="BW60" s="148">
        <v>0</v>
      </c>
      <c r="BX60" s="231"/>
      <c r="BY60" s="424"/>
    </row>
    <row r="61" spans="1:77" ht="30.75" outlineLevel="1">
      <c r="A61" s="420">
        <v>29</v>
      </c>
      <c r="B61" s="442" t="s">
        <v>2462</v>
      </c>
      <c r="C61" s="420" t="s">
        <v>2463</v>
      </c>
      <c r="D61" s="420" t="s">
        <v>2351</v>
      </c>
      <c r="E61" s="422" t="s">
        <v>49</v>
      </c>
      <c r="F61" s="422" t="s">
        <v>125</v>
      </c>
      <c r="G61" s="151">
        <v>7996722</v>
      </c>
      <c r="H61" s="437" t="s">
        <v>2388</v>
      </c>
      <c r="I61" s="420" t="s">
        <v>56</v>
      </c>
      <c r="J61" s="420"/>
      <c r="K61" s="424"/>
      <c r="L61" s="420" t="s">
        <v>2464</v>
      </c>
      <c r="M61" s="152">
        <v>2092</v>
      </c>
      <c r="N61" s="424"/>
      <c r="O61" s="424"/>
      <c r="P61" s="152">
        <v>2092</v>
      </c>
      <c r="Q61" s="420"/>
      <c r="R61" s="437" t="s">
        <v>2388</v>
      </c>
      <c r="S61" s="422" t="s">
        <v>2339</v>
      </c>
      <c r="T61" s="420" t="s">
        <v>2351</v>
      </c>
      <c r="U61" s="143">
        <f t="shared" si="21"/>
        <v>0</v>
      </c>
      <c r="V61" s="421"/>
      <c r="W61" s="421"/>
      <c r="X61" s="421"/>
      <c r="Y61" s="143">
        <f t="shared" si="22"/>
        <v>2092</v>
      </c>
      <c r="Z61" s="143"/>
      <c r="AA61" s="143"/>
      <c r="AB61" s="143">
        <f t="shared" si="28"/>
        <v>2092</v>
      </c>
      <c r="AC61" s="143">
        <v>0</v>
      </c>
      <c r="AD61" s="144">
        <v>2092</v>
      </c>
      <c r="AE61" s="144"/>
      <c r="AF61" s="143">
        <f t="shared" si="23"/>
        <v>2092</v>
      </c>
      <c r="AG61" s="143"/>
      <c r="AH61" s="143"/>
      <c r="AI61" s="143">
        <f t="shared" si="24"/>
        <v>2092</v>
      </c>
      <c r="AJ61" s="143">
        <v>0</v>
      </c>
      <c r="AK61" s="144">
        <v>2092</v>
      </c>
      <c r="AL61" s="144"/>
      <c r="AM61" s="143">
        <v>500</v>
      </c>
      <c r="AN61" s="143"/>
      <c r="AO61" s="143"/>
      <c r="AP61" s="143">
        <v>500</v>
      </c>
      <c r="AQ61" s="143">
        <v>0</v>
      </c>
      <c r="AR61" s="143"/>
      <c r="AS61" s="144"/>
      <c r="AT61" s="144">
        <v>500</v>
      </c>
      <c r="AU61" s="144"/>
      <c r="AV61" s="143">
        <f t="shared" si="25"/>
        <v>2092</v>
      </c>
      <c r="AW61" s="143"/>
      <c r="AX61" s="143"/>
      <c r="AY61" s="143">
        <f t="shared" si="26"/>
        <v>2092</v>
      </c>
      <c r="AZ61" s="143">
        <v>0</v>
      </c>
      <c r="BA61" s="144">
        <v>2092</v>
      </c>
      <c r="BB61" s="144"/>
      <c r="BC61" s="143">
        <v>1299.921114</v>
      </c>
      <c r="BD61" s="143"/>
      <c r="BE61" s="143"/>
      <c r="BF61" s="143">
        <v>1299.921114</v>
      </c>
      <c r="BG61" s="143">
        <v>0</v>
      </c>
      <c r="BH61" s="148">
        <v>0</v>
      </c>
      <c r="BI61" s="143"/>
      <c r="BJ61" s="148">
        <v>1299.921114</v>
      </c>
      <c r="BK61" s="148"/>
      <c r="BL61" s="148">
        <v>0</v>
      </c>
      <c r="BM61" s="148"/>
      <c r="BN61" s="148"/>
      <c r="BO61" s="148"/>
      <c r="BP61" s="148">
        <v>0</v>
      </c>
      <c r="BQ61" s="148"/>
      <c r="BR61" s="148"/>
      <c r="BS61" s="148"/>
      <c r="BT61" s="148"/>
      <c r="BU61" s="148"/>
      <c r="BV61" s="148"/>
      <c r="BW61" s="148"/>
      <c r="BX61" s="231"/>
      <c r="BY61" s="424"/>
    </row>
    <row r="62" spans="1:77" ht="99" customHeight="1" outlineLevel="1">
      <c r="A62" s="420">
        <v>30</v>
      </c>
      <c r="B62" s="442" t="s">
        <v>2465</v>
      </c>
      <c r="C62" s="428" t="s">
        <v>2395</v>
      </c>
      <c r="D62" s="420" t="s">
        <v>2351</v>
      </c>
      <c r="E62" s="422" t="s">
        <v>49</v>
      </c>
      <c r="F62" s="422" t="s">
        <v>125</v>
      </c>
      <c r="G62" s="142">
        <v>7903094</v>
      </c>
      <c r="H62" s="437" t="s">
        <v>2398</v>
      </c>
      <c r="I62" s="420" t="s">
        <v>891</v>
      </c>
      <c r="J62" s="420"/>
      <c r="K62" s="424"/>
      <c r="L62" s="436" t="s">
        <v>2466</v>
      </c>
      <c r="M62" s="146">
        <v>999.77099999999996</v>
      </c>
      <c r="N62" s="424"/>
      <c r="O62" s="424"/>
      <c r="P62" s="424"/>
      <c r="Q62" s="420"/>
      <c r="R62" s="437" t="s">
        <v>2398</v>
      </c>
      <c r="S62" s="422" t="s">
        <v>2339</v>
      </c>
      <c r="T62" s="420" t="s">
        <v>2351</v>
      </c>
      <c r="U62" s="143">
        <f t="shared" si="21"/>
        <v>0</v>
      </c>
      <c r="V62" s="421"/>
      <c r="W62" s="421"/>
      <c r="X62" s="421"/>
      <c r="Y62" s="143">
        <f t="shared" si="22"/>
        <v>649</v>
      </c>
      <c r="Z62" s="143"/>
      <c r="AA62" s="143"/>
      <c r="AB62" s="143">
        <f t="shared" si="28"/>
        <v>649</v>
      </c>
      <c r="AC62" s="143">
        <v>0</v>
      </c>
      <c r="AD62" s="144"/>
      <c r="AE62" s="144">
        <v>649</v>
      </c>
      <c r="AF62" s="143">
        <f t="shared" si="23"/>
        <v>649</v>
      </c>
      <c r="AG62" s="143"/>
      <c r="AH62" s="143"/>
      <c r="AI62" s="143">
        <f t="shared" si="24"/>
        <v>649</v>
      </c>
      <c r="AJ62" s="143">
        <v>0</v>
      </c>
      <c r="AK62" s="144"/>
      <c r="AL62" s="144">
        <v>649</v>
      </c>
      <c r="AM62" s="143">
        <v>648.91764999999998</v>
      </c>
      <c r="AN62" s="143"/>
      <c r="AO62" s="143"/>
      <c r="AP62" s="143">
        <v>648.91764999999998</v>
      </c>
      <c r="AQ62" s="143">
        <v>0</v>
      </c>
      <c r="AR62" s="144"/>
      <c r="AS62" s="144"/>
      <c r="AT62" s="144"/>
      <c r="AU62" s="144">
        <v>648.91764999999998</v>
      </c>
      <c r="AV62" s="143">
        <f t="shared" si="25"/>
        <v>0</v>
      </c>
      <c r="AW62" s="143"/>
      <c r="AX62" s="143"/>
      <c r="AY62" s="143">
        <f t="shared" si="26"/>
        <v>0</v>
      </c>
      <c r="AZ62" s="143">
        <v>0</v>
      </c>
      <c r="BA62" s="144"/>
      <c r="BB62" s="144"/>
      <c r="BC62" s="143">
        <v>0</v>
      </c>
      <c r="BD62" s="143"/>
      <c r="BE62" s="143"/>
      <c r="BF62" s="143">
        <v>0</v>
      </c>
      <c r="BG62" s="143">
        <v>0</v>
      </c>
      <c r="BH62" s="148">
        <v>0</v>
      </c>
      <c r="BI62" s="143"/>
      <c r="BJ62" s="148"/>
      <c r="BK62" s="148"/>
      <c r="BL62" s="148"/>
      <c r="BM62" s="148"/>
      <c r="BN62" s="148"/>
      <c r="BO62" s="148"/>
      <c r="BP62" s="148"/>
      <c r="BQ62" s="148"/>
      <c r="BR62" s="148"/>
      <c r="BS62" s="148"/>
      <c r="BT62" s="148"/>
      <c r="BU62" s="148"/>
      <c r="BV62" s="148"/>
      <c r="BW62" s="148"/>
      <c r="BX62" s="231"/>
      <c r="BY62" s="424"/>
    </row>
    <row r="63" spans="1:77" ht="114" customHeight="1" outlineLevel="1">
      <c r="A63" s="420">
        <v>31</v>
      </c>
      <c r="B63" s="449" t="s">
        <v>2467</v>
      </c>
      <c r="C63" s="428" t="s">
        <v>2395</v>
      </c>
      <c r="D63" s="420" t="s">
        <v>2351</v>
      </c>
      <c r="E63" s="422" t="s">
        <v>49</v>
      </c>
      <c r="F63" s="422" t="s">
        <v>125</v>
      </c>
      <c r="G63" s="142">
        <v>7906840</v>
      </c>
      <c r="H63" s="437" t="s">
        <v>2398</v>
      </c>
      <c r="I63" s="420" t="s">
        <v>891</v>
      </c>
      <c r="J63" s="420"/>
      <c r="K63" s="424"/>
      <c r="L63" s="436" t="s">
        <v>2468</v>
      </c>
      <c r="M63" s="146">
        <v>947.15499999999997</v>
      </c>
      <c r="N63" s="424"/>
      <c r="O63" s="424"/>
      <c r="P63" s="424"/>
      <c r="Q63" s="420"/>
      <c r="R63" s="420" t="s">
        <v>2469</v>
      </c>
      <c r="S63" s="422" t="s">
        <v>2339</v>
      </c>
      <c r="T63" s="420" t="s">
        <v>2351</v>
      </c>
      <c r="U63" s="143">
        <f t="shared" si="21"/>
        <v>0</v>
      </c>
      <c r="V63" s="421"/>
      <c r="W63" s="421"/>
      <c r="X63" s="421"/>
      <c r="Y63" s="143">
        <f t="shared" si="22"/>
        <v>784</v>
      </c>
      <c r="Z63" s="143"/>
      <c r="AA63" s="143"/>
      <c r="AB63" s="143">
        <f t="shared" si="28"/>
        <v>784</v>
      </c>
      <c r="AC63" s="143">
        <v>0</v>
      </c>
      <c r="AD63" s="144"/>
      <c r="AE63" s="144">
        <v>784</v>
      </c>
      <c r="AF63" s="143">
        <f t="shared" si="23"/>
        <v>784</v>
      </c>
      <c r="AG63" s="143"/>
      <c r="AH63" s="143"/>
      <c r="AI63" s="143">
        <f t="shared" si="24"/>
        <v>784</v>
      </c>
      <c r="AJ63" s="143">
        <v>0</v>
      </c>
      <c r="AK63" s="144"/>
      <c r="AL63" s="144">
        <v>784</v>
      </c>
      <c r="AM63" s="143">
        <v>783.25293499999998</v>
      </c>
      <c r="AN63" s="143"/>
      <c r="AO63" s="143"/>
      <c r="AP63" s="143">
        <v>783.25293499999998</v>
      </c>
      <c r="AQ63" s="143">
        <v>0</v>
      </c>
      <c r="AR63" s="144"/>
      <c r="AS63" s="144"/>
      <c r="AT63" s="144"/>
      <c r="AU63" s="144">
        <v>783.25293499999998</v>
      </c>
      <c r="AV63" s="143">
        <f t="shared" si="25"/>
        <v>0</v>
      </c>
      <c r="AW63" s="143"/>
      <c r="AX63" s="143"/>
      <c r="AY63" s="143">
        <f t="shared" si="26"/>
        <v>0</v>
      </c>
      <c r="AZ63" s="143">
        <v>0</v>
      </c>
      <c r="BA63" s="144"/>
      <c r="BB63" s="144"/>
      <c r="BC63" s="143">
        <v>0</v>
      </c>
      <c r="BD63" s="143"/>
      <c r="BE63" s="143"/>
      <c r="BF63" s="143">
        <v>0</v>
      </c>
      <c r="BG63" s="143">
        <v>0</v>
      </c>
      <c r="BH63" s="148">
        <v>0</v>
      </c>
      <c r="BI63" s="143"/>
      <c r="BJ63" s="148"/>
      <c r="BK63" s="148"/>
      <c r="BL63" s="148"/>
      <c r="BM63" s="148"/>
      <c r="BN63" s="148"/>
      <c r="BO63" s="148"/>
      <c r="BP63" s="148"/>
      <c r="BQ63" s="148"/>
      <c r="BR63" s="148"/>
      <c r="BS63" s="148"/>
      <c r="BT63" s="148"/>
      <c r="BU63" s="148"/>
      <c r="BV63" s="148"/>
      <c r="BW63" s="148"/>
      <c r="BX63" s="231"/>
      <c r="BY63" s="424"/>
    </row>
    <row r="64" spans="1:77" ht="103.5" customHeight="1" outlineLevel="1">
      <c r="A64" s="420">
        <v>32</v>
      </c>
      <c r="B64" s="449" t="s">
        <v>2470</v>
      </c>
      <c r="C64" s="428" t="s">
        <v>2395</v>
      </c>
      <c r="D64" s="420" t="s">
        <v>2351</v>
      </c>
      <c r="E64" s="422" t="s">
        <v>49</v>
      </c>
      <c r="F64" s="422" t="s">
        <v>125</v>
      </c>
      <c r="G64" s="142">
        <v>7903426</v>
      </c>
      <c r="H64" s="437" t="s">
        <v>2398</v>
      </c>
      <c r="I64" s="420" t="s">
        <v>891</v>
      </c>
      <c r="J64" s="420"/>
      <c r="K64" s="424"/>
      <c r="L64" s="436" t="s">
        <v>2471</v>
      </c>
      <c r="M64" s="146">
        <v>820.90700000000004</v>
      </c>
      <c r="N64" s="424"/>
      <c r="O64" s="424"/>
      <c r="P64" s="424"/>
      <c r="Q64" s="420"/>
      <c r="R64" s="437" t="s">
        <v>2469</v>
      </c>
      <c r="S64" s="422" t="s">
        <v>2339</v>
      </c>
      <c r="T64" s="420" t="s">
        <v>2351</v>
      </c>
      <c r="U64" s="143">
        <f t="shared" si="21"/>
        <v>0</v>
      </c>
      <c r="V64" s="421"/>
      <c r="W64" s="421"/>
      <c r="X64" s="421"/>
      <c r="Y64" s="143">
        <f t="shared" si="22"/>
        <v>666</v>
      </c>
      <c r="Z64" s="143"/>
      <c r="AA64" s="143"/>
      <c r="AB64" s="143">
        <f t="shared" si="28"/>
        <v>666</v>
      </c>
      <c r="AC64" s="143">
        <v>0</v>
      </c>
      <c r="AD64" s="144"/>
      <c r="AE64" s="144">
        <v>666</v>
      </c>
      <c r="AF64" s="143">
        <f t="shared" si="23"/>
        <v>666</v>
      </c>
      <c r="AG64" s="143"/>
      <c r="AH64" s="143"/>
      <c r="AI64" s="143">
        <f t="shared" si="24"/>
        <v>666</v>
      </c>
      <c r="AJ64" s="143">
        <v>0</v>
      </c>
      <c r="AK64" s="144"/>
      <c r="AL64" s="144">
        <v>666</v>
      </c>
      <c r="AM64" s="143">
        <v>665.16820300000006</v>
      </c>
      <c r="AN64" s="143"/>
      <c r="AO64" s="143"/>
      <c r="AP64" s="143">
        <v>665.16820300000006</v>
      </c>
      <c r="AQ64" s="143">
        <v>0</v>
      </c>
      <c r="AR64" s="144"/>
      <c r="AS64" s="144"/>
      <c r="AT64" s="144"/>
      <c r="AU64" s="144">
        <v>665.16820300000006</v>
      </c>
      <c r="AV64" s="143">
        <f t="shared" si="25"/>
        <v>0</v>
      </c>
      <c r="AW64" s="143"/>
      <c r="AX64" s="143"/>
      <c r="AY64" s="143">
        <f t="shared" si="26"/>
        <v>0</v>
      </c>
      <c r="AZ64" s="143">
        <v>0</v>
      </c>
      <c r="BA64" s="144"/>
      <c r="BB64" s="144"/>
      <c r="BC64" s="143">
        <v>0</v>
      </c>
      <c r="BD64" s="143"/>
      <c r="BE64" s="143"/>
      <c r="BF64" s="143">
        <v>0</v>
      </c>
      <c r="BG64" s="143">
        <v>0</v>
      </c>
      <c r="BH64" s="148">
        <v>0</v>
      </c>
      <c r="BI64" s="143"/>
      <c r="BJ64" s="148"/>
      <c r="BK64" s="153"/>
      <c r="BL64" s="153"/>
      <c r="BM64" s="153"/>
      <c r="BN64" s="153"/>
      <c r="BO64" s="153"/>
      <c r="BP64" s="153"/>
      <c r="BQ64" s="153"/>
      <c r="BR64" s="153"/>
      <c r="BS64" s="153"/>
      <c r="BT64" s="153"/>
      <c r="BU64" s="153"/>
      <c r="BV64" s="153"/>
      <c r="BW64" s="153"/>
      <c r="BX64" s="232"/>
      <c r="BY64" s="426"/>
    </row>
    <row r="65" spans="1:77" ht="68.25" customHeight="1" outlineLevel="1">
      <c r="A65" s="420">
        <v>33</v>
      </c>
      <c r="B65" s="421" t="s">
        <v>2472</v>
      </c>
      <c r="C65" s="428" t="s">
        <v>2395</v>
      </c>
      <c r="D65" s="420" t="s">
        <v>2351</v>
      </c>
      <c r="E65" s="422" t="s">
        <v>49</v>
      </c>
      <c r="F65" s="422" t="s">
        <v>48</v>
      </c>
      <c r="G65" s="142">
        <v>7903427</v>
      </c>
      <c r="H65" s="437" t="s">
        <v>2398</v>
      </c>
      <c r="I65" s="420" t="s">
        <v>1127</v>
      </c>
      <c r="J65" s="420"/>
      <c r="K65" s="424"/>
      <c r="L65" s="436" t="s">
        <v>2473</v>
      </c>
      <c r="M65" s="146">
        <v>555</v>
      </c>
      <c r="N65" s="424"/>
      <c r="O65" s="424"/>
      <c r="P65" s="424"/>
      <c r="Q65" s="420"/>
      <c r="R65" s="420" t="s">
        <v>2474</v>
      </c>
      <c r="S65" s="422" t="s">
        <v>2339</v>
      </c>
      <c r="T65" s="420" t="s">
        <v>2351</v>
      </c>
      <c r="U65" s="143">
        <f t="shared" si="21"/>
        <v>0</v>
      </c>
      <c r="V65" s="421"/>
      <c r="W65" s="421"/>
      <c r="X65" s="421"/>
      <c r="Y65" s="143">
        <f t="shared" si="22"/>
        <v>555</v>
      </c>
      <c r="Z65" s="143"/>
      <c r="AA65" s="143"/>
      <c r="AB65" s="143">
        <f t="shared" si="28"/>
        <v>555</v>
      </c>
      <c r="AC65" s="143">
        <v>0</v>
      </c>
      <c r="AD65" s="144"/>
      <c r="AE65" s="144">
        <v>555</v>
      </c>
      <c r="AF65" s="143">
        <f t="shared" si="23"/>
        <v>555</v>
      </c>
      <c r="AG65" s="143"/>
      <c r="AH65" s="143"/>
      <c r="AI65" s="143">
        <f t="shared" si="24"/>
        <v>555</v>
      </c>
      <c r="AJ65" s="143">
        <v>0</v>
      </c>
      <c r="AK65" s="144"/>
      <c r="AL65" s="144">
        <v>555</v>
      </c>
      <c r="AM65" s="143">
        <v>552.17527399999994</v>
      </c>
      <c r="AN65" s="143"/>
      <c r="AO65" s="143"/>
      <c r="AP65" s="143">
        <v>552.17527399999994</v>
      </c>
      <c r="AQ65" s="143">
        <v>0</v>
      </c>
      <c r="AR65" s="144"/>
      <c r="AS65" s="144"/>
      <c r="AT65" s="144"/>
      <c r="AU65" s="144">
        <v>552.17527399999994</v>
      </c>
      <c r="AV65" s="143">
        <f t="shared" si="25"/>
        <v>0</v>
      </c>
      <c r="AW65" s="143"/>
      <c r="AX65" s="143"/>
      <c r="AY65" s="143">
        <f t="shared" si="26"/>
        <v>0</v>
      </c>
      <c r="AZ65" s="143">
        <v>0</v>
      </c>
      <c r="BA65" s="144"/>
      <c r="BB65" s="144"/>
      <c r="BC65" s="143">
        <v>0</v>
      </c>
      <c r="BD65" s="143"/>
      <c r="BE65" s="143"/>
      <c r="BF65" s="143">
        <v>0</v>
      </c>
      <c r="BG65" s="143">
        <v>0</v>
      </c>
      <c r="BH65" s="148">
        <v>0</v>
      </c>
      <c r="BI65" s="143"/>
      <c r="BJ65" s="148"/>
      <c r="BK65" s="153"/>
      <c r="BL65" s="153"/>
      <c r="BM65" s="153"/>
      <c r="BN65" s="153"/>
      <c r="BO65" s="153"/>
      <c r="BP65" s="153"/>
      <c r="BQ65" s="153"/>
      <c r="BR65" s="153"/>
      <c r="BS65" s="153"/>
      <c r="BT65" s="153"/>
      <c r="BU65" s="153"/>
      <c r="BV65" s="153"/>
      <c r="BW65" s="153"/>
      <c r="BX65" s="232"/>
      <c r="BY65" s="426"/>
    </row>
    <row r="66" spans="1:77" ht="46.15" outlineLevel="1">
      <c r="A66" s="420">
        <v>34</v>
      </c>
      <c r="B66" s="421" t="s">
        <v>2475</v>
      </c>
      <c r="C66" s="420" t="s">
        <v>2476</v>
      </c>
      <c r="D66" s="420" t="s">
        <v>2351</v>
      </c>
      <c r="E66" s="422" t="s">
        <v>49</v>
      </c>
      <c r="F66" s="422" t="s">
        <v>125</v>
      </c>
      <c r="G66" s="151">
        <v>7923814</v>
      </c>
      <c r="H66" s="437" t="s">
        <v>2352</v>
      </c>
      <c r="I66" s="420" t="s">
        <v>891</v>
      </c>
      <c r="J66" s="420"/>
      <c r="K66" s="424"/>
      <c r="L66" s="436" t="s">
        <v>2477</v>
      </c>
      <c r="M66" s="146">
        <v>500</v>
      </c>
      <c r="N66" s="424"/>
      <c r="O66" s="424"/>
      <c r="P66" s="424"/>
      <c r="Q66" s="420"/>
      <c r="R66" s="437" t="s">
        <v>2352</v>
      </c>
      <c r="S66" s="422" t="s">
        <v>2339</v>
      </c>
      <c r="T66" s="420" t="s">
        <v>2351</v>
      </c>
      <c r="U66" s="143">
        <f t="shared" si="21"/>
        <v>0</v>
      </c>
      <c r="V66" s="421"/>
      <c r="W66" s="421"/>
      <c r="X66" s="421"/>
      <c r="Y66" s="143">
        <f t="shared" si="22"/>
        <v>493</v>
      </c>
      <c r="Z66" s="143"/>
      <c r="AA66" s="143"/>
      <c r="AB66" s="143">
        <f t="shared" si="28"/>
        <v>493</v>
      </c>
      <c r="AC66" s="143">
        <v>0</v>
      </c>
      <c r="AD66" s="144"/>
      <c r="AE66" s="144">
        <v>493</v>
      </c>
      <c r="AF66" s="143">
        <f t="shared" si="23"/>
        <v>493</v>
      </c>
      <c r="AG66" s="143"/>
      <c r="AH66" s="143"/>
      <c r="AI66" s="143">
        <f t="shared" si="24"/>
        <v>493</v>
      </c>
      <c r="AJ66" s="143">
        <v>0</v>
      </c>
      <c r="AK66" s="144"/>
      <c r="AL66" s="144">
        <v>493</v>
      </c>
      <c r="AM66" s="143">
        <v>492.303</v>
      </c>
      <c r="AN66" s="143"/>
      <c r="AO66" s="143"/>
      <c r="AP66" s="143">
        <v>492.303</v>
      </c>
      <c r="AQ66" s="143">
        <v>0</v>
      </c>
      <c r="AR66" s="144"/>
      <c r="AS66" s="144"/>
      <c r="AT66" s="144"/>
      <c r="AU66" s="144">
        <v>492.303</v>
      </c>
      <c r="AV66" s="143">
        <f t="shared" si="25"/>
        <v>0</v>
      </c>
      <c r="AW66" s="143"/>
      <c r="AX66" s="143"/>
      <c r="AY66" s="143">
        <f t="shared" si="26"/>
        <v>0</v>
      </c>
      <c r="AZ66" s="143">
        <v>0</v>
      </c>
      <c r="BA66" s="144"/>
      <c r="BB66" s="144"/>
      <c r="BC66" s="143">
        <v>0</v>
      </c>
      <c r="BD66" s="143"/>
      <c r="BE66" s="143"/>
      <c r="BF66" s="143">
        <v>0</v>
      </c>
      <c r="BG66" s="143">
        <v>0</v>
      </c>
      <c r="BH66" s="148">
        <v>0</v>
      </c>
      <c r="BI66" s="143"/>
      <c r="BJ66" s="148"/>
      <c r="BK66" s="153"/>
      <c r="BL66" s="153"/>
      <c r="BM66" s="153"/>
      <c r="BN66" s="153"/>
      <c r="BO66" s="153"/>
      <c r="BP66" s="153"/>
      <c r="BQ66" s="153"/>
      <c r="BR66" s="153"/>
      <c r="BS66" s="153"/>
      <c r="BT66" s="153"/>
      <c r="BU66" s="153"/>
      <c r="BV66" s="153"/>
      <c r="BW66" s="153"/>
      <c r="BX66" s="232"/>
      <c r="BY66" s="426"/>
    </row>
    <row r="67" spans="1:77" ht="30.75" outlineLevel="1">
      <c r="A67" s="420">
        <v>35</v>
      </c>
      <c r="B67" s="421" t="s">
        <v>2478</v>
      </c>
      <c r="C67" s="428" t="s">
        <v>2395</v>
      </c>
      <c r="D67" s="420" t="s">
        <v>2351</v>
      </c>
      <c r="E67" s="422" t="s">
        <v>49</v>
      </c>
      <c r="F67" s="422" t="s">
        <v>125</v>
      </c>
      <c r="G67" s="150">
        <v>7974955</v>
      </c>
      <c r="H67" s="437" t="s">
        <v>2364</v>
      </c>
      <c r="I67" s="420" t="s">
        <v>906</v>
      </c>
      <c r="J67" s="420"/>
      <c r="K67" s="424"/>
      <c r="L67" s="420" t="s">
        <v>2479</v>
      </c>
      <c r="M67" s="152">
        <v>1153</v>
      </c>
      <c r="N67" s="424"/>
      <c r="O67" s="424"/>
      <c r="P67" s="424"/>
      <c r="Q67" s="420"/>
      <c r="R67" s="437" t="s">
        <v>2364</v>
      </c>
      <c r="S67" s="422" t="s">
        <v>2339</v>
      </c>
      <c r="T67" s="420" t="s">
        <v>2351</v>
      </c>
      <c r="U67" s="143">
        <f t="shared" si="21"/>
        <v>0</v>
      </c>
      <c r="V67" s="421"/>
      <c r="W67" s="421"/>
      <c r="X67" s="421"/>
      <c r="Y67" s="143">
        <f t="shared" si="22"/>
        <v>1100</v>
      </c>
      <c r="Z67" s="143"/>
      <c r="AA67" s="143"/>
      <c r="AB67" s="143">
        <f t="shared" si="28"/>
        <v>1100</v>
      </c>
      <c r="AC67" s="143">
        <v>0</v>
      </c>
      <c r="AD67" s="144"/>
      <c r="AE67" s="144">
        <v>1100</v>
      </c>
      <c r="AF67" s="143">
        <f t="shared" si="23"/>
        <v>1100</v>
      </c>
      <c r="AG67" s="143"/>
      <c r="AH67" s="143"/>
      <c r="AI67" s="143">
        <f t="shared" si="24"/>
        <v>1100</v>
      </c>
      <c r="AJ67" s="143">
        <v>0</v>
      </c>
      <c r="AK67" s="144"/>
      <c r="AL67" s="144">
        <v>1100</v>
      </c>
      <c r="AM67" s="143">
        <v>1043.436246</v>
      </c>
      <c r="AN67" s="143"/>
      <c r="AO67" s="143"/>
      <c r="AP67" s="143">
        <v>1043.436246</v>
      </c>
      <c r="AQ67" s="143">
        <v>0</v>
      </c>
      <c r="AR67" s="144"/>
      <c r="AS67" s="144"/>
      <c r="AT67" s="144"/>
      <c r="AU67" s="144">
        <v>1043.436246</v>
      </c>
      <c r="AV67" s="143">
        <f t="shared" si="25"/>
        <v>0</v>
      </c>
      <c r="AW67" s="143"/>
      <c r="AX67" s="143"/>
      <c r="AY67" s="143">
        <f t="shared" si="26"/>
        <v>0</v>
      </c>
      <c r="AZ67" s="143">
        <v>0</v>
      </c>
      <c r="BA67" s="144"/>
      <c r="BB67" s="144"/>
      <c r="BC67" s="143">
        <v>0</v>
      </c>
      <c r="BD67" s="143"/>
      <c r="BE67" s="143"/>
      <c r="BF67" s="143">
        <v>0</v>
      </c>
      <c r="BG67" s="143">
        <v>0</v>
      </c>
      <c r="BH67" s="148">
        <v>0</v>
      </c>
      <c r="BI67" s="143"/>
      <c r="BJ67" s="148"/>
      <c r="BK67" s="153"/>
      <c r="BL67" s="153"/>
      <c r="BM67" s="153"/>
      <c r="BN67" s="153"/>
      <c r="BO67" s="153"/>
      <c r="BP67" s="153"/>
      <c r="BQ67" s="153"/>
      <c r="BR67" s="153"/>
      <c r="BS67" s="153"/>
      <c r="BT67" s="153"/>
      <c r="BU67" s="153"/>
      <c r="BV67" s="153"/>
      <c r="BW67" s="153"/>
      <c r="BX67" s="232"/>
      <c r="BY67" s="426"/>
    </row>
    <row r="68" spans="1:77" ht="54" customHeight="1" outlineLevel="1">
      <c r="A68" s="420">
        <v>36</v>
      </c>
      <c r="B68" s="421" t="s">
        <v>2480</v>
      </c>
      <c r="C68" s="428" t="s">
        <v>2476</v>
      </c>
      <c r="D68" s="420" t="s">
        <v>2351</v>
      </c>
      <c r="E68" s="422" t="s">
        <v>49</v>
      </c>
      <c r="F68" s="422" t="s">
        <v>125</v>
      </c>
      <c r="G68" s="150">
        <v>7962375</v>
      </c>
      <c r="H68" s="437" t="s">
        <v>2364</v>
      </c>
      <c r="I68" s="420" t="s">
        <v>906</v>
      </c>
      <c r="J68" s="420"/>
      <c r="K68" s="424"/>
      <c r="L68" s="420" t="s">
        <v>2481</v>
      </c>
      <c r="M68" s="149">
        <v>325</v>
      </c>
      <c r="N68" s="424"/>
      <c r="O68" s="424"/>
      <c r="P68" s="424"/>
      <c r="Q68" s="420"/>
      <c r="R68" s="437" t="s">
        <v>2364</v>
      </c>
      <c r="S68" s="422" t="s">
        <v>2339</v>
      </c>
      <c r="T68" s="420" t="s">
        <v>2351</v>
      </c>
      <c r="U68" s="143">
        <f t="shared" si="21"/>
        <v>0</v>
      </c>
      <c r="V68" s="421"/>
      <c r="W68" s="421"/>
      <c r="X68" s="421"/>
      <c r="Y68" s="143">
        <f t="shared" si="22"/>
        <v>305</v>
      </c>
      <c r="Z68" s="143"/>
      <c r="AA68" s="143"/>
      <c r="AB68" s="143">
        <f t="shared" si="28"/>
        <v>305</v>
      </c>
      <c r="AC68" s="143">
        <v>0</v>
      </c>
      <c r="AD68" s="144"/>
      <c r="AE68" s="144">
        <v>305</v>
      </c>
      <c r="AF68" s="143">
        <f t="shared" si="23"/>
        <v>305</v>
      </c>
      <c r="AG68" s="143"/>
      <c r="AH68" s="143"/>
      <c r="AI68" s="143">
        <f t="shared" si="24"/>
        <v>305</v>
      </c>
      <c r="AJ68" s="143">
        <v>0</v>
      </c>
      <c r="AK68" s="144"/>
      <c r="AL68" s="144">
        <v>305</v>
      </c>
      <c r="AM68" s="143">
        <v>304.53375</v>
      </c>
      <c r="AN68" s="143"/>
      <c r="AO68" s="143"/>
      <c r="AP68" s="143">
        <v>304.53375</v>
      </c>
      <c r="AQ68" s="143">
        <v>0</v>
      </c>
      <c r="AR68" s="144"/>
      <c r="AS68" s="144"/>
      <c r="AT68" s="144"/>
      <c r="AU68" s="144">
        <v>304.53375</v>
      </c>
      <c r="AV68" s="143">
        <f t="shared" si="25"/>
        <v>0</v>
      </c>
      <c r="AW68" s="143"/>
      <c r="AX68" s="143"/>
      <c r="AY68" s="143">
        <f t="shared" si="26"/>
        <v>0</v>
      </c>
      <c r="AZ68" s="143">
        <v>0</v>
      </c>
      <c r="BA68" s="144"/>
      <c r="BB68" s="144"/>
      <c r="BC68" s="143">
        <v>0</v>
      </c>
      <c r="BD68" s="143"/>
      <c r="BE68" s="143"/>
      <c r="BF68" s="143">
        <v>0</v>
      </c>
      <c r="BG68" s="143">
        <v>0</v>
      </c>
      <c r="BH68" s="148">
        <v>0</v>
      </c>
      <c r="BI68" s="143"/>
      <c r="BJ68" s="148"/>
      <c r="BK68" s="153"/>
      <c r="BL68" s="153"/>
      <c r="BM68" s="153"/>
      <c r="BN68" s="153"/>
      <c r="BO68" s="153"/>
      <c r="BP68" s="153"/>
      <c r="BQ68" s="153"/>
      <c r="BR68" s="153"/>
      <c r="BS68" s="153"/>
      <c r="BT68" s="153"/>
      <c r="BU68" s="153"/>
      <c r="BV68" s="153"/>
      <c r="BW68" s="153"/>
      <c r="BX68" s="232"/>
      <c r="BY68" s="426"/>
    </row>
    <row r="69" spans="1:77" ht="51" customHeight="1" outlineLevel="1">
      <c r="A69" s="420">
        <v>37</v>
      </c>
      <c r="B69" s="421" t="s">
        <v>2482</v>
      </c>
      <c r="C69" s="428" t="s">
        <v>2395</v>
      </c>
      <c r="D69" s="420" t="s">
        <v>2351</v>
      </c>
      <c r="E69" s="422" t="s">
        <v>49</v>
      </c>
      <c r="F69" s="422" t="s">
        <v>125</v>
      </c>
      <c r="G69" s="150">
        <v>8044073</v>
      </c>
      <c r="H69" s="437" t="s">
        <v>2364</v>
      </c>
      <c r="I69" s="420" t="s">
        <v>910</v>
      </c>
      <c r="J69" s="420"/>
      <c r="K69" s="424"/>
      <c r="L69" s="450" t="s">
        <v>2483</v>
      </c>
      <c r="M69" s="146">
        <v>1260</v>
      </c>
      <c r="N69" s="424"/>
      <c r="O69" s="424"/>
      <c r="P69" s="424"/>
      <c r="Q69" s="420"/>
      <c r="R69" s="437" t="s">
        <v>2364</v>
      </c>
      <c r="S69" s="422" t="s">
        <v>2339</v>
      </c>
      <c r="T69" s="435" t="s">
        <v>2351</v>
      </c>
      <c r="U69" s="143">
        <f t="shared" si="21"/>
        <v>0</v>
      </c>
      <c r="V69" s="421"/>
      <c r="W69" s="421"/>
      <c r="X69" s="421"/>
      <c r="Y69" s="143">
        <f t="shared" si="22"/>
        <v>1020</v>
      </c>
      <c r="Z69" s="143"/>
      <c r="AA69" s="143"/>
      <c r="AB69" s="143">
        <f t="shared" si="28"/>
        <v>1020</v>
      </c>
      <c r="AC69" s="143">
        <v>0</v>
      </c>
      <c r="AD69" s="144"/>
      <c r="AE69" s="144">
        <v>1020</v>
      </c>
      <c r="AF69" s="143">
        <f t="shared" si="23"/>
        <v>1020</v>
      </c>
      <c r="AG69" s="143"/>
      <c r="AH69" s="143"/>
      <c r="AI69" s="143">
        <f t="shared" si="24"/>
        <v>1020</v>
      </c>
      <c r="AJ69" s="143">
        <v>0</v>
      </c>
      <c r="AK69" s="144"/>
      <c r="AL69" s="144">
        <v>1020</v>
      </c>
      <c r="AM69" s="143">
        <v>1019.457803</v>
      </c>
      <c r="AN69" s="143"/>
      <c r="AO69" s="143"/>
      <c r="AP69" s="143">
        <v>1019.457803</v>
      </c>
      <c r="AQ69" s="143">
        <v>0</v>
      </c>
      <c r="AR69" s="144"/>
      <c r="AS69" s="144"/>
      <c r="AT69" s="144"/>
      <c r="AU69" s="144">
        <v>1019.457803</v>
      </c>
      <c r="AV69" s="143">
        <f t="shared" si="25"/>
        <v>0</v>
      </c>
      <c r="AW69" s="143"/>
      <c r="AX69" s="143"/>
      <c r="AY69" s="143">
        <f t="shared" si="26"/>
        <v>0</v>
      </c>
      <c r="AZ69" s="143">
        <v>0</v>
      </c>
      <c r="BA69" s="144"/>
      <c r="BB69" s="144"/>
      <c r="BC69" s="143">
        <v>0</v>
      </c>
      <c r="BD69" s="143"/>
      <c r="BE69" s="143"/>
      <c r="BF69" s="143">
        <v>0</v>
      </c>
      <c r="BG69" s="143">
        <v>0</v>
      </c>
      <c r="BH69" s="148">
        <v>0</v>
      </c>
      <c r="BI69" s="143"/>
      <c r="BJ69" s="148"/>
      <c r="BK69" s="153"/>
      <c r="BL69" s="153"/>
      <c r="BM69" s="153"/>
      <c r="BN69" s="153"/>
      <c r="BO69" s="153"/>
      <c r="BP69" s="153"/>
      <c r="BQ69" s="153"/>
      <c r="BR69" s="153"/>
      <c r="BS69" s="153"/>
      <c r="BT69" s="153"/>
      <c r="BU69" s="153"/>
      <c r="BV69" s="153"/>
      <c r="BW69" s="153"/>
      <c r="BX69" s="232"/>
      <c r="BY69" s="426"/>
    </row>
    <row r="70" spans="1:77" ht="46.15" outlineLevel="1">
      <c r="A70" s="420">
        <v>38</v>
      </c>
      <c r="B70" s="435" t="s">
        <v>2484</v>
      </c>
      <c r="C70" s="428" t="s">
        <v>2350</v>
      </c>
      <c r="D70" s="420" t="s">
        <v>2351</v>
      </c>
      <c r="E70" s="422" t="s">
        <v>49</v>
      </c>
      <c r="F70" s="420" t="s">
        <v>2485</v>
      </c>
      <c r="G70" s="142">
        <v>7916714</v>
      </c>
      <c r="H70" s="420" t="s">
        <v>2368</v>
      </c>
      <c r="I70" s="420" t="s">
        <v>56</v>
      </c>
      <c r="J70" s="422">
        <v>2023</v>
      </c>
      <c r="K70" s="424"/>
      <c r="L70" s="436" t="s">
        <v>2486</v>
      </c>
      <c r="M70" s="146">
        <v>20465</v>
      </c>
      <c r="N70" s="424"/>
      <c r="O70" s="146">
        <v>18400</v>
      </c>
      <c r="P70" s="424"/>
      <c r="Q70" s="420" t="s">
        <v>2487</v>
      </c>
      <c r="R70" s="420" t="s">
        <v>2368</v>
      </c>
      <c r="S70" s="422" t="s">
        <v>2339</v>
      </c>
      <c r="T70" s="420" t="s">
        <v>2351</v>
      </c>
      <c r="U70" s="143">
        <f t="shared" si="21"/>
        <v>0</v>
      </c>
      <c r="V70" s="421"/>
      <c r="W70" s="421"/>
      <c r="X70" s="421"/>
      <c r="Y70" s="143">
        <f t="shared" si="22"/>
        <v>12593</v>
      </c>
      <c r="Z70" s="144"/>
      <c r="AA70" s="145"/>
      <c r="AB70" s="143">
        <f t="shared" si="28"/>
        <v>12593</v>
      </c>
      <c r="AC70" s="143">
        <v>12593</v>
      </c>
      <c r="AD70" s="144"/>
      <c r="AE70" s="144"/>
      <c r="AF70" s="143">
        <f t="shared" si="23"/>
        <v>12593</v>
      </c>
      <c r="AG70" s="144"/>
      <c r="AH70" s="145"/>
      <c r="AI70" s="143">
        <f t="shared" si="24"/>
        <v>12593</v>
      </c>
      <c r="AJ70" s="143">
        <v>12593</v>
      </c>
      <c r="AK70" s="144"/>
      <c r="AL70" s="144"/>
      <c r="AM70" s="143">
        <v>12577.087995</v>
      </c>
      <c r="AN70" s="144"/>
      <c r="AO70" s="144"/>
      <c r="AP70" s="143">
        <v>12577.087995</v>
      </c>
      <c r="AQ70" s="143">
        <v>12577.087995</v>
      </c>
      <c r="AR70" s="144">
        <v>12577.087995</v>
      </c>
      <c r="AS70" s="144"/>
      <c r="AT70" s="144"/>
      <c r="AU70" s="144"/>
      <c r="AV70" s="143">
        <f t="shared" si="25"/>
        <v>0</v>
      </c>
      <c r="AW70" s="144"/>
      <c r="AX70" s="144"/>
      <c r="AY70" s="143">
        <f t="shared" si="26"/>
        <v>0</v>
      </c>
      <c r="AZ70" s="143">
        <v>0</v>
      </c>
      <c r="BA70" s="144"/>
      <c r="BB70" s="144"/>
      <c r="BC70" s="143">
        <v>0</v>
      </c>
      <c r="BD70" s="144"/>
      <c r="BE70" s="144"/>
      <c r="BF70" s="148"/>
      <c r="BG70" s="143">
        <v>0</v>
      </c>
      <c r="BH70" s="148">
        <v>0</v>
      </c>
      <c r="BI70" s="143"/>
      <c r="BJ70" s="148"/>
      <c r="BK70" s="153"/>
      <c r="BL70" s="153">
        <v>0</v>
      </c>
      <c r="BM70" s="153"/>
      <c r="BN70" s="153"/>
      <c r="BO70" s="153"/>
      <c r="BP70" s="153">
        <v>0</v>
      </c>
      <c r="BQ70" s="153"/>
      <c r="BR70" s="153"/>
      <c r="BS70" s="153"/>
      <c r="BT70" s="154">
        <v>5000</v>
      </c>
      <c r="BU70" s="153">
        <v>0</v>
      </c>
      <c r="BV70" s="154">
        <v>5000</v>
      </c>
      <c r="BW70" s="153">
        <v>0</v>
      </c>
      <c r="BX70" s="232"/>
      <c r="BY70" s="436"/>
    </row>
    <row r="71" spans="1:77" ht="46.15" outlineLevel="1">
      <c r="A71" s="420">
        <v>39</v>
      </c>
      <c r="B71" s="435" t="s">
        <v>2488</v>
      </c>
      <c r="C71" s="428" t="s">
        <v>2350</v>
      </c>
      <c r="D71" s="420" t="s">
        <v>2351</v>
      </c>
      <c r="E71" s="422" t="s">
        <v>49</v>
      </c>
      <c r="F71" s="420" t="s">
        <v>2485</v>
      </c>
      <c r="G71" s="142">
        <v>7916713</v>
      </c>
      <c r="H71" s="420" t="s">
        <v>2360</v>
      </c>
      <c r="I71" s="420" t="s">
        <v>56</v>
      </c>
      <c r="J71" s="422">
        <v>2023</v>
      </c>
      <c r="K71" s="424"/>
      <c r="L71" s="436" t="s">
        <v>2489</v>
      </c>
      <c r="M71" s="146">
        <v>14947</v>
      </c>
      <c r="N71" s="424"/>
      <c r="O71" s="146">
        <v>14200</v>
      </c>
      <c r="P71" s="424"/>
      <c r="Q71" s="420" t="s">
        <v>2490</v>
      </c>
      <c r="R71" s="420" t="s">
        <v>2491</v>
      </c>
      <c r="S71" s="422" t="s">
        <v>2339</v>
      </c>
      <c r="T71" s="420" t="s">
        <v>2351</v>
      </c>
      <c r="U71" s="143">
        <f t="shared" si="21"/>
        <v>0</v>
      </c>
      <c r="V71" s="421"/>
      <c r="W71" s="421"/>
      <c r="X71" s="421"/>
      <c r="Y71" s="143">
        <f t="shared" si="22"/>
        <v>10893</v>
      </c>
      <c r="Z71" s="144"/>
      <c r="AA71" s="145"/>
      <c r="AB71" s="143">
        <f t="shared" si="28"/>
        <v>10893</v>
      </c>
      <c r="AC71" s="143">
        <v>10893</v>
      </c>
      <c r="AD71" s="144"/>
      <c r="AE71" s="144"/>
      <c r="AF71" s="143">
        <f t="shared" si="23"/>
        <v>10893</v>
      </c>
      <c r="AG71" s="144"/>
      <c r="AH71" s="145"/>
      <c r="AI71" s="143">
        <f t="shared" si="24"/>
        <v>10893</v>
      </c>
      <c r="AJ71" s="143">
        <v>10893</v>
      </c>
      <c r="AK71" s="144"/>
      <c r="AL71" s="144"/>
      <c r="AM71" s="143">
        <v>10852.933686</v>
      </c>
      <c r="AN71" s="144"/>
      <c r="AO71" s="144"/>
      <c r="AP71" s="143">
        <v>10852.933686</v>
      </c>
      <c r="AQ71" s="143">
        <v>10852.933686</v>
      </c>
      <c r="AR71" s="144">
        <v>10852.933686</v>
      </c>
      <c r="AS71" s="144"/>
      <c r="AT71" s="144"/>
      <c r="AU71" s="144"/>
      <c r="AV71" s="143">
        <f t="shared" si="25"/>
        <v>0</v>
      </c>
      <c r="AW71" s="144"/>
      <c r="AX71" s="144"/>
      <c r="AY71" s="143">
        <f t="shared" si="26"/>
        <v>0</v>
      </c>
      <c r="AZ71" s="143">
        <v>0</v>
      </c>
      <c r="BA71" s="144"/>
      <c r="BB71" s="144"/>
      <c r="BC71" s="143">
        <v>0</v>
      </c>
      <c r="BD71" s="144"/>
      <c r="BE71" s="144"/>
      <c r="BF71" s="148"/>
      <c r="BG71" s="143">
        <v>0</v>
      </c>
      <c r="BH71" s="148">
        <v>0</v>
      </c>
      <c r="BI71" s="143"/>
      <c r="BJ71" s="148"/>
      <c r="BK71" s="153"/>
      <c r="BL71" s="153">
        <v>0</v>
      </c>
      <c r="BM71" s="153"/>
      <c r="BN71" s="153"/>
      <c r="BO71" s="153"/>
      <c r="BP71" s="153">
        <v>0</v>
      </c>
      <c r="BQ71" s="153"/>
      <c r="BR71" s="153"/>
      <c r="BS71" s="153"/>
      <c r="BT71" s="153">
        <v>0</v>
      </c>
      <c r="BU71" s="153">
        <v>0</v>
      </c>
      <c r="BV71" s="153">
        <v>0</v>
      </c>
      <c r="BW71" s="153">
        <v>0</v>
      </c>
      <c r="BX71" s="232"/>
      <c r="BY71" s="436"/>
    </row>
    <row r="72" spans="1:77" ht="37.5" customHeight="1" outlineLevel="1">
      <c r="A72" s="420">
        <v>40</v>
      </c>
      <c r="B72" s="421" t="s">
        <v>2492</v>
      </c>
      <c r="C72" s="421" t="s">
        <v>2395</v>
      </c>
      <c r="D72" s="420" t="s">
        <v>2351</v>
      </c>
      <c r="E72" s="422" t="s">
        <v>49</v>
      </c>
      <c r="F72" s="422" t="s">
        <v>125</v>
      </c>
      <c r="G72" s="149">
        <v>8004630</v>
      </c>
      <c r="H72" s="437" t="s">
        <v>2352</v>
      </c>
      <c r="I72" s="420" t="s">
        <v>76</v>
      </c>
      <c r="J72" s="420"/>
      <c r="K72" s="424"/>
      <c r="L72" s="420" t="s">
        <v>2493</v>
      </c>
      <c r="M72" s="149">
        <v>2337</v>
      </c>
      <c r="N72" s="424"/>
      <c r="O72" s="149">
        <v>2337</v>
      </c>
      <c r="P72" s="424"/>
      <c r="Q72" s="420"/>
      <c r="R72" s="437" t="s">
        <v>2352</v>
      </c>
      <c r="S72" s="422" t="s">
        <v>2339</v>
      </c>
      <c r="T72" s="420" t="s">
        <v>2351</v>
      </c>
      <c r="U72" s="143">
        <f t="shared" si="21"/>
        <v>0</v>
      </c>
      <c r="V72" s="421"/>
      <c r="W72" s="421"/>
      <c r="X72" s="421"/>
      <c r="Y72" s="143">
        <f t="shared" si="22"/>
        <v>2337</v>
      </c>
      <c r="Z72" s="144"/>
      <c r="AA72" s="144"/>
      <c r="AB72" s="143">
        <f t="shared" si="28"/>
        <v>2337</v>
      </c>
      <c r="AC72" s="143">
        <v>0</v>
      </c>
      <c r="AD72" s="144"/>
      <c r="AE72" s="144">
        <v>2337</v>
      </c>
      <c r="AF72" s="143">
        <f t="shared" si="23"/>
        <v>2337</v>
      </c>
      <c r="AG72" s="144"/>
      <c r="AH72" s="145"/>
      <c r="AI72" s="143">
        <f t="shared" si="24"/>
        <v>2337</v>
      </c>
      <c r="AJ72" s="143">
        <v>0</v>
      </c>
      <c r="AK72" s="144"/>
      <c r="AL72" s="145">
        <v>2337</v>
      </c>
      <c r="AM72" s="143">
        <v>2167.3989999999999</v>
      </c>
      <c r="AN72" s="144"/>
      <c r="AO72" s="144">
        <v>2167.3989999999999</v>
      </c>
      <c r="AP72" s="143">
        <v>0</v>
      </c>
      <c r="AQ72" s="143">
        <v>0</v>
      </c>
      <c r="AR72" s="144"/>
      <c r="AS72" s="144"/>
      <c r="AT72" s="144"/>
      <c r="AU72" s="144"/>
      <c r="AV72" s="143">
        <f t="shared" si="25"/>
        <v>0</v>
      </c>
      <c r="AW72" s="144"/>
      <c r="AX72" s="144"/>
      <c r="AY72" s="143">
        <f t="shared" si="26"/>
        <v>0</v>
      </c>
      <c r="AZ72" s="143">
        <v>0</v>
      </c>
      <c r="BA72" s="144"/>
      <c r="BB72" s="144"/>
      <c r="BC72" s="143">
        <v>0</v>
      </c>
      <c r="BD72" s="144"/>
      <c r="BE72" s="144"/>
      <c r="BF72" s="148"/>
      <c r="BG72" s="143">
        <v>0</v>
      </c>
      <c r="BH72" s="148">
        <v>0</v>
      </c>
      <c r="BI72" s="143"/>
      <c r="BJ72" s="148"/>
      <c r="BK72" s="153"/>
      <c r="BL72" s="153">
        <v>0</v>
      </c>
      <c r="BM72" s="153"/>
      <c r="BN72" s="153"/>
      <c r="BO72" s="153"/>
      <c r="BP72" s="153">
        <v>0</v>
      </c>
      <c r="BQ72" s="153"/>
      <c r="BR72" s="153"/>
      <c r="BS72" s="153"/>
      <c r="BT72" s="153"/>
      <c r="BU72" s="153"/>
      <c r="BV72" s="153"/>
      <c r="BW72" s="153"/>
      <c r="BX72" s="232"/>
      <c r="BY72" s="421"/>
    </row>
    <row r="73" spans="1:77" ht="51" customHeight="1" outlineLevel="1">
      <c r="A73" s="420">
        <v>41</v>
      </c>
      <c r="B73" s="421" t="s">
        <v>2494</v>
      </c>
      <c r="C73" s="428" t="s">
        <v>2350</v>
      </c>
      <c r="D73" s="420" t="s">
        <v>2351</v>
      </c>
      <c r="E73" s="422" t="s">
        <v>10</v>
      </c>
      <c r="F73" s="420" t="s">
        <v>125</v>
      </c>
      <c r="G73" s="142">
        <v>7919705</v>
      </c>
      <c r="H73" s="437" t="s">
        <v>2352</v>
      </c>
      <c r="I73" s="420" t="s">
        <v>1036</v>
      </c>
      <c r="J73" s="422">
        <v>2023</v>
      </c>
      <c r="K73" s="424"/>
      <c r="L73" s="436" t="s">
        <v>2495</v>
      </c>
      <c r="M73" s="146">
        <v>185000</v>
      </c>
      <c r="N73" s="148">
        <v>100000</v>
      </c>
      <c r="O73" s="424"/>
      <c r="P73" s="146">
        <v>18500</v>
      </c>
      <c r="Q73" s="420"/>
      <c r="R73" s="437" t="s">
        <v>2352</v>
      </c>
      <c r="S73" s="422" t="s">
        <v>2339</v>
      </c>
      <c r="T73" s="420" t="s">
        <v>2351</v>
      </c>
      <c r="U73" s="143">
        <f t="shared" si="21"/>
        <v>0</v>
      </c>
      <c r="V73" s="421"/>
      <c r="W73" s="421"/>
      <c r="X73" s="421"/>
      <c r="Y73" s="143">
        <f t="shared" si="22"/>
        <v>18500</v>
      </c>
      <c r="Z73" s="143"/>
      <c r="AA73" s="143"/>
      <c r="AB73" s="143">
        <f t="shared" si="28"/>
        <v>18500</v>
      </c>
      <c r="AC73" s="143">
        <v>0</v>
      </c>
      <c r="AD73" s="144">
        <v>18500</v>
      </c>
      <c r="AE73" s="144"/>
      <c r="AF73" s="143">
        <f t="shared" si="23"/>
        <v>0</v>
      </c>
      <c r="AG73" s="143"/>
      <c r="AH73" s="143"/>
      <c r="AI73" s="143">
        <f t="shared" si="24"/>
        <v>0</v>
      </c>
      <c r="AJ73" s="143">
        <v>0</v>
      </c>
      <c r="AK73" s="144">
        <v>0</v>
      </c>
      <c r="AL73" s="144"/>
      <c r="AM73" s="143">
        <v>0</v>
      </c>
      <c r="AN73" s="143"/>
      <c r="AO73" s="143"/>
      <c r="AP73" s="143">
        <v>0</v>
      </c>
      <c r="AQ73" s="143">
        <v>0</v>
      </c>
      <c r="AR73" s="143"/>
      <c r="AS73" s="144"/>
      <c r="AT73" s="144">
        <v>0</v>
      </c>
      <c r="AU73" s="144"/>
      <c r="AV73" s="143">
        <f t="shared" si="25"/>
        <v>0</v>
      </c>
      <c r="AW73" s="143"/>
      <c r="AX73" s="143"/>
      <c r="AY73" s="143">
        <f t="shared" si="26"/>
        <v>0</v>
      </c>
      <c r="AZ73" s="143">
        <v>0</v>
      </c>
      <c r="BA73" s="144">
        <v>0</v>
      </c>
      <c r="BB73" s="144"/>
      <c r="BC73" s="143"/>
      <c r="BD73" s="143"/>
      <c r="BE73" s="143"/>
      <c r="BF73" s="143">
        <v>0</v>
      </c>
      <c r="BG73" s="143">
        <v>0</v>
      </c>
      <c r="BH73" s="148">
        <v>0</v>
      </c>
      <c r="BI73" s="143"/>
      <c r="BJ73" s="148"/>
      <c r="BK73" s="148"/>
      <c r="BL73" s="148">
        <v>0</v>
      </c>
      <c r="BM73" s="148"/>
      <c r="BN73" s="148"/>
      <c r="BO73" s="148"/>
      <c r="BP73" s="148">
        <v>0</v>
      </c>
      <c r="BQ73" s="148"/>
      <c r="BR73" s="148"/>
      <c r="BS73" s="148"/>
      <c r="BT73" s="451">
        <f>BU73+BV73+BW73</f>
        <v>18500</v>
      </c>
      <c r="BU73" s="451"/>
      <c r="BV73" s="148">
        <v>18500</v>
      </c>
      <c r="BW73" s="426"/>
      <c r="BX73" s="452"/>
      <c r="BY73" s="421"/>
    </row>
    <row r="74" spans="1:77" ht="46.15" outlineLevel="1">
      <c r="A74" s="420">
        <v>42</v>
      </c>
      <c r="B74" s="442" t="s">
        <v>2496</v>
      </c>
      <c r="C74" s="421" t="s">
        <v>2350</v>
      </c>
      <c r="D74" s="420" t="s">
        <v>2351</v>
      </c>
      <c r="E74" s="422" t="s">
        <v>49</v>
      </c>
      <c r="F74" s="431" t="s">
        <v>48</v>
      </c>
      <c r="G74" s="142">
        <v>8060418</v>
      </c>
      <c r="H74" s="423" t="s">
        <v>2368</v>
      </c>
      <c r="I74" s="420" t="s">
        <v>56</v>
      </c>
      <c r="J74" s="420"/>
      <c r="K74" s="424"/>
      <c r="L74" s="420" t="s">
        <v>2497</v>
      </c>
      <c r="M74" s="149">
        <v>3000</v>
      </c>
      <c r="N74" s="424"/>
      <c r="O74" s="149">
        <v>1950</v>
      </c>
      <c r="P74" s="424"/>
      <c r="Q74" s="420" t="s">
        <v>2498</v>
      </c>
      <c r="R74" s="423" t="s">
        <v>2368</v>
      </c>
      <c r="S74" s="422" t="s">
        <v>2339</v>
      </c>
      <c r="T74" s="420" t="s">
        <v>2351</v>
      </c>
      <c r="U74" s="143">
        <f t="shared" si="21"/>
        <v>0</v>
      </c>
      <c r="V74" s="421"/>
      <c r="W74" s="421"/>
      <c r="X74" s="421"/>
      <c r="Y74" s="143">
        <f t="shared" si="22"/>
        <v>1950</v>
      </c>
      <c r="Z74" s="144"/>
      <c r="AA74" s="144"/>
      <c r="AB74" s="143">
        <f t="shared" si="28"/>
        <v>1950</v>
      </c>
      <c r="AC74" s="143">
        <v>0</v>
      </c>
      <c r="AD74" s="144"/>
      <c r="AE74" s="144">
        <v>1950</v>
      </c>
      <c r="AF74" s="143">
        <f t="shared" si="23"/>
        <v>1950</v>
      </c>
      <c r="AG74" s="144"/>
      <c r="AH74" s="145"/>
      <c r="AI74" s="143">
        <f t="shared" si="24"/>
        <v>1950</v>
      </c>
      <c r="AJ74" s="143">
        <v>0</v>
      </c>
      <c r="AK74" s="144"/>
      <c r="AL74" s="144">
        <v>1950</v>
      </c>
      <c r="AM74" s="143">
        <v>1950</v>
      </c>
      <c r="AN74" s="144"/>
      <c r="AO74" s="144">
        <v>1950</v>
      </c>
      <c r="AP74" s="143">
        <v>0</v>
      </c>
      <c r="AQ74" s="143">
        <v>0</v>
      </c>
      <c r="AR74" s="144"/>
      <c r="AS74" s="144"/>
      <c r="AT74" s="144"/>
      <c r="AU74" s="144"/>
      <c r="AV74" s="143">
        <f t="shared" si="25"/>
        <v>0</v>
      </c>
      <c r="AW74" s="144"/>
      <c r="AX74" s="144"/>
      <c r="AY74" s="143">
        <f t="shared" si="26"/>
        <v>0</v>
      </c>
      <c r="AZ74" s="143">
        <v>0</v>
      </c>
      <c r="BA74" s="144"/>
      <c r="BB74" s="144"/>
      <c r="BC74" s="143">
        <v>0</v>
      </c>
      <c r="BD74" s="144"/>
      <c r="BE74" s="144"/>
      <c r="BF74" s="148"/>
      <c r="BG74" s="143">
        <v>0</v>
      </c>
      <c r="BH74" s="148">
        <v>0</v>
      </c>
      <c r="BI74" s="143"/>
      <c r="BJ74" s="148"/>
      <c r="BK74" s="153"/>
      <c r="BL74" s="153">
        <v>0</v>
      </c>
      <c r="BM74" s="153"/>
      <c r="BN74" s="153"/>
      <c r="BO74" s="153"/>
      <c r="BP74" s="153">
        <v>0</v>
      </c>
      <c r="BQ74" s="153"/>
      <c r="BR74" s="153"/>
      <c r="BS74" s="153"/>
      <c r="BT74" s="153">
        <v>0</v>
      </c>
      <c r="BU74" s="153"/>
      <c r="BV74" s="153"/>
      <c r="BW74" s="153"/>
      <c r="BX74" s="232"/>
      <c r="BY74" s="421"/>
    </row>
    <row r="75" spans="1:77" ht="30.75" outlineLevel="1">
      <c r="A75" s="420">
        <v>43</v>
      </c>
      <c r="B75" s="435" t="s">
        <v>2499</v>
      </c>
      <c r="C75" s="428" t="s">
        <v>2350</v>
      </c>
      <c r="D75" s="420" t="s">
        <v>2351</v>
      </c>
      <c r="E75" s="420" t="s">
        <v>49</v>
      </c>
      <c r="F75" s="431" t="s">
        <v>2500</v>
      </c>
      <c r="G75" s="151">
        <v>7918931</v>
      </c>
      <c r="H75" s="420" t="s">
        <v>2501</v>
      </c>
      <c r="I75" s="420" t="s">
        <v>2502</v>
      </c>
      <c r="J75" s="420" t="s">
        <v>2503</v>
      </c>
      <c r="K75" s="422"/>
      <c r="L75" s="436" t="s">
        <v>2504</v>
      </c>
      <c r="M75" s="150">
        <v>3275.3440000000001</v>
      </c>
      <c r="N75" s="422"/>
      <c r="O75" s="422"/>
      <c r="P75" s="150">
        <v>3275.3440000000001</v>
      </c>
      <c r="Q75" s="420"/>
      <c r="R75" s="420" t="s">
        <v>2501</v>
      </c>
      <c r="S75" s="422" t="s">
        <v>2339</v>
      </c>
      <c r="T75" s="420" t="s">
        <v>2351</v>
      </c>
      <c r="U75" s="143">
        <f t="shared" si="21"/>
        <v>0</v>
      </c>
      <c r="V75" s="420"/>
      <c r="W75" s="420"/>
      <c r="X75" s="420"/>
      <c r="Y75" s="143">
        <f t="shared" si="22"/>
        <v>3111</v>
      </c>
      <c r="Z75" s="143"/>
      <c r="AA75" s="143"/>
      <c r="AB75" s="143">
        <f t="shared" si="28"/>
        <v>3111</v>
      </c>
      <c r="AC75" s="143">
        <v>0</v>
      </c>
      <c r="AD75" s="143">
        <v>3111</v>
      </c>
      <c r="AE75" s="143"/>
      <c r="AF75" s="143">
        <f t="shared" si="23"/>
        <v>0</v>
      </c>
      <c r="AG75" s="143"/>
      <c r="AH75" s="143"/>
      <c r="AI75" s="143">
        <f t="shared" si="24"/>
        <v>0</v>
      </c>
      <c r="AJ75" s="143">
        <v>0</v>
      </c>
      <c r="AK75" s="143">
        <v>0</v>
      </c>
      <c r="AL75" s="143"/>
      <c r="AM75" s="143">
        <v>0</v>
      </c>
      <c r="AN75" s="143"/>
      <c r="AO75" s="143"/>
      <c r="AP75" s="143">
        <v>0</v>
      </c>
      <c r="AQ75" s="143">
        <v>0</v>
      </c>
      <c r="AR75" s="143"/>
      <c r="AS75" s="143"/>
      <c r="AT75" s="143">
        <v>0</v>
      </c>
      <c r="AU75" s="143"/>
      <c r="AV75" s="143">
        <f t="shared" si="25"/>
        <v>0</v>
      </c>
      <c r="AW75" s="143"/>
      <c r="AX75" s="143"/>
      <c r="AY75" s="143">
        <f t="shared" si="26"/>
        <v>0</v>
      </c>
      <c r="AZ75" s="143">
        <v>0</v>
      </c>
      <c r="BA75" s="143">
        <v>0</v>
      </c>
      <c r="BB75" s="143"/>
      <c r="BC75" s="143">
        <v>0</v>
      </c>
      <c r="BD75" s="143"/>
      <c r="BE75" s="143"/>
      <c r="BF75" s="143">
        <v>0</v>
      </c>
      <c r="BG75" s="143">
        <v>0</v>
      </c>
      <c r="BH75" s="143"/>
      <c r="BI75" s="143"/>
      <c r="BJ75" s="143"/>
      <c r="BK75" s="143"/>
      <c r="BL75" s="143"/>
      <c r="BM75" s="143"/>
      <c r="BN75" s="143"/>
      <c r="BO75" s="143"/>
      <c r="BP75" s="143"/>
      <c r="BQ75" s="143"/>
      <c r="BR75" s="143"/>
      <c r="BS75" s="143"/>
      <c r="BT75" s="143">
        <v>2978</v>
      </c>
      <c r="BU75" s="143"/>
      <c r="BV75" s="143">
        <v>2978</v>
      </c>
      <c r="BW75" s="143"/>
      <c r="BX75" s="230"/>
      <c r="BY75" s="433"/>
    </row>
    <row r="76" spans="1:77" ht="46.15" outlineLevel="1">
      <c r="A76" s="420">
        <v>44</v>
      </c>
      <c r="B76" s="435" t="s">
        <v>2505</v>
      </c>
      <c r="C76" s="428" t="s">
        <v>2350</v>
      </c>
      <c r="D76" s="420" t="s">
        <v>2351</v>
      </c>
      <c r="E76" s="420" t="s">
        <v>49</v>
      </c>
      <c r="F76" s="431" t="s">
        <v>2500</v>
      </c>
      <c r="G76" s="142">
        <v>7918936</v>
      </c>
      <c r="H76" s="420" t="s">
        <v>2364</v>
      </c>
      <c r="I76" s="420" t="s">
        <v>2502</v>
      </c>
      <c r="J76" s="420" t="s">
        <v>2503</v>
      </c>
      <c r="K76" s="422"/>
      <c r="L76" s="436" t="s">
        <v>2506</v>
      </c>
      <c r="M76" s="146">
        <v>12258</v>
      </c>
      <c r="N76" s="422"/>
      <c r="O76" s="422"/>
      <c r="P76" s="146">
        <v>12258</v>
      </c>
      <c r="Q76" s="420"/>
      <c r="R76" s="420" t="s">
        <v>2364</v>
      </c>
      <c r="S76" s="422" t="s">
        <v>2339</v>
      </c>
      <c r="T76" s="420" t="s">
        <v>2351</v>
      </c>
      <c r="U76" s="143">
        <f t="shared" si="21"/>
        <v>0</v>
      </c>
      <c r="V76" s="420"/>
      <c r="W76" s="420"/>
      <c r="X76" s="420"/>
      <c r="Y76" s="143">
        <f t="shared" si="22"/>
        <v>12000</v>
      </c>
      <c r="Z76" s="143"/>
      <c r="AA76" s="143"/>
      <c r="AB76" s="143">
        <f t="shared" si="28"/>
        <v>12000</v>
      </c>
      <c r="AC76" s="143">
        <v>0</v>
      </c>
      <c r="AD76" s="143">
        <v>12000</v>
      </c>
      <c r="AE76" s="143"/>
      <c r="AF76" s="143">
        <f t="shared" si="23"/>
        <v>500</v>
      </c>
      <c r="AG76" s="143"/>
      <c r="AH76" s="143"/>
      <c r="AI76" s="143">
        <f t="shared" si="24"/>
        <v>500</v>
      </c>
      <c r="AJ76" s="143">
        <v>0</v>
      </c>
      <c r="AK76" s="143">
        <v>500</v>
      </c>
      <c r="AL76" s="143"/>
      <c r="AM76" s="143">
        <v>0</v>
      </c>
      <c r="AN76" s="143"/>
      <c r="AO76" s="143"/>
      <c r="AP76" s="143">
        <v>0</v>
      </c>
      <c r="AQ76" s="143">
        <v>0</v>
      </c>
      <c r="AR76" s="143"/>
      <c r="AS76" s="143"/>
      <c r="AT76" s="143">
        <v>0</v>
      </c>
      <c r="AU76" s="143"/>
      <c r="AV76" s="143">
        <f t="shared" si="25"/>
        <v>464.012</v>
      </c>
      <c r="AW76" s="143"/>
      <c r="AX76" s="143"/>
      <c r="AY76" s="143">
        <f t="shared" si="26"/>
        <v>464.012</v>
      </c>
      <c r="AZ76" s="143">
        <v>0</v>
      </c>
      <c r="BA76" s="143">
        <v>464.012</v>
      </c>
      <c r="BB76" s="143"/>
      <c r="BC76" s="143">
        <v>0</v>
      </c>
      <c r="BD76" s="143"/>
      <c r="BE76" s="143"/>
      <c r="BF76" s="143">
        <v>0</v>
      </c>
      <c r="BG76" s="143">
        <v>0</v>
      </c>
      <c r="BH76" s="143"/>
      <c r="BI76" s="143"/>
      <c r="BJ76" s="143"/>
      <c r="BK76" s="143"/>
      <c r="BL76" s="143"/>
      <c r="BM76" s="143"/>
      <c r="BN76" s="143"/>
      <c r="BO76" s="143"/>
      <c r="BP76" s="143"/>
      <c r="BQ76" s="143"/>
      <c r="BR76" s="143"/>
      <c r="BS76" s="143"/>
      <c r="BT76" s="143">
        <v>11144</v>
      </c>
      <c r="BU76" s="143"/>
      <c r="BV76" s="143">
        <v>11144</v>
      </c>
      <c r="BW76" s="143"/>
      <c r="BX76" s="230"/>
      <c r="BY76" s="433"/>
    </row>
    <row r="77" spans="1:77" ht="61.5" outlineLevel="1">
      <c r="A77" s="420">
        <v>45</v>
      </c>
      <c r="B77" s="421" t="s">
        <v>2507</v>
      </c>
      <c r="C77" s="420" t="s">
        <v>2350</v>
      </c>
      <c r="D77" s="420" t="s">
        <v>2351</v>
      </c>
      <c r="E77" s="422" t="s">
        <v>49</v>
      </c>
      <c r="F77" s="422" t="s">
        <v>55</v>
      </c>
      <c r="G77" s="150">
        <v>7962374</v>
      </c>
      <c r="H77" s="437" t="s">
        <v>2364</v>
      </c>
      <c r="I77" s="420" t="s">
        <v>2502</v>
      </c>
      <c r="J77" s="420" t="s">
        <v>2503</v>
      </c>
      <c r="K77" s="424"/>
      <c r="L77" s="436" t="s">
        <v>2508</v>
      </c>
      <c r="M77" s="448">
        <v>30000</v>
      </c>
      <c r="N77" s="424"/>
      <c r="O77" s="424"/>
      <c r="P77" s="448">
        <v>28500</v>
      </c>
      <c r="Q77" s="420"/>
      <c r="R77" s="437" t="s">
        <v>2364</v>
      </c>
      <c r="S77" s="422" t="s">
        <v>2339</v>
      </c>
      <c r="T77" s="420" t="s">
        <v>2351</v>
      </c>
      <c r="U77" s="143">
        <f t="shared" si="21"/>
        <v>0</v>
      </c>
      <c r="V77" s="421"/>
      <c r="W77" s="421"/>
      <c r="X77" s="421"/>
      <c r="Y77" s="143">
        <f t="shared" si="22"/>
        <v>10000</v>
      </c>
      <c r="Z77" s="143"/>
      <c r="AA77" s="143"/>
      <c r="AB77" s="143">
        <f t="shared" si="28"/>
        <v>10000</v>
      </c>
      <c r="AC77" s="143">
        <v>0</v>
      </c>
      <c r="AD77" s="144">
        <v>10000</v>
      </c>
      <c r="AE77" s="144"/>
      <c r="AF77" s="143">
        <f t="shared" si="23"/>
        <v>0</v>
      </c>
      <c r="AG77" s="143"/>
      <c r="AH77" s="143"/>
      <c r="AI77" s="143">
        <f t="shared" si="24"/>
        <v>0</v>
      </c>
      <c r="AJ77" s="143">
        <v>0</v>
      </c>
      <c r="AK77" s="144">
        <v>0</v>
      </c>
      <c r="AL77" s="144"/>
      <c r="AM77" s="143">
        <v>0</v>
      </c>
      <c r="AN77" s="143"/>
      <c r="AO77" s="143"/>
      <c r="AP77" s="143">
        <v>0</v>
      </c>
      <c r="AQ77" s="143">
        <v>0</v>
      </c>
      <c r="AR77" s="143"/>
      <c r="AS77" s="144"/>
      <c r="AT77" s="144">
        <v>0</v>
      </c>
      <c r="AU77" s="144"/>
      <c r="AV77" s="143">
        <f t="shared" si="25"/>
        <v>0</v>
      </c>
      <c r="AW77" s="143"/>
      <c r="AX77" s="143"/>
      <c r="AY77" s="143">
        <f t="shared" si="26"/>
        <v>0</v>
      </c>
      <c r="AZ77" s="143">
        <v>0</v>
      </c>
      <c r="BA77" s="144">
        <v>0</v>
      </c>
      <c r="BB77" s="144"/>
      <c r="BC77" s="143">
        <v>0</v>
      </c>
      <c r="BD77" s="143"/>
      <c r="BE77" s="143"/>
      <c r="BF77" s="143">
        <v>0</v>
      </c>
      <c r="BG77" s="143">
        <v>0</v>
      </c>
      <c r="BH77" s="148"/>
      <c r="BI77" s="148"/>
      <c r="BJ77" s="148"/>
      <c r="BK77" s="148"/>
      <c r="BL77" s="148"/>
      <c r="BM77" s="148"/>
      <c r="BN77" s="148"/>
      <c r="BO77" s="148"/>
      <c r="BP77" s="148"/>
      <c r="BQ77" s="148"/>
      <c r="BR77" s="148"/>
      <c r="BS77" s="148"/>
      <c r="BT77" s="148">
        <v>30000</v>
      </c>
      <c r="BU77" s="148"/>
      <c r="BV77" s="148">
        <v>30000</v>
      </c>
      <c r="BW77" s="148"/>
      <c r="BX77" s="231"/>
      <c r="BY77" s="424"/>
    </row>
    <row r="78" spans="1:77" ht="46.15" outlineLevel="1">
      <c r="A78" s="420">
        <v>46</v>
      </c>
      <c r="B78" s="421" t="s">
        <v>2528</v>
      </c>
      <c r="C78" s="428" t="s">
        <v>2350</v>
      </c>
      <c r="D78" s="420" t="s">
        <v>2351</v>
      </c>
      <c r="E78" s="420" t="s">
        <v>49</v>
      </c>
      <c r="F78" s="431" t="s">
        <v>2500</v>
      </c>
      <c r="G78" s="142">
        <v>7930649</v>
      </c>
      <c r="H78" s="437" t="s">
        <v>2529</v>
      </c>
      <c r="I78" s="420" t="s">
        <v>2502</v>
      </c>
      <c r="J78" s="420" t="s">
        <v>2503</v>
      </c>
      <c r="K78" s="424"/>
      <c r="L78" s="436" t="s">
        <v>2530</v>
      </c>
      <c r="M78" s="146">
        <v>55625</v>
      </c>
      <c r="N78" s="424"/>
      <c r="O78" s="424"/>
      <c r="P78" s="146">
        <v>27045</v>
      </c>
      <c r="Q78" s="420"/>
      <c r="R78" s="437" t="s">
        <v>2529</v>
      </c>
      <c r="S78" s="422" t="s">
        <v>2339</v>
      </c>
      <c r="T78" s="420" t="s">
        <v>2351</v>
      </c>
      <c r="U78" s="143">
        <f>V78+W78+X78</f>
        <v>0</v>
      </c>
      <c r="V78" s="421"/>
      <c r="W78" s="421"/>
      <c r="X78" s="421"/>
      <c r="Y78" s="143">
        <f>SUM(Z78:AB78)</f>
        <v>7000</v>
      </c>
      <c r="Z78" s="143"/>
      <c r="AA78" s="143"/>
      <c r="AB78" s="143">
        <f>AC78+AD78+AE78</f>
        <v>7000</v>
      </c>
      <c r="AC78" s="143">
        <v>0</v>
      </c>
      <c r="AD78" s="144">
        <v>7000</v>
      </c>
      <c r="AE78" s="144"/>
      <c r="AF78" s="143">
        <f>SUM(AG78:AI78)</f>
        <v>273</v>
      </c>
      <c r="AG78" s="143"/>
      <c r="AH78" s="143"/>
      <c r="AI78" s="143">
        <f>SUM(AJ78:AL78)</f>
        <v>273</v>
      </c>
      <c r="AJ78" s="143">
        <v>0</v>
      </c>
      <c r="AK78" s="144">
        <v>273</v>
      </c>
      <c r="AL78" s="144"/>
      <c r="AM78" s="143">
        <v>271.53799999999995</v>
      </c>
      <c r="AN78" s="143"/>
      <c r="AO78" s="143"/>
      <c r="AP78" s="143">
        <v>271.53799999999995</v>
      </c>
      <c r="AQ78" s="143">
        <v>0</v>
      </c>
      <c r="AR78" s="143"/>
      <c r="AS78" s="144"/>
      <c r="AT78" s="144">
        <v>271.53799999999995</v>
      </c>
      <c r="AU78" s="144"/>
      <c r="AV78" s="143">
        <f>SUM(AW78:AY78)</f>
        <v>0</v>
      </c>
      <c r="AW78" s="143"/>
      <c r="AX78" s="143"/>
      <c r="AY78" s="143">
        <f>SUM(AZ78:BB78)</f>
        <v>0</v>
      </c>
      <c r="AZ78" s="143">
        <v>0</v>
      </c>
      <c r="BA78" s="144">
        <v>0</v>
      </c>
      <c r="BB78" s="144"/>
      <c r="BC78" s="143">
        <v>0</v>
      </c>
      <c r="BD78" s="143"/>
      <c r="BE78" s="143"/>
      <c r="BF78" s="143">
        <v>0</v>
      </c>
      <c r="BG78" s="143">
        <v>0</v>
      </c>
      <c r="BH78" s="148"/>
      <c r="BI78" s="148"/>
      <c r="BJ78" s="148"/>
      <c r="BK78" s="148"/>
      <c r="BL78" s="148"/>
      <c r="BM78" s="148"/>
      <c r="BN78" s="148"/>
      <c r="BO78" s="148"/>
      <c r="BP78" s="148"/>
      <c r="BQ78" s="148"/>
      <c r="BR78" s="148"/>
      <c r="BS78" s="148"/>
      <c r="BT78" s="146">
        <v>27045</v>
      </c>
      <c r="BU78" s="146"/>
      <c r="BV78" s="146">
        <v>27045</v>
      </c>
      <c r="BW78" s="148"/>
      <c r="BX78" s="231"/>
      <c r="BY78" s="424"/>
    </row>
    <row r="79" spans="1:77" ht="30.75" outlineLevel="1">
      <c r="A79" s="420">
        <v>47</v>
      </c>
      <c r="B79" s="442" t="s">
        <v>2509</v>
      </c>
      <c r="C79" s="428" t="s">
        <v>2350</v>
      </c>
      <c r="D79" s="420" t="s">
        <v>2351</v>
      </c>
      <c r="E79" s="420" t="s">
        <v>49</v>
      </c>
      <c r="F79" s="431" t="s">
        <v>2500</v>
      </c>
      <c r="G79" s="142">
        <v>7930648</v>
      </c>
      <c r="H79" s="437" t="s">
        <v>2352</v>
      </c>
      <c r="I79" s="420" t="s">
        <v>2502</v>
      </c>
      <c r="J79" s="420" t="s">
        <v>2503</v>
      </c>
      <c r="K79" s="424"/>
      <c r="L79" s="436" t="s">
        <v>2510</v>
      </c>
      <c r="M79" s="146">
        <v>77051</v>
      </c>
      <c r="N79" s="424"/>
      <c r="O79" s="424"/>
      <c r="P79" s="146">
        <v>48051</v>
      </c>
      <c r="Q79" s="420"/>
      <c r="R79" s="437" t="s">
        <v>2352</v>
      </c>
      <c r="S79" s="422" t="s">
        <v>2339</v>
      </c>
      <c r="T79" s="420" t="s">
        <v>2351</v>
      </c>
      <c r="U79" s="143">
        <f t="shared" si="21"/>
        <v>0</v>
      </c>
      <c r="V79" s="421"/>
      <c r="W79" s="421"/>
      <c r="X79" s="421"/>
      <c r="Y79" s="143">
        <f t="shared" si="22"/>
        <v>8000</v>
      </c>
      <c r="Z79" s="143"/>
      <c r="AA79" s="143"/>
      <c r="AB79" s="143">
        <f t="shared" si="28"/>
        <v>8000</v>
      </c>
      <c r="AC79" s="143">
        <v>0</v>
      </c>
      <c r="AD79" s="144">
        <v>8000</v>
      </c>
      <c r="AE79" s="144"/>
      <c r="AF79" s="143">
        <f t="shared" si="23"/>
        <v>288</v>
      </c>
      <c r="AG79" s="143"/>
      <c r="AH79" s="143"/>
      <c r="AI79" s="143">
        <f t="shared" si="24"/>
        <v>288</v>
      </c>
      <c r="AJ79" s="143">
        <v>0</v>
      </c>
      <c r="AK79" s="144">
        <v>288</v>
      </c>
      <c r="AL79" s="144"/>
      <c r="AM79" s="143">
        <v>287.44499999999999</v>
      </c>
      <c r="AN79" s="143"/>
      <c r="AO79" s="143"/>
      <c r="AP79" s="143">
        <v>287.44499999999999</v>
      </c>
      <c r="AQ79" s="143">
        <v>0</v>
      </c>
      <c r="AR79" s="143"/>
      <c r="AS79" s="144"/>
      <c r="AT79" s="144">
        <v>287.44499999999999</v>
      </c>
      <c r="AU79" s="144"/>
      <c r="AV79" s="143">
        <f t="shared" si="25"/>
        <v>0</v>
      </c>
      <c r="AW79" s="143"/>
      <c r="AX79" s="143"/>
      <c r="AY79" s="143">
        <f t="shared" si="26"/>
        <v>0</v>
      </c>
      <c r="AZ79" s="143">
        <v>0</v>
      </c>
      <c r="BA79" s="144">
        <v>0</v>
      </c>
      <c r="BB79" s="144"/>
      <c r="BC79" s="143">
        <v>0</v>
      </c>
      <c r="BD79" s="143"/>
      <c r="BE79" s="143"/>
      <c r="BF79" s="143">
        <v>0</v>
      </c>
      <c r="BG79" s="143">
        <v>0</v>
      </c>
      <c r="BH79" s="148"/>
      <c r="BI79" s="148"/>
      <c r="BJ79" s="148"/>
      <c r="BK79" s="148"/>
      <c r="BL79" s="148"/>
      <c r="BM79" s="148"/>
      <c r="BN79" s="148"/>
      <c r="BO79" s="148"/>
      <c r="BP79" s="148"/>
      <c r="BQ79" s="148"/>
      <c r="BR79" s="148"/>
      <c r="BS79" s="148"/>
      <c r="BT79" s="146">
        <v>48051</v>
      </c>
      <c r="BU79" s="148"/>
      <c r="BV79" s="146">
        <v>48051</v>
      </c>
      <c r="BW79" s="148"/>
      <c r="BX79" s="231"/>
      <c r="BY79" s="424"/>
    </row>
    <row r="80" spans="1:77" ht="30.75" outlineLevel="1">
      <c r="A80" s="420">
        <v>48</v>
      </c>
      <c r="B80" s="421" t="s">
        <v>2511</v>
      </c>
      <c r="C80" s="428" t="s">
        <v>2350</v>
      </c>
      <c r="D80" s="420" t="s">
        <v>2351</v>
      </c>
      <c r="E80" s="420" t="s">
        <v>49</v>
      </c>
      <c r="F80" s="431" t="s">
        <v>2500</v>
      </c>
      <c r="G80" s="142">
        <v>7930646</v>
      </c>
      <c r="H80" s="437" t="s">
        <v>2352</v>
      </c>
      <c r="I80" s="420" t="s">
        <v>2502</v>
      </c>
      <c r="J80" s="420" t="s">
        <v>2503</v>
      </c>
      <c r="K80" s="424"/>
      <c r="L80" s="436" t="s">
        <v>2512</v>
      </c>
      <c r="M80" s="146">
        <v>71894</v>
      </c>
      <c r="N80" s="424"/>
      <c r="O80" s="424"/>
      <c r="P80" s="146">
        <v>17894</v>
      </c>
      <c r="Q80" s="420"/>
      <c r="R80" s="437" t="s">
        <v>2352</v>
      </c>
      <c r="S80" s="422" t="s">
        <v>2339</v>
      </c>
      <c r="T80" s="420" t="s">
        <v>2351</v>
      </c>
      <c r="U80" s="143">
        <f t="shared" si="21"/>
        <v>0</v>
      </c>
      <c r="V80" s="421"/>
      <c r="W80" s="421"/>
      <c r="X80" s="421"/>
      <c r="Y80" s="143">
        <f t="shared" si="22"/>
        <v>1000</v>
      </c>
      <c r="Z80" s="143"/>
      <c r="AA80" s="143"/>
      <c r="AB80" s="143">
        <f t="shared" si="28"/>
        <v>1000</v>
      </c>
      <c r="AC80" s="143">
        <v>0</v>
      </c>
      <c r="AD80" s="144">
        <v>1000</v>
      </c>
      <c r="AE80" s="144"/>
      <c r="AF80" s="143">
        <f t="shared" si="23"/>
        <v>0</v>
      </c>
      <c r="AG80" s="143"/>
      <c r="AH80" s="143"/>
      <c r="AI80" s="143">
        <f t="shared" si="24"/>
        <v>0</v>
      </c>
      <c r="AJ80" s="143">
        <v>0</v>
      </c>
      <c r="AK80" s="144">
        <v>0</v>
      </c>
      <c r="AL80" s="144"/>
      <c r="AM80" s="143">
        <v>0</v>
      </c>
      <c r="AN80" s="143"/>
      <c r="AO80" s="143"/>
      <c r="AP80" s="143">
        <v>0</v>
      </c>
      <c r="AQ80" s="143">
        <v>0</v>
      </c>
      <c r="AR80" s="143"/>
      <c r="AS80" s="144"/>
      <c r="AT80" s="144">
        <v>0</v>
      </c>
      <c r="AU80" s="144"/>
      <c r="AV80" s="143">
        <f t="shared" si="25"/>
        <v>0</v>
      </c>
      <c r="AW80" s="143"/>
      <c r="AX80" s="143"/>
      <c r="AY80" s="143">
        <f t="shared" si="26"/>
        <v>0</v>
      </c>
      <c r="AZ80" s="143">
        <v>0</v>
      </c>
      <c r="BA80" s="144">
        <v>0</v>
      </c>
      <c r="BB80" s="144"/>
      <c r="BC80" s="143">
        <v>0</v>
      </c>
      <c r="BD80" s="143"/>
      <c r="BE80" s="143"/>
      <c r="BF80" s="143">
        <v>0</v>
      </c>
      <c r="BG80" s="143">
        <v>0</v>
      </c>
      <c r="BH80" s="148"/>
      <c r="BI80" s="148"/>
      <c r="BJ80" s="148"/>
      <c r="BK80" s="148"/>
      <c r="BL80" s="148"/>
      <c r="BM80" s="148"/>
      <c r="BN80" s="148"/>
      <c r="BO80" s="148"/>
      <c r="BP80" s="148"/>
      <c r="BQ80" s="148"/>
      <c r="BR80" s="148"/>
      <c r="BS80" s="148"/>
      <c r="BT80" s="146">
        <v>17894</v>
      </c>
      <c r="BU80" s="148"/>
      <c r="BV80" s="146">
        <v>17894</v>
      </c>
      <c r="BW80" s="148"/>
      <c r="BX80" s="231"/>
      <c r="BY80" s="424"/>
    </row>
    <row r="81" spans="1:77" s="417" customFormat="1" ht="30.75" customHeight="1" outlineLevel="1">
      <c r="A81" s="430" t="s">
        <v>45</v>
      </c>
      <c r="B81" s="418" t="s">
        <v>2513</v>
      </c>
      <c r="C81" s="418"/>
      <c r="D81" s="418"/>
      <c r="E81" s="418"/>
      <c r="F81" s="418"/>
      <c r="G81" s="418"/>
      <c r="H81" s="419">
        <f>SUM(H82:H84)</f>
        <v>0</v>
      </c>
      <c r="I81" s="418"/>
      <c r="J81" s="419"/>
      <c r="K81" s="419"/>
      <c r="L81" s="419"/>
      <c r="M81" s="419">
        <f t="shared" ref="M81:BY81" si="29">SUM(M82:M89)</f>
        <v>108052.088</v>
      </c>
      <c r="N81" s="419">
        <f t="shared" si="29"/>
        <v>0</v>
      </c>
      <c r="O81" s="419">
        <f t="shared" si="29"/>
        <v>0</v>
      </c>
      <c r="P81" s="419">
        <f t="shared" si="29"/>
        <v>97014.088000000003</v>
      </c>
      <c r="Q81" s="419">
        <f t="shared" si="29"/>
        <v>0</v>
      </c>
      <c r="R81" s="419">
        <f t="shared" si="29"/>
        <v>0</v>
      </c>
      <c r="S81" s="419">
        <f t="shared" si="29"/>
        <v>0</v>
      </c>
      <c r="T81" s="419">
        <f t="shared" si="29"/>
        <v>0</v>
      </c>
      <c r="U81" s="419">
        <f t="shared" si="29"/>
        <v>0</v>
      </c>
      <c r="V81" s="419">
        <f t="shared" si="29"/>
        <v>0</v>
      </c>
      <c r="W81" s="419">
        <f t="shared" si="29"/>
        <v>0</v>
      </c>
      <c r="X81" s="419">
        <f t="shared" si="29"/>
        <v>0</v>
      </c>
      <c r="Y81" s="419">
        <f t="shared" si="29"/>
        <v>6029</v>
      </c>
      <c r="Z81" s="419">
        <f t="shared" si="29"/>
        <v>0</v>
      </c>
      <c r="AA81" s="419">
        <f t="shared" si="29"/>
        <v>0</v>
      </c>
      <c r="AB81" s="419">
        <f t="shared" si="29"/>
        <v>6029</v>
      </c>
      <c r="AC81" s="419">
        <f t="shared" si="29"/>
        <v>0</v>
      </c>
      <c r="AD81" s="419">
        <f t="shared" si="29"/>
        <v>6029</v>
      </c>
      <c r="AE81" s="419">
        <f t="shared" si="29"/>
        <v>0</v>
      </c>
      <c r="AF81" s="419">
        <f t="shared" si="29"/>
        <v>212.613</v>
      </c>
      <c r="AG81" s="419">
        <f t="shared" si="29"/>
        <v>0</v>
      </c>
      <c r="AH81" s="419">
        <f t="shared" si="29"/>
        <v>0</v>
      </c>
      <c r="AI81" s="419">
        <f t="shared" si="29"/>
        <v>212.613</v>
      </c>
      <c r="AJ81" s="419">
        <f t="shared" si="29"/>
        <v>0</v>
      </c>
      <c r="AK81" s="419">
        <f t="shared" si="29"/>
        <v>212.613</v>
      </c>
      <c r="AL81" s="419">
        <f t="shared" si="29"/>
        <v>0</v>
      </c>
      <c r="AM81" s="419">
        <f t="shared" si="29"/>
        <v>212.613</v>
      </c>
      <c r="AN81" s="419">
        <f t="shared" si="29"/>
        <v>0</v>
      </c>
      <c r="AO81" s="419">
        <f t="shared" si="29"/>
        <v>0</v>
      </c>
      <c r="AP81" s="419">
        <f t="shared" si="29"/>
        <v>212.613</v>
      </c>
      <c r="AQ81" s="419">
        <f t="shared" si="29"/>
        <v>0</v>
      </c>
      <c r="AR81" s="419">
        <f t="shared" si="29"/>
        <v>0</v>
      </c>
      <c r="AS81" s="419">
        <f t="shared" si="29"/>
        <v>0</v>
      </c>
      <c r="AT81" s="419">
        <f t="shared" si="29"/>
        <v>212.613</v>
      </c>
      <c r="AU81" s="419">
        <f t="shared" si="29"/>
        <v>0</v>
      </c>
      <c r="AV81" s="419">
        <f t="shared" si="29"/>
        <v>0</v>
      </c>
      <c r="AW81" s="419">
        <f t="shared" si="29"/>
        <v>0</v>
      </c>
      <c r="AX81" s="419">
        <f t="shared" si="29"/>
        <v>0</v>
      </c>
      <c r="AY81" s="419">
        <f t="shared" si="29"/>
        <v>0</v>
      </c>
      <c r="AZ81" s="419">
        <f t="shared" si="29"/>
        <v>0</v>
      </c>
      <c r="BA81" s="419">
        <f t="shared" si="29"/>
        <v>0</v>
      </c>
      <c r="BB81" s="419">
        <f t="shared" si="29"/>
        <v>0</v>
      </c>
      <c r="BC81" s="419">
        <f t="shared" si="29"/>
        <v>0</v>
      </c>
      <c r="BD81" s="419">
        <f t="shared" si="29"/>
        <v>0</v>
      </c>
      <c r="BE81" s="419">
        <f t="shared" si="29"/>
        <v>0</v>
      </c>
      <c r="BF81" s="419">
        <f t="shared" si="29"/>
        <v>0</v>
      </c>
      <c r="BG81" s="419">
        <f t="shared" si="29"/>
        <v>0</v>
      </c>
      <c r="BH81" s="419">
        <f t="shared" si="29"/>
        <v>0</v>
      </c>
      <c r="BI81" s="419">
        <f t="shared" si="29"/>
        <v>0</v>
      </c>
      <c r="BJ81" s="419">
        <f t="shared" si="29"/>
        <v>0</v>
      </c>
      <c r="BK81" s="419">
        <f t="shared" si="29"/>
        <v>0</v>
      </c>
      <c r="BL81" s="419">
        <f t="shared" si="29"/>
        <v>0</v>
      </c>
      <c r="BM81" s="419">
        <f t="shared" si="29"/>
        <v>0</v>
      </c>
      <c r="BN81" s="419">
        <f t="shared" si="29"/>
        <v>0</v>
      </c>
      <c r="BO81" s="419">
        <f t="shared" si="29"/>
        <v>0</v>
      </c>
      <c r="BP81" s="419">
        <f t="shared" si="29"/>
        <v>0</v>
      </c>
      <c r="BQ81" s="419">
        <f t="shared" si="29"/>
        <v>0</v>
      </c>
      <c r="BR81" s="419">
        <f t="shared" si="29"/>
        <v>0</v>
      </c>
      <c r="BS81" s="419">
        <f t="shared" si="29"/>
        <v>0</v>
      </c>
      <c r="BT81" s="419">
        <f t="shared" si="29"/>
        <v>0</v>
      </c>
      <c r="BU81" s="419">
        <f t="shared" si="29"/>
        <v>0</v>
      </c>
      <c r="BV81" s="419">
        <f t="shared" si="29"/>
        <v>0</v>
      </c>
      <c r="BW81" s="419">
        <f t="shared" si="29"/>
        <v>0</v>
      </c>
      <c r="BX81" s="419">
        <f t="shared" si="29"/>
        <v>0</v>
      </c>
      <c r="BY81" s="419">
        <f t="shared" si="29"/>
        <v>0</v>
      </c>
    </row>
    <row r="82" spans="1:77" ht="46.15" outlineLevel="1">
      <c r="A82" s="420">
        <v>1</v>
      </c>
      <c r="B82" s="435" t="s">
        <v>2514</v>
      </c>
      <c r="C82" s="420" t="s">
        <v>2350</v>
      </c>
      <c r="D82" s="420" t="s">
        <v>2351</v>
      </c>
      <c r="E82" s="422" t="s">
        <v>49</v>
      </c>
      <c r="F82" s="422" t="s">
        <v>48</v>
      </c>
      <c r="G82" s="150"/>
      <c r="H82" s="437" t="s">
        <v>2360</v>
      </c>
      <c r="I82" s="420" t="s">
        <v>2502</v>
      </c>
      <c r="J82" s="420" t="s">
        <v>2503</v>
      </c>
      <c r="K82" s="424"/>
      <c r="L82" s="420" t="s">
        <v>2515</v>
      </c>
      <c r="M82" s="448">
        <v>1800</v>
      </c>
      <c r="N82" s="424"/>
      <c r="O82" s="424"/>
      <c r="P82" s="448">
        <v>1800</v>
      </c>
      <c r="Q82" s="420"/>
      <c r="R82" s="437" t="s">
        <v>2360</v>
      </c>
      <c r="S82" s="422" t="s">
        <v>2339</v>
      </c>
      <c r="T82" s="420" t="s">
        <v>2351</v>
      </c>
      <c r="U82" s="143">
        <f t="shared" ref="U82:U89" si="30">V82+W82+X82</f>
        <v>0</v>
      </c>
      <c r="V82" s="421"/>
      <c r="W82" s="421"/>
      <c r="X82" s="421"/>
      <c r="Y82" s="143">
        <f t="shared" ref="Y82:Y89" si="31">SUM(Z82:AB82)</f>
        <v>1710</v>
      </c>
      <c r="Z82" s="143"/>
      <c r="AA82" s="143"/>
      <c r="AB82" s="143">
        <f t="shared" ref="AB82:AB89" si="32">AC82+AD82+AE82</f>
        <v>1710</v>
      </c>
      <c r="AC82" s="143">
        <v>0</v>
      </c>
      <c r="AD82" s="144">
        <v>1710</v>
      </c>
      <c r="AE82" s="144"/>
      <c r="AF82" s="143">
        <f t="shared" ref="AF82:AF89" si="33">SUM(AG82:AI82)</f>
        <v>0</v>
      </c>
      <c r="AG82" s="143"/>
      <c r="AH82" s="143"/>
      <c r="AI82" s="143">
        <f t="shared" ref="AI82:AI89" si="34">SUM(AJ82:AL82)</f>
        <v>0</v>
      </c>
      <c r="AJ82" s="143">
        <v>0</v>
      </c>
      <c r="AK82" s="144">
        <v>0</v>
      </c>
      <c r="AL82" s="144"/>
      <c r="AM82" s="143">
        <v>0</v>
      </c>
      <c r="AN82" s="143"/>
      <c r="AO82" s="143"/>
      <c r="AP82" s="143">
        <v>0</v>
      </c>
      <c r="AQ82" s="143">
        <v>0</v>
      </c>
      <c r="AR82" s="143"/>
      <c r="AS82" s="144"/>
      <c r="AT82" s="144">
        <v>0</v>
      </c>
      <c r="AU82" s="144"/>
      <c r="AV82" s="143">
        <f t="shared" ref="AV82:AV89" si="35">SUM(AW82:AY82)</f>
        <v>0</v>
      </c>
      <c r="AW82" s="143"/>
      <c r="AX82" s="143"/>
      <c r="AY82" s="143">
        <f t="shared" ref="AY82:AY89" si="36">SUM(AZ82:BB82)</f>
        <v>0</v>
      </c>
      <c r="AZ82" s="143">
        <v>0</v>
      </c>
      <c r="BA82" s="144">
        <v>0</v>
      </c>
      <c r="BB82" s="144"/>
      <c r="BC82" s="143">
        <v>0</v>
      </c>
      <c r="BD82" s="143"/>
      <c r="BE82" s="143"/>
      <c r="BF82" s="143">
        <v>0</v>
      </c>
      <c r="BG82" s="143">
        <v>0</v>
      </c>
      <c r="BH82" s="148">
        <v>0</v>
      </c>
      <c r="BI82" s="143"/>
      <c r="BJ82" s="148"/>
      <c r="BK82" s="148"/>
      <c r="BL82" s="148"/>
      <c r="BM82" s="148"/>
      <c r="BN82" s="148"/>
      <c r="BO82" s="148"/>
      <c r="BP82" s="148"/>
      <c r="BQ82" s="148"/>
      <c r="BR82" s="148"/>
      <c r="BS82" s="148"/>
      <c r="BT82" s="148"/>
      <c r="BU82" s="148"/>
      <c r="BV82" s="148"/>
      <c r="BW82" s="148"/>
      <c r="BX82" s="231"/>
      <c r="BY82" s="424"/>
    </row>
    <row r="83" spans="1:77" ht="30.75" outlineLevel="1">
      <c r="A83" s="420">
        <v>2</v>
      </c>
      <c r="B83" s="421" t="s">
        <v>2516</v>
      </c>
      <c r="C83" s="420" t="s">
        <v>2395</v>
      </c>
      <c r="D83" s="420" t="s">
        <v>2351</v>
      </c>
      <c r="E83" s="422" t="s">
        <v>49</v>
      </c>
      <c r="F83" s="422" t="s">
        <v>48</v>
      </c>
      <c r="G83" s="151"/>
      <c r="H83" s="437" t="s">
        <v>2398</v>
      </c>
      <c r="I83" s="420" t="s">
        <v>3676</v>
      </c>
      <c r="J83" s="420"/>
      <c r="K83" s="424"/>
      <c r="L83" s="420" t="s">
        <v>2517</v>
      </c>
      <c r="M83" s="152">
        <v>307</v>
      </c>
      <c r="N83" s="424"/>
      <c r="O83" s="424"/>
      <c r="P83" s="152">
        <v>307</v>
      </c>
      <c r="Q83" s="420"/>
      <c r="R83" s="437" t="s">
        <v>2398</v>
      </c>
      <c r="S83" s="422" t="s">
        <v>2339</v>
      </c>
      <c r="T83" s="420" t="s">
        <v>2351</v>
      </c>
      <c r="U83" s="143">
        <f t="shared" si="30"/>
        <v>0</v>
      </c>
      <c r="V83" s="421"/>
      <c r="W83" s="421"/>
      <c r="X83" s="421"/>
      <c r="Y83" s="143">
        <f t="shared" si="31"/>
        <v>307</v>
      </c>
      <c r="Z83" s="143"/>
      <c r="AA83" s="143"/>
      <c r="AB83" s="143">
        <f t="shared" si="32"/>
        <v>307</v>
      </c>
      <c r="AC83" s="143">
        <v>0</v>
      </c>
      <c r="AD83" s="144">
        <v>307</v>
      </c>
      <c r="AE83" s="144"/>
      <c r="AF83" s="143">
        <f t="shared" si="33"/>
        <v>0</v>
      </c>
      <c r="AG83" s="143"/>
      <c r="AH83" s="143"/>
      <c r="AI83" s="143">
        <f t="shared" si="34"/>
        <v>0</v>
      </c>
      <c r="AJ83" s="143">
        <v>0</v>
      </c>
      <c r="AK83" s="144">
        <v>0</v>
      </c>
      <c r="AL83" s="144"/>
      <c r="AM83" s="143">
        <v>0</v>
      </c>
      <c r="AN83" s="143"/>
      <c r="AO83" s="143"/>
      <c r="AP83" s="143">
        <v>0</v>
      </c>
      <c r="AQ83" s="143">
        <v>0</v>
      </c>
      <c r="AR83" s="143"/>
      <c r="AS83" s="144"/>
      <c r="AT83" s="144">
        <v>0</v>
      </c>
      <c r="AU83" s="144"/>
      <c r="AV83" s="143">
        <f t="shared" si="35"/>
        <v>0</v>
      </c>
      <c r="AW83" s="143"/>
      <c r="AX83" s="143"/>
      <c r="AY83" s="143">
        <f t="shared" si="36"/>
        <v>0</v>
      </c>
      <c r="AZ83" s="143">
        <v>0</v>
      </c>
      <c r="BA83" s="144">
        <v>0</v>
      </c>
      <c r="BB83" s="144"/>
      <c r="BC83" s="143">
        <v>0</v>
      </c>
      <c r="BD83" s="143"/>
      <c r="BE83" s="143"/>
      <c r="BF83" s="143">
        <v>0</v>
      </c>
      <c r="BG83" s="143">
        <v>0</v>
      </c>
      <c r="BH83" s="148">
        <v>0</v>
      </c>
      <c r="BI83" s="143"/>
      <c r="BJ83" s="148"/>
      <c r="BK83" s="148"/>
      <c r="BL83" s="148"/>
      <c r="BM83" s="148"/>
      <c r="BN83" s="148"/>
      <c r="BO83" s="148"/>
      <c r="BP83" s="148"/>
      <c r="BQ83" s="148"/>
      <c r="BR83" s="148"/>
      <c r="BS83" s="148"/>
      <c r="BT83" s="148"/>
      <c r="BU83" s="148"/>
      <c r="BV83" s="148"/>
      <c r="BW83" s="148"/>
      <c r="BX83" s="231"/>
      <c r="BY83" s="424"/>
    </row>
    <row r="84" spans="1:77" ht="30.75" outlineLevel="1">
      <c r="A84" s="420">
        <v>3</v>
      </c>
      <c r="B84" s="435" t="s">
        <v>2518</v>
      </c>
      <c r="C84" s="428" t="s">
        <v>2350</v>
      </c>
      <c r="D84" s="420" t="s">
        <v>2351</v>
      </c>
      <c r="E84" s="420" t="s">
        <v>49</v>
      </c>
      <c r="F84" s="431" t="s">
        <v>2500</v>
      </c>
      <c r="G84" s="142">
        <v>7918932</v>
      </c>
      <c r="H84" s="420" t="s">
        <v>2501</v>
      </c>
      <c r="I84" s="420" t="s">
        <v>2502</v>
      </c>
      <c r="J84" s="420" t="s">
        <v>2503</v>
      </c>
      <c r="K84" s="422"/>
      <c r="L84" s="436" t="s">
        <v>2519</v>
      </c>
      <c r="M84" s="146">
        <v>12640.339</v>
      </c>
      <c r="N84" s="422"/>
      <c r="O84" s="422"/>
      <c r="P84" s="146">
        <v>12640.339</v>
      </c>
      <c r="Q84" s="420"/>
      <c r="R84" s="420" t="s">
        <v>2501</v>
      </c>
      <c r="S84" s="422" t="s">
        <v>2339</v>
      </c>
      <c r="T84" s="420" t="s">
        <v>2351</v>
      </c>
      <c r="U84" s="143">
        <f t="shared" si="30"/>
        <v>0</v>
      </c>
      <c r="V84" s="420"/>
      <c r="W84" s="420"/>
      <c r="X84" s="420"/>
      <c r="Y84" s="143">
        <f t="shared" si="31"/>
        <v>0</v>
      </c>
      <c r="Z84" s="143"/>
      <c r="AA84" s="143"/>
      <c r="AB84" s="143">
        <f t="shared" si="32"/>
        <v>0</v>
      </c>
      <c r="AC84" s="143">
        <v>0</v>
      </c>
      <c r="AD84" s="143"/>
      <c r="AE84" s="143"/>
      <c r="AF84" s="143">
        <f t="shared" si="33"/>
        <v>0</v>
      </c>
      <c r="AG84" s="143"/>
      <c r="AH84" s="143"/>
      <c r="AI84" s="143">
        <f t="shared" si="34"/>
        <v>0</v>
      </c>
      <c r="AJ84" s="143">
        <v>0</v>
      </c>
      <c r="AK84" s="143">
        <v>0</v>
      </c>
      <c r="AL84" s="143"/>
      <c r="AM84" s="143">
        <v>0</v>
      </c>
      <c r="AN84" s="143"/>
      <c r="AO84" s="143"/>
      <c r="AP84" s="143">
        <v>0</v>
      </c>
      <c r="AQ84" s="143">
        <v>0</v>
      </c>
      <c r="AR84" s="143"/>
      <c r="AS84" s="143"/>
      <c r="AT84" s="143">
        <v>0</v>
      </c>
      <c r="AU84" s="143"/>
      <c r="AV84" s="143">
        <f t="shared" si="35"/>
        <v>0</v>
      </c>
      <c r="AW84" s="143"/>
      <c r="AX84" s="143"/>
      <c r="AY84" s="143">
        <f t="shared" si="36"/>
        <v>0</v>
      </c>
      <c r="AZ84" s="143">
        <v>0</v>
      </c>
      <c r="BA84" s="143">
        <v>0</v>
      </c>
      <c r="BB84" s="143"/>
      <c r="BC84" s="143">
        <v>0</v>
      </c>
      <c r="BD84" s="143"/>
      <c r="BE84" s="143"/>
      <c r="BF84" s="143">
        <v>0</v>
      </c>
      <c r="BG84" s="143">
        <v>0</v>
      </c>
      <c r="BH84" s="143"/>
      <c r="BI84" s="143"/>
      <c r="BJ84" s="143"/>
      <c r="BK84" s="143"/>
      <c r="BL84" s="143"/>
      <c r="BM84" s="143"/>
      <c r="BN84" s="143"/>
      <c r="BO84" s="143"/>
      <c r="BP84" s="143"/>
      <c r="BQ84" s="143"/>
      <c r="BR84" s="143"/>
      <c r="BS84" s="143"/>
      <c r="BT84" s="143"/>
      <c r="BU84" s="143"/>
      <c r="BV84" s="143"/>
      <c r="BW84" s="143"/>
      <c r="BX84" s="230"/>
      <c r="BY84" s="433"/>
    </row>
    <row r="85" spans="1:77" ht="46.15" outlineLevel="1">
      <c r="A85" s="420">
        <v>4</v>
      </c>
      <c r="B85" s="442" t="s">
        <v>2520</v>
      </c>
      <c r="C85" s="428" t="s">
        <v>2350</v>
      </c>
      <c r="D85" s="420" t="s">
        <v>2351</v>
      </c>
      <c r="E85" s="422" t="s">
        <v>49</v>
      </c>
      <c r="F85" s="420" t="s">
        <v>2402</v>
      </c>
      <c r="G85" s="142"/>
      <c r="H85" s="437" t="s">
        <v>2398</v>
      </c>
      <c r="I85" s="420" t="s">
        <v>2502</v>
      </c>
      <c r="J85" s="420" t="s">
        <v>2503</v>
      </c>
      <c r="K85" s="424"/>
      <c r="L85" s="436"/>
      <c r="M85" s="146">
        <v>73804</v>
      </c>
      <c r="N85" s="424"/>
      <c r="O85" s="424"/>
      <c r="P85" s="146">
        <v>63037</v>
      </c>
      <c r="Q85" s="420"/>
      <c r="R85" s="437" t="s">
        <v>2398</v>
      </c>
      <c r="S85" s="422" t="s">
        <v>2339</v>
      </c>
      <c r="T85" s="420" t="s">
        <v>2351</v>
      </c>
      <c r="U85" s="143">
        <f t="shared" si="30"/>
        <v>0</v>
      </c>
      <c r="V85" s="421"/>
      <c r="W85" s="421"/>
      <c r="X85" s="421"/>
      <c r="Y85" s="143">
        <f t="shared" si="31"/>
        <v>0</v>
      </c>
      <c r="Z85" s="143"/>
      <c r="AA85" s="143"/>
      <c r="AB85" s="143">
        <f t="shared" si="32"/>
        <v>0</v>
      </c>
      <c r="AC85" s="143">
        <v>0</v>
      </c>
      <c r="AD85" s="144">
        <v>0</v>
      </c>
      <c r="AE85" s="144"/>
      <c r="AF85" s="143">
        <f t="shared" si="33"/>
        <v>0</v>
      </c>
      <c r="AG85" s="143"/>
      <c r="AH85" s="143"/>
      <c r="AI85" s="143">
        <f t="shared" si="34"/>
        <v>0</v>
      </c>
      <c r="AJ85" s="143">
        <v>0</v>
      </c>
      <c r="AK85" s="144">
        <v>0</v>
      </c>
      <c r="AL85" s="144"/>
      <c r="AM85" s="143">
        <v>0</v>
      </c>
      <c r="AN85" s="143"/>
      <c r="AO85" s="143"/>
      <c r="AP85" s="143">
        <v>0</v>
      </c>
      <c r="AQ85" s="143">
        <v>0</v>
      </c>
      <c r="AR85" s="143"/>
      <c r="AS85" s="144"/>
      <c r="AT85" s="144">
        <v>0</v>
      </c>
      <c r="AU85" s="144"/>
      <c r="AV85" s="143">
        <f t="shared" si="35"/>
        <v>0</v>
      </c>
      <c r="AW85" s="143"/>
      <c r="AX85" s="143"/>
      <c r="AY85" s="143">
        <f t="shared" si="36"/>
        <v>0</v>
      </c>
      <c r="AZ85" s="143">
        <v>0</v>
      </c>
      <c r="BA85" s="144">
        <v>0</v>
      </c>
      <c r="BB85" s="144"/>
      <c r="BC85" s="143">
        <v>0</v>
      </c>
      <c r="BD85" s="143"/>
      <c r="BE85" s="143"/>
      <c r="BF85" s="143">
        <v>0</v>
      </c>
      <c r="BG85" s="143">
        <v>0</v>
      </c>
      <c r="BH85" s="148"/>
      <c r="BI85" s="148"/>
      <c r="BJ85" s="148"/>
      <c r="BK85" s="148"/>
      <c r="BL85" s="148"/>
      <c r="BM85" s="148"/>
      <c r="BN85" s="148"/>
      <c r="BO85" s="148"/>
      <c r="BP85" s="148"/>
      <c r="BQ85" s="148"/>
      <c r="BR85" s="148"/>
      <c r="BS85" s="148"/>
      <c r="BT85" s="148"/>
      <c r="BU85" s="148"/>
      <c r="BV85" s="148"/>
      <c r="BW85" s="148"/>
      <c r="BX85" s="231"/>
      <c r="BY85" s="424"/>
    </row>
    <row r="86" spans="1:77" ht="30.75" outlineLevel="1">
      <c r="A86" s="420">
        <v>5</v>
      </c>
      <c r="B86" s="421" t="s">
        <v>2521</v>
      </c>
      <c r="C86" s="420" t="s">
        <v>2392</v>
      </c>
      <c r="D86" s="420" t="s">
        <v>2351</v>
      </c>
      <c r="E86" s="422" t="s">
        <v>49</v>
      </c>
      <c r="F86" s="422" t="s">
        <v>125</v>
      </c>
      <c r="G86" s="151"/>
      <c r="H86" s="437" t="s">
        <v>2360</v>
      </c>
      <c r="I86" s="420" t="s">
        <v>3676</v>
      </c>
      <c r="J86" s="420"/>
      <c r="K86" s="424"/>
      <c r="L86" s="420" t="s">
        <v>2522</v>
      </c>
      <c r="M86" s="146">
        <v>549.74900000000002</v>
      </c>
      <c r="N86" s="424"/>
      <c r="O86" s="424"/>
      <c r="P86" s="149">
        <v>549.74900000000002</v>
      </c>
      <c r="Q86" s="420"/>
      <c r="R86" s="437" t="s">
        <v>2360</v>
      </c>
      <c r="S86" s="422" t="s">
        <v>2339</v>
      </c>
      <c r="T86" s="420" t="s">
        <v>2351</v>
      </c>
      <c r="U86" s="143">
        <f t="shared" si="30"/>
        <v>0</v>
      </c>
      <c r="V86" s="421"/>
      <c r="W86" s="421"/>
      <c r="X86" s="421"/>
      <c r="Y86" s="143">
        <f t="shared" si="31"/>
        <v>550</v>
      </c>
      <c r="Z86" s="143"/>
      <c r="AA86" s="143"/>
      <c r="AB86" s="143">
        <f t="shared" si="32"/>
        <v>550</v>
      </c>
      <c r="AC86" s="143">
        <v>0</v>
      </c>
      <c r="AD86" s="144">
        <v>550</v>
      </c>
      <c r="AE86" s="144"/>
      <c r="AF86" s="143">
        <f t="shared" si="33"/>
        <v>0</v>
      </c>
      <c r="AG86" s="143"/>
      <c r="AH86" s="143"/>
      <c r="AI86" s="143">
        <f t="shared" si="34"/>
        <v>0</v>
      </c>
      <c r="AJ86" s="143">
        <v>0</v>
      </c>
      <c r="AK86" s="144">
        <v>0</v>
      </c>
      <c r="AL86" s="144"/>
      <c r="AM86" s="143">
        <v>0</v>
      </c>
      <c r="AN86" s="143"/>
      <c r="AO86" s="143"/>
      <c r="AP86" s="143">
        <v>0</v>
      </c>
      <c r="AQ86" s="143">
        <v>0</v>
      </c>
      <c r="AR86" s="143"/>
      <c r="AS86" s="144"/>
      <c r="AT86" s="144">
        <v>0</v>
      </c>
      <c r="AU86" s="144"/>
      <c r="AV86" s="143">
        <f t="shared" si="35"/>
        <v>0</v>
      </c>
      <c r="AW86" s="143"/>
      <c r="AX86" s="143"/>
      <c r="AY86" s="143">
        <f t="shared" si="36"/>
        <v>0</v>
      </c>
      <c r="AZ86" s="143">
        <v>0</v>
      </c>
      <c r="BA86" s="144">
        <v>0</v>
      </c>
      <c r="BB86" s="144"/>
      <c r="BC86" s="143">
        <v>0</v>
      </c>
      <c r="BD86" s="143"/>
      <c r="BE86" s="143"/>
      <c r="BF86" s="143">
        <v>0</v>
      </c>
      <c r="BG86" s="143">
        <v>0</v>
      </c>
      <c r="BH86" s="148"/>
      <c r="BI86" s="148"/>
      <c r="BJ86" s="148"/>
      <c r="BK86" s="148"/>
      <c r="BL86" s="148"/>
      <c r="BM86" s="148"/>
      <c r="BN86" s="148"/>
      <c r="BO86" s="148"/>
      <c r="BP86" s="148"/>
      <c r="BQ86" s="148"/>
      <c r="BR86" s="148"/>
      <c r="BS86" s="148"/>
      <c r="BT86" s="148"/>
      <c r="BU86" s="148"/>
      <c r="BV86" s="148"/>
      <c r="BW86" s="148"/>
      <c r="BX86" s="231"/>
      <c r="BY86" s="424"/>
    </row>
    <row r="87" spans="1:77" ht="36" customHeight="1" outlineLevel="1">
      <c r="A87" s="420">
        <v>6</v>
      </c>
      <c r="B87" s="421" t="s">
        <v>2523</v>
      </c>
      <c r="C87" s="420" t="s">
        <v>2524</v>
      </c>
      <c r="D87" s="420" t="s">
        <v>2351</v>
      </c>
      <c r="E87" s="422" t="s">
        <v>49</v>
      </c>
      <c r="F87" s="422" t="s">
        <v>125</v>
      </c>
      <c r="G87" s="151"/>
      <c r="H87" s="437" t="s">
        <v>2388</v>
      </c>
      <c r="I87" s="420" t="s">
        <v>3676</v>
      </c>
      <c r="J87" s="420"/>
      <c r="K87" s="424"/>
      <c r="L87" s="420" t="s">
        <v>2525</v>
      </c>
      <c r="M87" s="453">
        <v>671</v>
      </c>
      <c r="N87" s="424"/>
      <c r="O87" s="424"/>
      <c r="P87" s="421">
        <v>600</v>
      </c>
      <c r="Q87" s="420"/>
      <c r="R87" s="437" t="s">
        <v>2388</v>
      </c>
      <c r="S87" s="422" t="s">
        <v>2339</v>
      </c>
      <c r="T87" s="420" t="s">
        <v>2351</v>
      </c>
      <c r="U87" s="143">
        <f t="shared" si="30"/>
        <v>0</v>
      </c>
      <c r="V87" s="421"/>
      <c r="W87" s="421"/>
      <c r="X87" s="421"/>
      <c r="Y87" s="143">
        <f t="shared" si="31"/>
        <v>600</v>
      </c>
      <c r="Z87" s="143"/>
      <c r="AA87" s="143"/>
      <c r="AB87" s="143">
        <f t="shared" si="32"/>
        <v>600</v>
      </c>
      <c r="AC87" s="143">
        <v>0</v>
      </c>
      <c r="AD87" s="144">
        <v>600</v>
      </c>
      <c r="AE87" s="144"/>
      <c r="AF87" s="143">
        <f t="shared" si="33"/>
        <v>0</v>
      </c>
      <c r="AG87" s="143"/>
      <c r="AH87" s="143"/>
      <c r="AI87" s="143">
        <f t="shared" si="34"/>
        <v>0</v>
      </c>
      <c r="AJ87" s="143">
        <v>0</v>
      </c>
      <c r="AK87" s="144">
        <v>0</v>
      </c>
      <c r="AL87" s="144"/>
      <c r="AM87" s="143">
        <v>0</v>
      </c>
      <c r="AN87" s="143"/>
      <c r="AO87" s="143"/>
      <c r="AP87" s="143">
        <v>0</v>
      </c>
      <c r="AQ87" s="143">
        <v>0</v>
      </c>
      <c r="AR87" s="143"/>
      <c r="AS87" s="144"/>
      <c r="AT87" s="144">
        <v>0</v>
      </c>
      <c r="AU87" s="144"/>
      <c r="AV87" s="143">
        <f t="shared" si="35"/>
        <v>0</v>
      </c>
      <c r="AW87" s="143"/>
      <c r="AX87" s="143"/>
      <c r="AY87" s="143">
        <f t="shared" si="36"/>
        <v>0</v>
      </c>
      <c r="AZ87" s="143">
        <v>0</v>
      </c>
      <c r="BA87" s="144">
        <v>0</v>
      </c>
      <c r="BB87" s="144"/>
      <c r="BC87" s="143">
        <v>0</v>
      </c>
      <c r="BD87" s="143"/>
      <c r="BE87" s="143"/>
      <c r="BF87" s="143">
        <v>0</v>
      </c>
      <c r="BG87" s="143">
        <v>0</v>
      </c>
      <c r="BH87" s="148"/>
      <c r="BI87" s="148"/>
      <c r="BJ87" s="148"/>
      <c r="BK87" s="148"/>
      <c r="BL87" s="148"/>
      <c r="BM87" s="148"/>
      <c r="BN87" s="148"/>
      <c r="BO87" s="148"/>
      <c r="BP87" s="148"/>
      <c r="BQ87" s="148"/>
      <c r="BR87" s="148"/>
      <c r="BS87" s="148"/>
      <c r="BT87" s="148"/>
      <c r="BU87" s="148"/>
      <c r="BV87" s="148"/>
      <c r="BW87" s="148"/>
      <c r="BX87" s="231"/>
      <c r="BY87" s="424"/>
    </row>
    <row r="88" spans="1:77" ht="49.5" customHeight="1" outlineLevel="1">
      <c r="A88" s="420">
        <v>7</v>
      </c>
      <c r="B88" s="421" t="s">
        <v>2526</v>
      </c>
      <c r="C88" s="420" t="s">
        <v>2350</v>
      </c>
      <c r="D88" s="420" t="s">
        <v>2351</v>
      </c>
      <c r="E88" s="420" t="s">
        <v>49</v>
      </c>
      <c r="F88" s="431" t="s">
        <v>2500</v>
      </c>
      <c r="G88" s="151">
        <v>8037458</v>
      </c>
      <c r="H88" s="437" t="s">
        <v>2388</v>
      </c>
      <c r="I88" s="420" t="s">
        <v>2502</v>
      </c>
      <c r="J88" s="420" t="s">
        <v>2503</v>
      </c>
      <c r="K88" s="424"/>
      <c r="L88" s="436" t="s">
        <v>2527</v>
      </c>
      <c r="M88" s="440">
        <v>2562</v>
      </c>
      <c r="N88" s="424"/>
      <c r="O88" s="424"/>
      <c r="P88" s="440">
        <v>2362</v>
      </c>
      <c r="Q88" s="420"/>
      <c r="R88" s="437" t="s">
        <v>2388</v>
      </c>
      <c r="S88" s="422" t="s">
        <v>2339</v>
      </c>
      <c r="T88" s="420" t="s">
        <v>2351</v>
      </c>
      <c r="U88" s="143">
        <f t="shared" si="30"/>
        <v>0</v>
      </c>
      <c r="V88" s="421"/>
      <c r="W88" s="421"/>
      <c r="X88" s="421"/>
      <c r="Y88" s="143">
        <f t="shared" si="31"/>
        <v>2362</v>
      </c>
      <c r="Z88" s="143"/>
      <c r="AA88" s="143"/>
      <c r="AB88" s="143">
        <f t="shared" si="32"/>
        <v>2362</v>
      </c>
      <c r="AC88" s="143">
        <v>0</v>
      </c>
      <c r="AD88" s="144">
        <v>2362</v>
      </c>
      <c r="AE88" s="144"/>
      <c r="AF88" s="143">
        <f t="shared" si="33"/>
        <v>0</v>
      </c>
      <c r="AG88" s="143"/>
      <c r="AH88" s="143"/>
      <c r="AI88" s="143">
        <f t="shared" si="34"/>
        <v>0</v>
      </c>
      <c r="AJ88" s="143">
        <v>0</v>
      </c>
      <c r="AK88" s="144">
        <v>0</v>
      </c>
      <c r="AL88" s="144"/>
      <c r="AM88" s="143">
        <v>0</v>
      </c>
      <c r="AN88" s="143"/>
      <c r="AO88" s="143"/>
      <c r="AP88" s="143">
        <v>0</v>
      </c>
      <c r="AQ88" s="143">
        <v>0</v>
      </c>
      <c r="AR88" s="143"/>
      <c r="AS88" s="144"/>
      <c r="AT88" s="144">
        <v>0</v>
      </c>
      <c r="AU88" s="144"/>
      <c r="AV88" s="143">
        <f t="shared" si="35"/>
        <v>0</v>
      </c>
      <c r="AW88" s="143"/>
      <c r="AX88" s="143"/>
      <c r="AY88" s="143">
        <f t="shared" si="36"/>
        <v>0</v>
      </c>
      <c r="AZ88" s="143">
        <v>0</v>
      </c>
      <c r="BA88" s="144">
        <v>0</v>
      </c>
      <c r="BB88" s="144"/>
      <c r="BC88" s="143">
        <v>0</v>
      </c>
      <c r="BD88" s="143"/>
      <c r="BE88" s="143"/>
      <c r="BF88" s="143">
        <v>0</v>
      </c>
      <c r="BG88" s="143">
        <v>0</v>
      </c>
      <c r="BH88" s="148"/>
      <c r="BI88" s="148"/>
      <c r="BJ88" s="148"/>
      <c r="BK88" s="148"/>
      <c r="BL88" s="148"/>
      <c r="BM88" s="148"/>
      <c r="BN88" s="148"/>
      <c r="BO88" s="148"/>
      <c r="BP88" s="148"/>
      <c r="BQ88" s="148"/>
      <c r="BR88" s="148"/>
      <c r="BS88" s="148"/>
      <c r="BT88" s="148"/>
      <c r="BU88" s="148"/>
      <c r="BV88" s="148"/>
      <c r="BW88" s="148"/>
      <c r="BX88" s="231"/>
      <c r="BY88" s="424"/>
    </row>
    <row r="89" spans="1:77" ht="38.25" customHeight="1" outlineLevel="1">
      <c r="A89" s="420">
        <v>8</v>
      </c>
      <c r="B89" s="421" t="s">
        <v>2531</v>
      </c>
      <c r="C89" s="428" t="s">
        <v>2350</v>
      </c>
      <c r="D89" s="420" t="s">
        <v>2351</v>
      </c>
      <c r="E89" s="420" t="s">
        <v>49</v>
      </c>
      <c r="F89" s="431" t="s">
        <v>2500</v>
      </c>
      <c r="G89" s="142">
        <v>7747706</v>
      </c>
      <c r="H89" s="437" t="s">
        <v>2532</v>
      </c>
      <c r="I89" s="420" t="s">
        <v>2502</v>
      </c>
      <c r="J89" s="420" t="s">
        <v>2503</v>
      </c>
      <c r="K89" s="424"/>
      <c r="L89" s="436" t="s">
        <v>2533</v>
      </c>
      <c r="M89" s="146">
        <v>15718</v>
      </c>
      <c r="N89" s="424"/>
      <c r="O89" s="424"/>
      <c r="P89" s="146">
        <v>15718</v>
      </c>
      <c r="Q89" s="420"/>
      <c r="R89" s="437" t="s">
        <v>2532</v>
      </c>
      <c r="S89" s="422" t="s">
        <v>2339</v>
      </c>
      <c r="T89" s="420" t="s">
        <v>2351</v>
      </c>
      <c r="U89" s="143">
        <f t="shared" si="30"/>
        <v>0</v>
      </c>
      <c r="V89" s="421"/>
      <c r="W89" s="421"/>
      <c r="X89" s="421"/>
      <c r="Y89" s="143">
        <f t="shared" si="31"/>
        <v>500</v>
      </c>
      <c r="Z89" s="143"/>
      <c r="AA89" s="143"/>
      <c r="AB89" s="143">
        <f t="shared" si="32"/>
        <v>500</v>
      </c>
      <c r="AC89" s="143">
        <v>0</v>
      </c>
      <c r="AD89" s="144">
        <v>500</v>
      </c>
      <c r="AE89" s="144"/>
      <c r="AF89" s="143">
        <f t="shared" si="33"/>
        <v>212.613</v>
      </c>
      <c r="AG89" s="143"/>
      <c r="AH89" s="143"/>
      <c r="AI89" s="143">
        <f t="shared" si="34"/>
        <v>212.613</v>
      </c>
      <c r="AJ89" s="143">
        <v>0</v>
      </c>
      <c r="AK89" s="144">
        <v>212.613</v>
      </c>
      <c r="AL89" s="144"/>
      <c r="AM89" s="143">
        <v>212.613</v>
      </c>
      <c r="AN89" s="143"/>
      <c r="AO89" s="143"/>
      <c r="AP89" s="143">
        <v>212.613</v>
      </c>
      <c r="AQ89" s="143">
        <v>0</v>
      </c>
      <c r="AR89" s="143"/>
      <c r="AS89" s="144"/>
      <c r="AT89" s="144">
        <v>212.613</v>
      </c>
      <c r="AU89" s="144"/>
      <c r="AV89" s="143">
        <f t="shared" si="35"/>
        <v>0</v>
      </c>
      <c r="AW89" s="143"/>
      <c r="AX89" s="143"/>
      <c r="AY89" s="143">
        <f t="shared" si="36"/>
        <v>0</v>
      </c>
      <c r="AZ89" s="143">
        <v>0</v>
      </c>
      <c r="BA89" s="144">
        <v>0</v>
      </c>
      <c r="BB89" s="144"/>
      <c r="BC89" s="143">
        <v>0</v>
      </c>
      <c r="BD89" s="143"/>
      <c r="BE89" s="143"/>
      <c r="BF89" s="143">
        <v>0</v>
      </c>
      <c r="BG89" s="143">
        <v>0</v>
      </c>
      <c r="BH89" s="148"/>
      <c r="BI89" s="148"/>
      <c r="BJ89" s="148"/>
      <c r="BK89" s="148"/>
      <c r="BL89" s="148"/>
      <c r="BM89" s="148"/>
      <c r="BN89" s="148"/>
      <c r="BO89" s="148"/>
      <c r="BP89" s="148"/>
      <c r="BQ89" s="148"/>
      <c r="BR89" s="148"/>
      <c r="BS89" s="148"/>
      <c r="BT89" s="148"/>
      <c r="BU89" s="148"/>
      <c r="BV89" s="148"/>
      <c r="BW89" s="148"/>
      <c r="BX89" s="231"/>
      <c r="BY89" s="424"/>
    </row>
    <row r="90" spans="1:77" s="417" customFormat="1" ht="28.5" customHeight="1">
      <c r="A90" s="418" t="s">
        <v>13</v>
      </c>
      <c r="B90" s="418" t="s">
        <v>2534</v>
      </c>
      <c r="C90" s="418"/>
      <c r="D90" s="418"/>
      <c r="E90" s="418"/>
      <c r="F90" s="418"/>
      <c r="G90" s="418"/>
      <c r="H90" s="419">
        <f t="shared" ref="H90" si="37">H91+H95</f>
        <v>0</v>
      </c>
      <c r="I90" s="418"/>
      <c r="J90" s="419"/>
      <c r="K90" s="419"/>
      <c r="L90" s="419"/>
      <c r="M90" s="419">
        <f>M91+M95+M102</f>
        <v>537373</v>
      </c>
      <c r="N90" s="419">
        <f t="shared" ref="N90:BY90" si="38">N91+N95+N102</f>
        <v>0</v>
      </c>
      <c r="O90" s="419">
        <f t="shared" si="38"/>
        <v>14349</v>
      </c>
      <c r="P90" s="419">
        <f t="shared" si="38"/>
        <v>501043</v>
      </c>
      <c r="Q90" s="419">
        <f t="shared" si="38"/>
        <v>0</v>
      </c>
      <c r="R90" s="419">
        <f t="shared" si="38"/>
        <v>0</v>
      </c>
      <c r="S90" s="419">
        <f t="shared" si="38"/>
        <v>0</v>
      </c>
      <c r="T90" s="419">
        <f t="shared" si="38"/>
        <v>0</v>
      </c>
      <c r="U90" s="419">
        <f t="shared" si="38"/>
        <v>4596.2449999999999</v>
      </c>
      <c r="V90" s="419">
        <f t="shared" si="38"/>
        <v>0</v>
      </c>
      <c r="W90" s="419">
        <f t="shared" si="38"/>
        <v>0</v>
      </c>
      <c r="X90" s="419">
        <f t="shared" si="38"/>
        <v>4596.2449999999999</v>
      </c>
      <c r="Y90" s="419">
        <f t="shared" si="38"/>
        <v>86451</v>
      </c>
      <c r="Z90" s="419">
        <f t="shared" si="38"/>
        <v>0</v>
      </c>
      <c r="AA90" s="419">
        <f t="shared" si="38"/>
        <v>0</v>
      </c>
      <c r="AB90" s="419">
        <f t="shared" si="38"/>
        <v>86451</v>
      </c>
      <c r="AC90" s="419">
        <f t="shared" si="38"/>
        <v>0</v>
      </c>
      <c r="AD90" s="419">
        <f t="shared" si="38"/>
        <v>83049</v>
      </c>
      <c r="AE90" s="419">
        <f t="shared" si="38"/>
        <v>3402</v>
      </c>
      <c r="AF90" s="419">
        <f t="shared" si="38"/>
        <v>36935.241000000002</v>
      </c>
      <c r="AG90" s="419">
        <f t="shared" si="38"/>
        <v>0</v>
      </c>
      <c r="AH90" s="419">
        <f t="shared" si="38"/>
        <v>0</v>
      </c>
      <c r="AI90" s="419">
        <f t="shared" si="38"/>
        <v>36935.241000000002</v>
      </c>
      <c r="AJ90" s="419">
        <f t="shared" si="38"/>
        <v>0</v>
      </c>
      <c r="AK90" s="419">
        <f t="shared" si="38"/>
        <v>29033.240999999998</v>
      </c>
      <c r="AL90" s="419">
        <f t="shared" si="38"/>
        <v>7902</v>
      </c>
      <c r="AM90" s="419">
        <f t="shared" si="38"/>
        <v>30174.700233000003</v>
      </c>
      <c r="AN90" s="419">
        <f t="shared" si="38"/>
        <v>0</v>
      </c>
      <c r="AO90" s="419">
        <f t="shared" si="38"/>
        <v>4500</v>
      </c>
      <c r="AP90" s="419">
        <f t="shared" si="38"/>
        <v>25674.700233000003</v>
      </c>
      <c r="AQ90" s="419">
        <f t="shared" si="38"/>
        <v>0</v>
      </c>
      <c r="AR90" s="419">
        <f t="shared" si="38"/>
        <v>0</v>
      </c>
      <c r="AS90" s="419">
        <f t="shared" si="38"/>
        <v>0</v>
      </c>
      <c r="AT90" s="419">
        <f t="shared" si="38"/>
        <v>22316.166647000002</v>
      </c>
      <c r="AU90" s="419">
        <f t="shared" si="38"/>
        <v>3358.533586</v>
      </c>
      <c r="AV90" s="419">
        <f t="shared" si="38"/>
        <v>5000</v>
      </c>
      <c r="AW90" s="419">
        <f t="shared" si="38"/>
        <v>0</v>
      </c>
      <c r="AX90" s="419">
        <f t="shared" si="38"/>
        <v>0</v>
      </c>
      <c r="AY90" s="419">
        <f t="shared" si="38"/>
        <v>5000</v>
      </c>
      <c r="AZ90" s="419">
        <f t="shared" si="38"/>
        <v>0</v>
      </c>
      <c r="BA90" s="419">
        <f t="shared" si="38"/>
        <v>5000</v>
      </c>
      <c r="BB90" s="419">
        <f t="shared" si="38"/>
        <v>0</v>
      </c>
      <c r="BC90" s="419">
        <f t="shared" si="38"/>
        <v>2889.7765939999999</v>
      </c>
      <c r="BD90" s="419">
        <f t="shared" si="38"/>
        <v>0</v>
      </c>
      <c r="BE90" s="419">
        <f t="shared" si="38"/>
        <v>0</v>
      </c>
      <c r="BF90" s="419">
        <f t="shared" si="38"/>
        <v>2889.7765939999999</v>
      </c>
      <c r="BG90" s="419">
        <f t="shared" si="38"/>
        <v>0</v>
      </c>
      <c r="BH90" s="419">
        <f t="shared" si="38"/>
        <v>0</v>
      </c>
      <c r="BI90" s="419">
        <f t="shared" si="38"/>
        <v>0</v>
      </c>
      <c r="BJ90" s="419">
        <f t="shared" si="38"/>
        <v>2889.7765939999999</v>
      </c>
      <c r="BK90" s="419">
        <f t="shared" si="38"/>
        <v>0</v>
      </c>
      <c r="BL90" s="419">
        <f t="shared" si="38"/>
        <v>1700.2695839999999</v>
      </c>
      <c r="BM90" s="419">
        <f t="shared" si="38"/>
        <v>0</v>
      </c>
      <c r="BN90" s="419">
        <f t="shared" si="38"/>
        <v>0</v>
      </c>
      <c r="BO90" s="419">
        <f t="shared" si="38"/>
        <v>1700.2695839999999</v>
      </c>
      <c r="BP90" s="419">
        <f t="shared" si="38"/>
        <v>61.278193999999999</v>
      </c>
      <c r="BQ90" s="419">
        <f t="shared" si="38"/>
        <v>0</v>
      </c>
      <c r="BR90" s="419">
        <f t="shared" si="38"/>
        <v>0</v>
      </c>
      <c r="BS90" s="419">
        <f t="shared" si="38"/>
        <v>61.278193999999999</v>
      </c>
      <c r="BT90" s="419">
        <f t="shared" si="38"/>
        <v>404513</v>
      </c>
      <c r="BU90" s="419">
        <f t="shared" si="38"/>
        <v>0</v>
      </c>
      <c r="BV90" s="419">
        <f t="shared" si="38"/>
        <v>404513</v>
      </c>
      <c r="BW90" s="419">
        <f t="shared" si="38"/>
        <v>0</v>
      </c>
      <c r="BX90" s="419">
        <f t="shared" si="38"/>
        <v>0</v>
      </c>
      <c r="BY90" s="419">
        <f t="shared" si="38"/>
        <v>0</v>
      </c>
    </row>
    <row r="91" spans="1:77" s="417" customFormat="1" ht="28.5" customHeight="1" outlineLevel="1">
      <c r="A91" s="430" t="s">
        <v>45</v>
      </c>
      <c r="B91" s="418" t="s">
        <v>1910</v>
      </c>
      <c r="C91" s="418"/>
      <c r="D91" s="418"/>
      <c r="E91" s="418"/>
      <c r="F91" s="418"/>
      <c r="G91" s="418"/>
      <c r="H91" s="419">
        <f t="shared" ref="H91" si="39">SUM(H92:H94)</f>
        <v>0</v>
      </c>
      <c r="I91" s="418"/>
      <c r="J91" s="419"/>
      <c r="K91" s="419"/>
      <c r="L91" s="419"/>
      <c r="M91" s="419">
        <f>SUM(M92:M94)</f>
        <v>20211</v>
      </c>
      <c r="N91" s="419">
        <f t="shared" ref="N91:BY91" si="40">SUM(N92:N94)</f>
        <v>0</v>
      </c>
      <c r="O91" s="419">
        <f t="shared" si="40"/>
        <v>0</v>
      </c>
      <c r="P91" s="419">
        <f t="shared" si="40"/>
        <v>10393</v>
      </c>
      <c r="Q91" s="419">
        <f t="shared" si="40"/>
        <v>0</v>
      </c>
      <c r="R91" s="419">
        <f t="shared" si="40"/>
        <v>0</v>
      </c>
      <c r="S91" s="419">
        <f t="shared" si="40"/>
        <v>0</v>
      </c>
      <c r="T91" s="419">
        <f t="shared" si="40"/>
        <v>0</v>
      </c>
      <c r="U91" s="419">
        <f t="shared" si="40"/>
        <v>4596.2449999999999</v>
      </c>
      <c r="V91" s="419">
        <f t="shared" si="40"/>
        <v>0</v>
      </c>
      <c r="W91" s="419">
        <f t="shared" si="40"/>
        <v>0</v>
      </c>
      <c r="X91" s="419">
        <f t="shared" si="40"/>
        <v>4596.2449999999999</v>
      </c>
      <c r="Y91" s="419">
        <f t="shared" si="40"/>
        <v>4717</v>
      </c>
      <c r="Z91" s="419">
        <f t="shared" si="40"/>
        <v>0</v>
      </c>
      <c r="AA91" s="419">
        <f t="shared" si="40"/>
        <v>0</v>
      </c>
      <c r="AB91" s="419">
        <f t="shared" si="40"/>
        <v>4717</v>
      </c>
      <c r="AC91" s="419">
        <f t="shared" si="40"/>
        <v>0</v>
      </c>
      <c r="AD91" s="419">
        <f t="shared" si="40"/>
        <v>4459</v>
      </c>
      <c r="AE91" s="419">
        <f t="shared" si="40"/>
        <v>258</v>
      </c>
      <c r="AF91" s="419">
        <f t="shared" si="40"/>
        <v>4715.46</v>
      </c>
      <c r="AG91" s="419">
        <f t="shared" si="40"/>
        <v>0</v>
      </c>
      <c r="AH91" s="419">
        <f t="shared" si="40"/>
        <v>0</v>
      </c>
      <c r="AI91" s="419">
        <f t="shared" si="40"/>
        <v>4715.46</v>
      </c>
      <c r="AJ91" s="419">
        <f t="shared" si="40"/>
        <v>0</v>
      </c>
      <c r="AK91" s="419">
        <f t="shared" si="40"/>
        <v>4457.46</v>
      </c>
      <c r="AL91" s="419">
        <f t="shared" si="40"/>
        <v>258</v>
      </c>
      <c r="AM91" s="419">
        <f t="shared" si="40"/>
        <v>4714.3679860000002</v>
      </c>
      <c r="AN91" s="419">
        <f t="shared" si="40"/>
        <v>0</v>
      </c>
      <c r="AO91" s="419">
        <f t="shared" si="40"/>
        <v>0</v>
      </c>
      <c r="AP91" s="419">
        <f t="shared" si="40"/>
        <v>4714.3679860000002</v>
      </c>
      <c r="AQ91" s="419">
        <f t="shared" si="40"/>
        <v>0</v>
      </c>
      <c r="AR91" s="419">
        <f t="shared" si="40"/>
        <v>0</v>
      </c>
      <c r="AS91" s="419">
        <f t="shared" si="40"/>
        <v>0</v>
      </c>
      <c r="AT91" s="419">
        <f t="shared" si="40"/>
        <v>4457.1620000000003</v>
      </c>
      <c r="AU91" s="419">
        <f t="shared" si="40"/>
        <v>257.205986</v>
      </c>
      <c r="AV91" s="419">
        <f t="shared" si="40"/>
        <v>0</v>
      </c>
      <c r="AW91" s="419">
        <f t="shared" si="40"/>
        <v>0</v>
      </c>
      <c r="AX91" s="419">
        <f t="shared" si="40"/>
        <v>0</v>
      </c>
      <c r="AY91" s="419">
        <f t="shared" si="40"/>
        <v>0</v>
      </c>
      <c r="AZ91" s="419">
        <f t="shared" si="40"/>
        <v>0</v>
      </c>
      <c r="BA91" s="419">
        <f t="shared" si="40"/>
        <v>0</v>
      </c>
      <c r="BB91" s="419">
        <f t="shared" si="40"/>
        <v>0</v>
      </c>
      <c r="BC91" s="419">
        <f t="shared" si="40"/>
        <v>0</v>
      </c>
      <c r="BD91" s="419">
        <f t="shared" si="40"/>
        <v>0</v>
      </c>
      <c r="BE91" s="419">
        <f t="shared" si="40"/>
        <v>0</v>
      </c>
      <c r="BF91" s="419">
        <f t="shared" si="40"/>
        <v>0</v>
      </c>
      <c r="BG91" s="419">
        <f t="shared" si="40"/>
        <v>0</v>
      </c>
      <c r="BH91" s="419">
        <f t="shared" si="40"/>
        <v>0</v>
      </c>
      <c r="BI91" s="419">
        <f t="shared" si="40"/>
        <v>0</v>
      </c>
      <c r="BJ91" s="419">
        <f t="shared" si="40"/>
        <v>0</v>
      </c>
      <c r="BK91" s="419">
        <f t="shared" si="40"/>
        <v>0</v>
      </c>
      <c r="BL91" s="419">
        <f t="shared" si="40"/>
        <v>0</v>
      </c>
      <c r="BM91" s="419">
        <f t="shared" si="40"/>
        <v>0</v>
      </c>
      <c r="BN91" s="419">
        <f t="shared" si="40"/>
        <v>0</v>
      </c>
      <c r="BO91" s="419">
        <f t="shared" si="40"/>
        <v>0</v>
      </c>
      <c r="BP91" s="419">
        <f t="shared" si="40"/>
        <v>0</v>
      </c>
      <c r="BQ91" s="419">
        <f t="shared" si="40"/>
        <v>0</v>
      </c>
      <c r="BR91" s="419">
        <f t="shared" si="40"/>
        <v>0</v>
      </c>
      <c r="BS91" s="419">
        <f t="shared" si="40"/>
        <v>0</v>
      </c>
      <c r="BT91" s="419">
        <f t="shared" si="40"/>
        <v>0</v>
      </c>
      <c r="BU91" s="419">
        <f t="shared" si="40"/>
        <v>0</v>
      </c>
      <c r="BV91" s="419">
        <f t="shared" si="40"/>
        <v>0</v>
      </c>
      <c r="BW91" s="419">
        <f t="shared" si="40"/>
        <v>0</v>
      </c>
      <c r="BX91" s="454"/>
      <c r="BY91" s="419">
        <f t="shared" si="40"/>
        <v>0</v>
      </c>
    </row>
    <row r="92" spans="1:77" ht="55.5" customHeight="1" outlineLevel="1">
      <c r="A92" s="420">
        <v>1</v>
      </c>
      <c r="B92" s="421" t="s">
        <v>2535</v>
      </c>
      <c r="C92" s="428" t="s">
        <v>2350</v>
      </c>
      <c r="D92" s="420" t="s">
        <v>2536</v>
      </c>
      <c r="E92" s="420" t="s">
        <v>49</v>
      </c>
      <c r="F92" s="431" t="s">
        <v>2343</v>
      </c>
      <c r="G92" s="142">
        <v>7728564</v>
      </c>
      <c r="H92" s="423" t="s">
        <v>2537</v>
      </c>
      <c r="I92" s="420" t="s">
        <v>69</v>
      </c>
      <c r="J92" s="422">
        <v>2020</v>
      </c>
      <c r="K92" s="422"/>
      <c r="L92" s="420" t="s">
        <v>2538</v>
      </c>
      <c r="M92" s="146">
        <v>2093</v>
      </c>
      <c r="N92" s="422"/>
      <c r="O92" s="422"/>
      <c r="P92" s="149">
        <v>2093</v>
      </c>
      <c r="Q92" s="420" t="s">
        <v>2539</v>
      </c>
      <c r="R92" s="423" t="s">
        <v>2537</v>
      </c>
      <c r="S92" s="422" t="s">
        <v>2534</v>
      </c>
      <c r="T92" s="422" t="s">
        <v>2536</v>
      </c>
      <c r="U92" s="143">
        <f t="shared" ref="U92:U101" si="41">V92+W92+X92</f>
        <v>896.245</v>
      </c>
      <c r="V92" s="420"/>
      <c r="W92" s="420"/>
      <c r="X92" s="423">
        <v>896.245</v>
      </c>
      <c r="Y92" s="143">
        <f t="shared" ref="Y92:Y147" si="42">SUM(Z92:AB92)</f>
        <v>997</v>
      </c>
      <c r="Z92" s="143"/>
      <c r="AA92" s="143"/>
      <c r="AB92" s="143">
        <f>AC92+AD92+AE92</f>
        <v>997</v>
      </c>
      <c r="AC92" s="143">
        <v>0</v>
      </c>
      <c r="AD92" s="143">
        <v>997</v>
      </c>
      <c r="AE92" s="143"/>
      <c r="AF92" s="143">
        <f t="shared" ref="AF92:AF147" si="43">SUM(AG92:AI92)</f>
        <v>996.44899999999996</v>
      </c>
      <c r="AG92" s="143"/>
      <c r="AH92" s="143"/>
      <c r="AI92" s="143">
        <f t="shared" ref="AI92:AI147" si="44">SUM(AJ92:AL92)</f>
        <v>996.44899999999996</v>
      </c>
      <c r="AJ92" s="143">
        <v>0</v>
      </c>
      <c r="AK92" s="143">
        <v>996.44899999999996</v>
      </c>
      <c r="AL92" s="143"/>
      <c r="AM92" s="143">
        <v>996.44899999999996</v>
      </c>
      <c r="AN92" s="143"/>
      <c r="AO92" s="143"/>
      <c r="AP92" s="143">
        <v>996.44899999999996</v>
      </c>
      <c r="AQ92" s="143">
        <v>0</v>
      </c>
      <c r="AR92" s="143"/>
      <c r="AS92" s="143"/>
      <c r="AT92" s="143">
        <v>996.44899999999996</v>
      </c>
      <c r="AU92" s="143"/>
      <c r="AV92" s="143">
        <f t="shared" ref="AV92:AV147" si="45">SUM(AW92:AY92)</f>
        <v>0</v>
      </c>
      <c r="AW92" s="143"/>
      <c r="AX92" s="143"/>
      <c r="AY92" s="143">
        <f t="shared" ref="AY92:AY147" si="46">SUM(AZ92:BB92)</f>
        <v>0</v>
      </c>
      <c r="AZ92" s="143">
        <v>0</v>
      </c>
      <c r="BA92" s="143">
        <v>0</v>
      </c>
      <c r="BB92" s="143"/>
      <c r="BC92" s="143">
        <v>0</v>
      </c>
      <c r="BD92" s="143"/>
      <c r="BE92" s="143"/>
      <c r="BF92" s="143">
        <v>0</v>
      </c>
      <c r="BG92" s="143">
        <v>0</v>
      </c>
      <c r="BH92" s="143"/>
      <c r="BI92" s="143"/>
      <c r="BJ92" s="143"/>
      <c r="BK92" s="143"/>
      <c r="BL92" s="143"/>
      <c r="BM92" s="143"/>
      <c r="BN92" s="143"/>
      <c r="BO92" s="143"/>
      <c r="BP92" s="143"/>
      <c r="BQ92" s="143"/>
      <c r="BR92" s="143"/>
      <c r="BS92" s="143"/>
      <c r="BT92" s="143"/>
      <c r="BU92" s="143"/>
      <c r="BV92" s="143"/>
      <c r="BW92" s="143"/>
      <c r="BX92" s="230"/>
      <c r="BY92" s="433"/>
    </row>
    <row r="93" spans="1:77" ht="41.25" customHeight="1" outlineLevel="1">
      <c r="A93" s="420">
        <v>2</v>
      </c>
      <c r="B93" s="435" t="s">
        <v>2540</v>
      </c>
      <c r="C93" s="428" t="s">
        <v>2350</v>
      </c>
      <c r="D93" s="420" t="s">
        <v>2541</v>
      </c>
      <c r="E93" s="420" t="s">
        <v>49</v>
      </c>
      <c r="F93" s="431" t="s">
        <v>2542</v>
      </c>
      <c r="G93" s="150">
        <v>7568770</v>
      </c>
      <c r="H93" s="437" t="s">
        <v>2360</v>
      </c>
      <c r="I93" s="431" t="s">
        <v>3677</v>
      </c>
      <c r="J93" s="431" t="s">
        <v>2503</v>
      </c>
      <c r="K93" s="424"/>
      <c r="L93" s="436" t="s">
        <v>2543</v>
      </c>
      <c r="M93" s="146">
        <v>9818</v>
      </c>
      <c r="N93" s="424"/>
      <c r="O93" s="424"/>
      <c r="P93" s="424"/>
      <c r="Q93" s="420" t="s">
        <v>2544</v>
      </c>
      <c r="R93" s="437" t="s">
        <v>2360</v>
      </c>
      <c r="S93" s="422" t="s">
        <v>2534</v>
      </c>
      <c r="T93" s="422" t="s">
        <v>2536</v>
      </c>
      <c r="U93" s="143">
        <f>V93+W93+X93</f>
        <v>0</v>
      </c>
      <c r="V93" s="421"/>
      <c r="W93" s="421"/>
      <c r="X93" s="421"/>
      <c r="Y93" s="143">
        <f>SUM(Z93:AB93)</f>
        <v>258</v>
      </c>
      <c r="Z93" s="143"/>
      <c r="AA93" s="143"/>
      <c r="AB93" s="143">
        <f>AC93+AD93+AE93</f>
        <v>258</v>
      </c>
      <c r="AC93" s="143">
        <v>0</v>
      </c>
      <c r="AD93" s="144"/>
      <c r="AE93" s="144">
        <v>258</v>
      </c>
      <c r="AF93" s="143">
        <f>SUM(AG93:AI93)</f>
        <v>258</v>
      </c>
      <c r="AG93" s="143"/>
      <c r="AH93" s="143"/>
      <c r="AI93" s="143">
        <f>SUM(AJ93:AL93)</f>
        <v>258</v>
      </c>
      <c r="AJ93" s="143">
        <v>0</v>
      </c>
      <c r="AK93" s="144"/>
      <c r="AL93" s="144">
        <v>258</v>
      </c>
      <c r="AM93" s="143">
        <v>257.205986</v>
      </c>
      <c r="AN93" s="143"/>
      <c r="AO93" s="143"/>
      <c r="AP93" s="143">
        <v>257.205986</v>
      </c>
      <c r="AQ93" s="143">
        <v>0</v>
      </c>
      <c r="AR93" s="144"/>
      <c r="AS93" s="144"/>
      <c r="AT93" s="144"/>
      <c r="AU93" s="144">
        <v>257.205986</v>
      </c>
      <c r="AV93" s="143">
        <f>SUM(AW93:AY93)</f>
        <v>0</v>
      </c>
      <c r="AW93" s="143"/>
      <c r="AX93" s="143"/>
      <c r="AY93" s="143">
        <f>SUM(AZ93:BB93)</f>
        <v>0</v>
      </c>
      <c r="AZ93" s="143">
        <v>0</v>
      </c>
      <c r="BA93" s="144"/>
      <c r="BB93" s="144"/>
      <c r="BC93" s="143">
        <v>0</v>
      </c>
      <c r="BD93" s="143"/>
      <c r="BE93" s="143"/>
      <c r="BF93" s="143">
        <v>0</v>
      </c>
      <c r="BG93" s="143">
        <v>0</v>
      </c>
      <c r="BH93" s="148"/>
      <c r="BI93" s="148"/>
      <c r="BJ93" s="148"/>
      <c r="BK93" s="153"/>
      <c r="BL93" s="153"/>
      <c r="BM93" s="153"/>
      <c r="BN93" s="153"/>
      <c r="BO93" s="153"/>
      <c r="BP93" s="153"/>
      <c r="BQ93" s="153"/>
      <c r="BR93" s="153"/>
      <c r="BS93" s="153"/>
      <c r="BT93" s="146"/>
      <c r="BU93" s="153"/>
      <c r="BV93" s="146"/>
      <c r="BW93" s="153"/>
      <c r="BX93" s="232"/>
      <c r="BY93" s="426"/>
    </row>
    <row r="94" spans="1:77" ht="55.5" customHeight="1" outlineLevel="1">
      <c r="A94" s="420">
        <v>3</v>
      </c>
      <c r="B94" s="421" t="s">
        <v>2545</v>
      </c>
      <c r="C94" s="428" t="s">
        <v>2350</v>
      </c>
      <c r="D94" s="420" t="s">
        <v>2536</v>
      </c>
      <c r="E94" s="420" t="s">
        <v>49</v>
      </c>
      <c r="F94" s="431" t="s">
        <v>2343</v>
      </c>
      <c r="G94" s="248">
        <v>7856509</v>
      </c>
      <c r="H94" s="423" t="s">
        <v>2546</v>
      </c>
      <c r="I94" s="420" t="s">
        <v>69</v>
      </c>
      <c r="J94" s="422">
        <v>2020</v>
      </c>
      <c r="K94" s="422"/>
      <c r="L94" s="455" t="s">
        <v>2547</v>
      </c>
      <c r="M94" s="146">
        <v>8300</v>
      </c>
      <c r="N94" s="422"/>
      <c r="O94" s="422"/>
      <c r="P94" s="146">
        <v>8300</v>
      </c>
      <c r="Q94" s="420" t="s">
        <v>2548</v>
      </c>
      <c r="R94" s="423" t="s">
        <v>2546</v>
      </c>
      <c r="S94" s="422" t="s">
        <v>2534</v>
      </c>
      <c r="T94" s="422" t="s">
        <v>2549</v>
      </c>
      <c r="U94" s="143">
        <f t="shared" si="41"/>
        <v>3700</v>
      </c>
      <c r="V94" s="420"/>
      <c r="W94" s="420"/>
      <c r="X94" s="143">
        <v>3700</v>
      </c>
      <c r="Y94" s="143">
        <f t="shared" si="42"/>
        <v>3462</v>
      </c>
      <c r="Z94" s="143"/>
      <c r="AA94" s="143"/>
      <c r="AB94" s="143">
        <f>AC94+AD94+AE94</f>
        <v>3462</v>
      </c>
      <c r="AC94" s="143">
        <v>0</v>
      </c>
      <c r="AD94" s="143">
        <v>3462</v>
      </c>
      <c r="AE94" s="143"/>
      <c r="AF94" s="143">
        <f t="shared" si="43"/>
        <v>3461.011</v>
      </c>
      <c r="AG94" s="143"/>
      <c r="AH94" s="143"/>
      <c r="AI94" s="143">
        <f t="shared" si="44"/>
        <v>3461.011</v>
      </c>
      <c r="AJ94" s="143">
        <v>0</v>
      </c>
      <c r="AK94" s="143">
        <v>3461.011</v>
      </c>
      <c r="AL94" s="143"/>
      <c r="AM94" s="143">
        <v>3460.7130000000002</v>
      </c>
      <c r="AN94" s="143"/>
      <c r="AO94" s="143"/>
      <c r="AP94" s="143">
        <v>3460.7130000000002</v>
      </c>
      <c r="AQ94" s="143">
        <v>0</v>
      </c>
      <c r="AR94" s="143"/>
      <c r="AS94" s="143"/>
      <c r="AT94" s="143">
        <v>3460.7130000000002</v>
      </c>
      <c r="AU94" s="143"/>
      <c r="AV94" s="143">
        <f t="shared" si="45"/>
        <v>0</v>
      </c>
      <c r="AW94" s="143"/>
      <c r="AX94" s="143"/>
      <c r="AY94" s="143">
        <f t="shared" si="46"/>
        <v>0</v>
      </c>
      <c r="AZ94" s="143">
        <v>0</v>
      </c>
      <c r="BA94" s="143">
        <v>0</v>
      </c>
      <c r="BB94" s="143"/>
      <c r="BC94" s="143">
        <v>0</v>
      </c>
      <c r="BD94" s="143"/>
      <c r="BE94" s="143"/>
      <c r="BF94" s="143">
        <v>0</v>
      </c>
      <c r="BG94" s="143">
        <v>0</v>
      </c>
      <c r="BH94" s="143"/>
      <c r="BI94" s="143"/>
      <c r="BJ94" s="143"/>
      <c r="BK94" s="143"/>
      <c r="BL94" s="143"/>
      <c r="BM94" s="143"/>
      <c r="BN94" s="143"/>
      <c r="BO94" s="143"/>
      <c r="BP94" s="143"/>
      <c r="BQ94" s="143"/>
      <c r="BR94" s="143"/>
      <c r="BS94" s="143"/>
      <c r="BT94" s="143"/>
      <c r="BU94" s="143"/>
      <c r="BV94" s="143"/>
      <c r="BW94" s="143"/>
      <c r="BX94" s="230"/>
      <c r="BY94" s="433"/>
    </row>
    <row r="95" spans="1:77" s="417" customFormat="1" ht="28.5" customHeight="1" outlineLevel="1">
      <c r="A95" s="430" t="s">
        <v>45</v>
      </c>
      <c r="B95" s="418" t="s">
        <v>51</v>
      </c>
      <c r="C95" s="418"/>
      <c r="D95" s="418"/>
      <c r="E95" s="418"/>
      <c r="F95" s="418"/>
      <c r="G95" s="418"/>
      <c r="H95" s="419">
        <f>SUM(H96:H101)</f>
        <v>0</v>
      </c>
      <c r="I95" s="418"/>
      <c r="J95" s="419"/>
      <c r="K95" s="419"/>
      <c r="L95" s="419"/>
      <c r="M95" s="419">
        <f>SUM(M96:M101)</f>
        <v>448172</v>
      </c>
      <c r="N95" s="419">
        <f t="shared" ref="N95:BY95" si="47">SUM(N96:N101)</f>
        <v>0</v>
      </c>
      <c r="O95" s="419">
        <f t="shared" si="47"/>
        <v>0</v>
      </c>
      <c r="P95" s="419">
        <f t="shared" si="47"/>
        <v>444383</v>
      </c>
      <c r="Q95" s="419">
        <f t="shared" si="47"/>
        <v>0</v>
      </c>
      <c r="R95" s="419">
        <f t="shared" si="47"/>
        <v>0</v>
      </c>
      <c r="S95" s="419">
        <f t="shared" si="47"/>
        <v>0</v>
      </c>
      <c r="T95" s="419">
        <f t="shared" si="47"/>
        <v>0</v>
      </c>
      <c r="U95" s="419">
        <f t="shared" si="47"/>
        <v>0</v>
      </c>
      <c r="V95" s="419">
        <f t="shared" si="47"/>
        <v>0</v>
      </c>
      <c r="W95" s="419">
        <f t="shared" si="47"/>
        <v>0</v>
      </c>
      <c r="X95" s="419">
        <f t="shared" si="47"/>
        <v>0</v>
      </c>
      <c r="Y95" s="419">
        <f t="shared" si="47"/>
        <v>78745</v>
      </c>
      <c r="Z95" s="419">
        <f t="shared" si="47"/>
        <v>0</v>
      </c>
      <c r="AA95" s="419">
        <f t="shared" si="47"/>
        <v>0</v>
      </c>
      <c r="AB95" s="419">
        <f t="shared" si="47"/>
        <v>78745</v>
      </c>
      <c r="AC95" s="419">
        <f t="shared" si="47"/>
        <v>0</v>
      </c>
      <c r="AD95" s="419">
        <f t="shared" si="47"/>
        <v>75601</v>
      </c>
      <c r="AE95" s="419">
        <f t="shared" si="47"/>
        <v>3144</v>
      </c>
      <c r="AF95" s="419">
        <f t="shared" si="47"/>
        <v>32219.781000000003</v>
      </c>
      <c r="AG95" s="419">
        <f t="shared" si="47"/>
        <v>0</v>
      </c>
      <c r="AH95" s="419">
        <f t="shared" si="47"/>
        <v>0</v>
      </c>
      <c r="AI95" s="419">
        <f t="shared" si="47"/>
        <v>32219.781000000003</v>
      </c>
      <c r="AJ95" s="419">
        <f t="shared" si="47"/>
        <v>0</v>
      </c>
      <c r="AK95" s="419">
        <f t="shared" si="47"/>
        <v>24575.780999999999</v>
      </c>
      <c r="AL95" s="419">
        <f t="shared" si="47"/>
        <v>7644</v>
      </c>
      <c r="AM95" s="419">
        <f t="shared" si="47"/>
        <v>25460.332247000002</v>
      </c>
      <c r="AN95" s="419">
        <f t="shared" si="47"/>
        <v>0</v>
      </c>
      <c r="AO95" s="419">
        <f t="shared" si="47"/>
        <v>4500</v>
      </c>
      <c r="AP95" s="419">
        <f t="shared" si="47"/>
        <v>20960.332247000002</v>
      </c>
      <c r="AQ95" s="419">
        <f t="shared" si="47"/>
        <v>0</v>
      </c>
      <c r="AR95" s="419">
        <f t="shared" si="47"/>
        <v>0</v>
      </c>
      <c r="AS95" s="419">
        <f t="shared" si="47"/>
        <v>0</v>
      </c>
      <c r="AT95" s="419">
        <f t="shared" si="47"/>
        <v>17859.004647000002</v>
      </c>
      <c r="AU95" s="419">
        <f t="shared" si="47"/>
        <v>3101.3276000000001</v>
      </c>
      <c r="AV95" s="419">
        <f t="shared" si="47"/>
        <v>5000</v>
      </c>
      <c r="AW95" s="419">
        <f t="shared" si="47"/>
        <v>0</v>
      </c>
      <c r="AX95" s="419">
        <f t="shared" si="47"/>
        <v>0</v>
      </c>
      <c r="AY95" s="419">
        <f t="shared" si="47"/>
        <v>5000</v>
      </c>
      <c r="AZ95" s="419">
        <f t="shared" si="47"/>
        <v>0</v>
      </c>
      <c r="BA95" s="419">
        <f t="shared" si="47"/>
        <v>5000</v>
      </c>
      <c r="BB95" s="419">
        <f t="shared" si="47"/>
        <v>0</v>
      </c>
      <c r="BC95" s="419">
        <f t="shared" si="47"/>
        <v>2889.7765939999999</v>
      </c>
      <c r="BD95" s="419">
        <f t="shared" si="47"/>
        <v>0</v>
      </c>
      <c r="BE95" s="419">
        <f t="shared" si="47"/>
        <v>0</v>
      </c>
      <c r="BF95" s="419">
        <f t="shared" si="47"/>
        <v>2889.7765939999999</v>
      </c>
      <c r="BG95" s="419">
        <f t="shared" si="47"/>
        <v>0</v>
      </c>
      <c r="BH95" s="419">
        <f t="shared" si="47"/>
        <v>0</v>
      </c>
      <c r="BI95" s="419">
        <f t="shared" si="47"/>
        <v>0</v>
      </c>
      <c r="BJ95" s="419">
        <f t="shared" si="47"/>
        <v>2889.7765939999999</v>
      </c>
      <c r="BK95" s="419">
        <f t="shared" si="47"/>
        <v>0</v>
      </c>
      <c r="BL95" s="419">
        <f t="shared" si="47"/>
        <v>1700.2695839999999</v>
      </c>
      <c r="BM95" s="419">
        <f t="shared" si="47"/>
        <v>0</v>
      </c>
      <c r="BN95" s="419">
        <f t="shared" si="47"/>
        <v>0</v>
      </c>
      <c r="BO95" s="419">
        <f t="shared" si="47"/>
        <v>1700.2695839999999</v>
      </c>
      <c r="BP95" s="419">
        <f t="shared" si="47"/>
        <v>61.278193999999999</v>
      </c>
      <c r="BQ95" s="419">
        <f t="shared" si="47"/>
        <v>0</v>
      </c>
      <c r="BR95" s="419">
        <f t="shared" si="47"/>
        <v>0</v>
      </c>
      <c r="BS95" s="419">
        <f t="shared" si="47"/>
        <v>61.278193999999999</v>
      </c>
      <c r="BT95" s="419">
        <f t="shared" si="47"/>
        <v>404513</v>
      </c>
      <c r="BU95" s="419">
        <f t="shared" si="47"/>
        <v>0</v>
      </c>
      <c r="BV95" s="419">
        <f t="shared" si="47"/>
        <v>404513</v>
      </c>
      <c r="BW95" s="419">
        <f t="shared" si="47"/>
        <v>0</v>
      </c>
      <c r="BX95" s="454"/>
      <c r="BY95" s="419">
        <f t="shared" si="47"/>
        <v>0</v>
      </c>
    </row>
    <row r="96" spans="1:77" ht="38.25" customHeight="1" outlineLevel="1">
      <c r="A96" s="420">
        <v>1</v>
      </c>
      <c r="B96" s="442" t="s">
        <v>2550</v>
      </c>
      <c r="C96" s="428" t="s">
        <v>2551</v>
      </c>
      <c r="D96" s="420" t="s">
        <v>2536</v>
      </c>
      <c r="E96" s="422" t="s">
        <v>49</v>
      </c>
      <c r="F96" s="422"/>
      <c r="G96" s="142">
        <v>7909265</v>
      </c>
      <c r="H96" s="420" t="s">
        <v>2552</v>
      </c>
      <c r="I96" s="420" t="s">
        <v>73</v>
      </c>
      <c r="J96" s="420"/>
      <c r="K96" s="424"/>
      <c r="L96" s="436" t="s">
        <v>2553</v>
      </c>
      <c r="M96" s="146">
        <v>2145</v>
      </c>
      <c r="N96" s="424"/>
      <c r="O96" s="424"/>
      <c r="P96" s="146">
        <v>2145</v>
      </c>
      <c r="Q96" s="420"/>
      <c r="R96" s="420" t="s">
        <v>2552</v>
      </c>
      <c r="S96" s="422" t="s">
        <v>2534</v>
      </c>
      <c r="T96" s="420" t="s">
        <v>2554</v>
      </c>
      <c r="U96" s="143">
        <f t="shared" si="41"/>
        <v>0</v>
      </c>
      <c r="V96" s="421"/>
      <c r="W96" s="421"/>
      <c r="X96" s="421"/>
      <c r="Y96" s="143">
        <f t="shared" si="42"/>
        <v>2120</v>
      </c>
      <c r="Z96" s="143"/>
      <c r="AA96" s="143"/>
      <c r="AB96" s="143">
        <f t="shared" ref="AB96:AB101" si="48">AC96+AD96+AE96</f>
        <v>2120</v>
      </c>
      <c r="AC96" s="143">
        <v>0</v>
      </c>
      <c r="AD96" s="144">
        <v>2120</v>
      </c>
      <c r="AE96" s="144"/>
      <c r="AF96" s="143">
        <f t="shared" si="43"/>
        <v>2091.63</v>
      </c>
      <c r="AG96" s="143"/>
      <c r="AH96" s="143"/>
      <c r="AI96" s="143">
        <f t="shared" si="44"/>
        <v>2091.63</v>
      </c>
      <c r="AJ96" s="143">
        <v>0</v>
      </c>
      <c r="AK96" s="144">
        <v>2091.63</v>
      </c>
      <c r="AL96" s="144"/>
      <c r="AM96" s="143">
        <v>2091.6293310000001</v>
      </c>
      <c r="AN96" s="143"/>
      <c r="AO96" s="143"/>
      <c r="AP96" s="143">
        <v>2091.6293310000001</v>
      </c>
      <c r="AQ96" s="143">
        <v>0</v>
      </c>
      <c r="AR96" s="143"/>
      <c r="AS96" s="144"/>
      <c r="AT96" s="144">
        <v>2091.6293310000001</v>
      </c>
      <c r="AU96" s="144"/>
      <c r="AV96" s="143">
        <f t="shared" si="45"/>
        <v>0</v>
      </c>
      <c r="AW96" s="143"/>
      <c r="AX96" s="143"/>
      <c r="AY96" s="143">
        <f t="shared" si="46"/>
        <v>0</v>
      </c>
      <c r="AZ96" s="143">
        <v>0</v>
      </c>
      <c r="BA96" s="144">
        <v>0</v>
      </c>
      <c r="BB96" s="144"/>
      <c r="BC96" s="143">
        <v>0</v>
      </c>
      <c r="BD96" s="143"/>
      <c r="BE96" s="143"/>
      <c r="BF96" s="143">
        <v>0</v>
      </c>
      <c r="BG96" s="143">
        <v>0</v>
      </c>
      <c r="BH96" s="148">
        <v>0</v>
      </c>
      <c r="BI96" s="143"/>
      <c r="BJ96" s="148"/>
      <c r="BK96" s="148"/>
      <c r="BL96" s="148"/>
      <c r="BM96" s="148"/>
      <c r="BN96" s="148"/>
      <c r="BO96" s="148"/>
      <c r="BP96" s="148"/>
      <c r="BQ96" s="148"/>
      <c r="BR96" s="148"/>
      <c r="BS96" s="148"/>
      <c r="BT96" s="148"/>
      <c r="BU96" s="148"/>
      <c r="BV96" s="148"/>
      <c r="BW96" s="148"/>
      <c r="BX96" s="231"/>
      <c r="BY96" s="424"/>
    </row>
    <row r="97" spans="1:77" ht="54" customHeight="1" outlineLevel="1">
      <c r="A97" s="420">
        <v>2</v>
      </c>
      <c r="B97" s="435" t="s">
        <v>2555</v>
      </c>
      <c r="C97" s="420" t="s">
        <v>2446</v>
      </c>
      <c r="D97" s="420" t="s">
        <v>2536</v>
      </c>
      <c r="E97" s="422" t="s">
        <v>49</v>
      </c>
      <c r="F97" s="422" t="s">
        <v>55</v>
      </c>
      <c r="G97" s="151">
        <v>7978347</v>
      </c>
      <c r="H97" s="437" t="s">
        <v>2556</v>
      </c>
      <c r="I97" s="420" t="s">
        <v>76</v>
      </c>
      <c r="J97" s="422"/>
      <c r="K97" s="424"/>
      <c r="L97" s="420" t="s">
        <v>2557</v>
      </c>
      <c r="M97" s="152">
        <v>9990</v>
      </c>
      <c r="N97" s="424"/>
      <c r="O97" s="424"/>
      <c r="P97" s="152">
        <v>7990</v>
      </c>
      <c r="Q97" s="420"/>
      <c r="R97" s="437" t="s">
        <v>2556</v>
      </c>
      <c r="S97" s="420" t="s">
        <v>2558</v>
      </c>
      <c r="T97" s="421" t="s">
        <v>2536</v>
      </c>
      <c r="U97" s="143">
        <f t="shared" si="41"/>
        <v>0</v>
      </c>
      <c r="V97" s="421"/>
      <c r="W97" s="421"/>
      <c r="X97" s="421"/>
      <c r="Y97" s="143">
        <f t="shared" si="42"/>
        <v>9990</v>
      </c>
      <c r="Z97" s="143"/>
      <c r="AA97" s="144"/>
      <c r="AB97" s="143">
        <f t="shared" si="48"/>
        <v>9990</v>
      </c>
      <c r="AC97" s="143">
        <v>0</v>
      </c>
      <c r="AD97" s="144">
        <v>7990</v>
      </c>
      <c r="AE97" s="144">
        <v>2000</v>
      </c>
      <c r="AF97" s="143">
        <f t="shared" si="43"/>
        <v>9749</v>
      </c>
      <c r="AG97" s="143"/>
      <c r="AH97" s="145"/>
      <c r="AI97" s="143">
        <f t="shared" si="44"/>
        <v>9749</v>
      </c>
      <c r="AJ97" s="143">
        <v>0</v>
      </c>
      <c r="AK97" s="144">
        <v>3249</v>
      </c>
      <c r="AL97" s="144">
        <v>6500</v>
      </c>
      <c r="AM97" s="143">
        <v>9732.4945000000007</v>
      </c>
      <c r="AN97" s="143"/>
      <c r="AO97" s="144">
        <v>4500</v>
      </c>
      <c r="AP97" s="143">
        <v>5232.4944999999998</v>
      </c>
      <c r="AQ97" s="143">
        <v>0</v>
      </c>
      <c r="AR97" s="144"/>
      <c r="AS97" s="144"/>
      <c r="AT97" s="144">
        <v>3232.4944999999998</v>
      </c>
      <c r="AU97" s="144">
        <v>2000</v>
      </c>
      <c r="AV97" s="143">
        <f t="shared" si="45"/>
        <v>0</v>
      </c>
      <c r="AW97" s="143"/>
      <c r="AX97" s="143"/>
      <c r="AY97" s="143">
        <f t="shared" si="46"/>
        <v>0</v>
      </c>
      <c r="AZ97" s="143">
        <v>0</v>
      </c>
      <c r="BA97" s="144">
        <v>0</v>
      </c>
      <c r="BB97" s="144"/>
      <c r="BC97" s="143">
        <v>0</v>
      </c>
      <c r="BD97" s="143"/>
      <c r="BE97" s="143"/>
      <c r="BF97" s="143">
        <v>0</v>
      </c>
      <c r="BG97" s="143">
        <v>0</v>
      </c>
      <c r="BH97" s="148">
        <v>0</v>
      </c>
      <c r="BI97" s="143"/>
      <c r="BJ97" s="148"/>
      <c r="BK97" s="148"/>
      <c r="BL97" s="148"/>
      <c r="BM97" s="148"/>
      <c r="BN97" s="148"/>
      <c r="BO97" s="148"/>
      <c r="BP97" s="148"/>
      <c r="BQ97" s="148"/>
      <c r="BR97" s="148"/>
      <c r="BS97" s="148"/>
      <c r="BT97" s="148"/>
      <c r="BU97" s="148"/>
      <c r="BV97" s="148"/>
      <c r="BW97" s="148"/>
      <c r="BX97" s="231"/>
      <c r="BY97" s="424"/>
    </row>
    <row r="98" spans="1:77" ht="30.75" outlineLevel="1">
      <c r="A98" s="420">
        <v>3</v>
      </c>
      <c r="B98" s="421" t="s">
        <v>2559</v>
      </c>
      <c r="C98" s="428" t="s">
        <v>2350</v>
      </c>
      <c r="D98" s="420" t="s">
        <v>2536</v>
      </c>
      <c r="E98" s="422" t="s">
        <v>49</v>
      </c>
      <c r="F98" s="420" t="s">
        <v>2560</v>
      </c>
      <c r="G98" s="142">
        <v>7829562</v>
      </c>
      <c r="H98" s="420" t="s">
        <v>2556</v>
      </c>
      <c r="I98" s="420" t="s">
        <v>69</v>
      </c>
      <c r="J98" s="422">
        <v>2020</v>
      </c>
      <c r="K98" s="424"/>
      <c r="L98" s="420" t="s">
        <v>2561</v>
      </c>
      <c r="M98" s="149">
        <v>14990</v>
      </c>
      <c r="N98" s="424"/>
      <c r="O98" s="424"/>
      <c r="P98" s="149">
        <v>14990</v>
      </c>
      <c r="Q98" s="420" t="s">
        <v>2562</v>
      </c>
      <c r="R98" s="420" t="s">
        <v>2556</v>
      </c>
      <c r="S98" s="420" t="s">
        <v>2534</v>
      </c>
      <c r="T98" s="421" t="s">
        <v>2536</v>
      </c>
      <c r="U98" s="143">
        <f t="shared" si="41"/>
        <v>0</v>
      </c>
      <c r="V98" s="421"/>
      <c r="W98" s="421"/>
      <c r="X98" s="421"/>
      <c r="Y98" s="143">
        <f t="shared" si="42"/>
        <v>4491</v>
      </c>
      <c r="Z98" s="143"/>
      <c r="AA98" s="143"/>
      <c r="AB98" s="143">
        <f t="shared" si="48"/>
        <v>4491</v>
      </c>
      <c r="AC98" s="143">
        <v>0</v>
      </c>
      <c r="AD98" s="144">
        <v>4491</v>
      </c>
      <c r="AE98" s="144"/>
      <c r="AF98" s="143">
        <f t="shared" si="43"/>
        <v>4490.1509999999998</v>
      </c>
      <c r="AG98" s="143"/>
      <c r="AH98" s="143"/>
      <c r="AI98" s="143">
        <f t="shared" si="44"/>
        <v>4490.1509999999998</v>
      </c>
      <c r="AJ98" s="143">
        <v>0</v>
      </c>
      <c r="AK98" s="144">
        <v>4490.1509999999998</v>
      </c>
      <c r="AL98" s="144"/>
      <c r="AM98" s="143">
        <v>4490.1509999999998</v>
      </c>
      <c r="AN98" s="143"/>
      <c r="AO98" s="143"/>
      <c r="AP98" s="143">
        <v>4490.1509999999998</v>
      </c>
      <c r="AQ98" s="143">
        <v>0</v>
      </c>
      <c r="AR98" s="143"/>
      <c r="AS98" s="144"/>
      <c r="AT98" s="144">
        <v>4490.1509999999998</v>
      </c>
      <c r="AU98" s="144"/>
      <c r="AV98" s="143">
        <f t="shared" si="45"/>
        <v>0</v>
      </c>
      <c r="AW98" s="143"/>
      <c r="AX98" s="143"/>
      <c r="AY98" s="143">
        <f t="shared" si="46"/>
        <v>0</v>
      </c>
      <c r="AZ98" s="143">
        <v>0</v>
      </c>
      <c r="BA98" s="144">
        <v>0</v>
      </c>
      <c r="BB98" s="144"/>
      <c r="BC98" s="143">
        <v>0</v>
      </c>
      <c r="BD98" s="143"/>
      <c r="BE98" s="143"/>
      <c r="BF98" s="143">
        <v>0</v>
      </c>
      <c r="BG98" s="143">
        <v>0</v>
      </c>
      <c r="BH98" s="148">
        <v>0</v>
      </c>
      <c r="BI98" s="143"/>
      <c r="BJ98" s="148"/>
      <c r="BK98" s="148"/>
      <c r="BL98" s="148"/>
      <c r="BM98" s="148"/>
      <c r="BN98" s="148"/>
      <c r="BO98" s="148"/>
      <c r="BP98" s="148"/>
      <c r="BQ98" s="148"/>
      <c r="BR98" s="148"/>
      <c r="BS98" s="148"/>
      <c r="BT98" s="148">
        <v>0</v>
      </c>
      <c r="BU98" s="148">
        <v>0</v>
      </c>
      <c r="BV98" s="148">
        <v>0</v>
      </c>
      <c r="BW98" s="148">
        <v>0</v>
      </c>
      <c r="BX98" s="231"/>
      <c r="BY98" s="424"/>
    </row>
    <row r="99" spans="1:77" ht="76.900000000000006" outlineLevel="1">
      <c r="A99" s="420">
        <v>4</v>
      </c>
      <c r="B99" s="449" t="s">
        <v>2563</v>
      </c>
      <c r="C99" s="428" t="s">
        <v>2350</v>
      </c>
      <c r="D99" s="420" t="s">
        <v>2536</v>
      </c>
      <c r="E99" s="422" t="s">
        <v>10</v>
      </c>
      <c r="F99" s="420" t="s">
        <v>2560</v>
      </c>
      <c r="G99" s="142">
        <v>7841644</v>
      </c>
      <c r="H99" s="420" t="s">
        <v>2564</v>
      </c>
      <c r="I99" s="420" t="s">
        <v>2565</v>
      </c>
      <c r="J99" s="422" t="s">
        <v>2503</v>
      </c>
      <c r="K99" s="424"/>
      <c r="L99" s="420" t="s">
        <v>2566</v>
      </c>
      <c r="M99" s="149">
        <v>409268</v>
      </c>
      <c r="N99" s="424"/>
      <c r="O99" s="424"/>
      <c r="P99" s="149">
        <v>409268</v>
      </c>
      <c r="Q99" s="420"/>
      <c r="R99" s="420" t="s">
        <v>2564</v>
      </c>
      <c r="S99" s="420" t="s">
        <v>2534</v>
      </c>
      <c r="T99" s="421" t="s">
        <v>2536</v>
      </c>
      <c r="U99" s="143">
        <f t="shared" si="41"/>
        <v>0</v>
      </c>
      <c r="V99" s="421"/>
      <c r="W99" s="421"/>
      <c r="X99" s="421"/>
      <c r="Y99" s="143">
        <f t="shared" si="42"/>
        <v>60000</v>
      </c>
      <c r="Z99" s="143"/>
      <c r="AA99" s="143"/>
      <c r="AB99" s="143">
        <f t="shared" si="48"/>
        <v>60000</v>
      </c>
      <c r="AC99" s="143">
        <v>0</v>
      </c>
      <c r="AD99" s="144">
        <v>60000</v>
      </c>
      <c r="AE99" s="144"/>
      <c r="AF99" s="143">
        <f t="shared" si="43"/>
        <v>14745</v>
      </c>
      <c r="AG99" s="143"/>
      <c r="AH99" s="143"/>
      <c r="AI99" s="143">
        <f t="shared" si="44"/>
        <v>14745</v>
      </c>
      <c r="AJ99" s="143">
        <v>0</v>
      </c>
      <c r="AK99" s="144">
        <v>14745</v>
      </c>
      <c r="AL99" s="144"/>
      <c r="AM99" s="143">
        <v>8044.7298160000009</v>
      </c>
      <c r="AN99" s="143"/>
      <c r="AO99" s="143"/>
      <c r="AP99" s="143">
        <v>8044.7298160000009</v>
      </c>
      <c r="AQ99" s="143">
        <v>0</v>
      </c>
      <c r="AR99" s="143"/>
      <c r="AS99" s="144"/>
      <c r="AT99" s="144">
        <v>8044.7298160000009</v>
      </c>
      <c r="AU99" s="144"/>
      <c r="AV99" s="143">
        <f t="shared" si="45"/>
        <v>5000</v>
      </c>
      <c r="AW99" s="143"/>
      <c r="AX99" s="143"/>
      <c r="AY99" s="143">
        <f t="shared" si="46"/>
        <v>5000</v>
      </c>
      <c r="AZ99" s="143">
        <v>0</v>
      </c>
      <c r="BA99" s="144">
        <v>5000</v>
      </c>
      <c r="BB99" s="144"/>
      <c r="BC99" s="143">
        <v>2889.7765939999999</v>
      </c>
      <c r="BD99" s="143"/>
      <c r="BE99" s="143"/>
      <c r="BF99" s="143">
        <v>2889.7765939999999</v>
      </c>
      <c r="BG99" s="143">
        <v>0</v>
      </c>
      <c r="BH99" s="148">
        <v>0</v>
      </c>
      <c r="BI99" s="143"/>
      <c r="BJ99" s="148">
        <v>2889.7765939999999</v>
      </c>
      <c r="BK99" s="148"/>
      <c r="BL99" s="148">
        <v>1700.2695839999999</v>
      </c>
      <c r="BM99" s="148"/>
      <c r="BN99" s="148"/>
      <c r="BO99" s="149">
        <v>1700.2695839999999</v>
      </c>
      <c r="BP99" s="148">
        <v>61.278193999999999</v>
      </c>
      <c r="BQ99" s="148"/>
      <c r="BR99" s="148"/>
      <c r="BS99" s="148">
        <v>61.278193999999999</v>
      </c>
      <c r="BT99" s="148">
        <v>394523</v>
      </c>
      <c r="BU99" s="148"/>
      <c r="BV99" s="148">
        <v>394523</v>
      </c>
      <c r="BW99" s="148"/>
      <c r="BX99" s="231"/>
      <c r="BY99" s="424"/>
    </row>
    <row r="100" spans="1:77" ht="46.15" outlineLevel="1">
      <c r="A100" s="420">
        <v>5</v>
      </c>
      <c r="B100" s="421" t="s">
        <v>2567</v>
      </c>
      <c r="C100" s="428" t="s">
        <v>2395</v>
      </c>
      <c r="D100" s="420" t="s">
        <v>2536</v>
      </c>
      <c r="E100" s="422" t="s">
        <v>49</v>
      </c>
      <c r="F100" s="422" t="s">
        <v>48</v>
      </c>
      <c r="G100" s="150">
        <v>8045443</v>
      </c>
      <c r="H100" s="437" t="s">
        <v>2556</v>
      </c>
      <c r="I100" s="420" t="s">
        <v>910</v>
      </c>
      <c r="J100" s="420"/>
      <c r="K100" s="424"/>
      <c r="L100" s="450" t="s">
        <v>2568</v>
      </c>
      <c r="M100" s="146">
        <v>1789</v>
      </c>
      <c r="N100" s="424"/>
      <c r="O100" s="424"/>
      <c r="P100" s="424"/>
      <c r="Q100" s="420"/>
      <c r="R100" s="437" t="s">
        <v>2556</v>
      </c>
      <c r="S100" s="420" t="s">
        <v>2534</v>
      </c>
      <c r="T100" s="435" t="s">
        <v>2536</v>
      </c>
      <c r="U100" s="143">
        <f t="shared" si="41"/>
        <v>0</v>
      </c>
      <c r="V100" s="421"/>
      <c r="W100" s="421"/>
      <c r="X100" s="421"/>
      <c r="Y100" s="143">
        <f t="shared" si="42"/>
        <v>1144</v>
      </c>
      <c r="Z100" s="143"/>
      <c r="AA100" s="143"/>
      <c r="AB100" s="143">
        <f t="shared" si="48"/>
        <v>1144</v>
      </c>
      <c r="AC100" s="143">
        <v>0</v>
      </c>
      <c r="AD100" s="144"/>
      <c r="AE100" s="144">
        <v>1144</v>
      </c>
      <c r="AF100" s="143">
        <f t="shared" si="43"/>
        <v>1144</v>
      </c>
      <c r="AG100" s="143"/>
      <c r="AH100" s="143"/>
      <c r="AI100" s="143">
        <f t="shared" si="44"/>
        <v>1144</v>
      </c>
      <c r="AJ100" s="143">
        <v>0</v>
      </c>
      <c r="AK100" s="144"/>
      <c r="AL100" s="144">
        <v>1144</v>
      </c>
      <c r="AM100" s="143">
        <v>1101.3276000000001</v>
      </c>
      <c r="AN100" s="143"/>
      <c r="AO100" s="143"/>
      <c r="AP100" s="143">
        <v>1101.3276000000001</v>
      </c>
      <c r="AQ100" s="143">
        <v>0</v>
      </c>
      <c r="AR100" s="144"/>
      <c r="AS100" s="144"/>
      <c r="AT100" s="144"/>
      <c r="AU100" s="144">
        <v>1101.3276000000001</v>
      </c>
      <c r="AV100" s="143">
        <f t="shared" si="45"/>
        <v>0</v>
      </c>
      <c r="AW100" s="143"/>
      <c r="AX100" s="143"/>
      <c r="AY100" s="143">
        <f t="shared" si="46"/>
        <v>0</v>
      </c>
      <c r="AZ100" s="143">
        <v>0</v>
      </c>
      <c r="BA100" s="144"/>
      <c r="BB100" s="144"/>
      <c r="BC100" s="143">
        <v>0</v>
      </c>
      <c r="BD100" s="143"/>
      <c r="BE100" s="143"/>
      <c r="BF100" s="143">
        <v>0</v>
      </c>
      <c r="BG100" s="143">
        <v>0</v>
      </c>
      <c r="BH100" s="148">
        <v>0</v>
      </c>
      <c r="BI100" s="143"/>
      <c r="BJ100" s="148"/>
      <c r="BK100" s="153"/>
      <c r="BL100" s="153"/>
      <c r="BM100" s="153"/>
      <c r="BN100" s="153"/>
      <c r="BO100" s="153"/>
      <c r="BP100" s="153"/>
      <c r="BQ100" s="153"/>
      <c r="BR100" s="153"/>
      <c r="BS100" s="153"/>
      <c r="BT100" s="153"/>
      <c r="BU100" s="153"/>
      <c r="BV100" s="153"/>
      <c r="BW100" s="153"/>
      <c r="BX100" s="232"/>
      <c r="BY100" s="426"/>
    </row>
    <row r="101" spans="1:77" ht="76.900000000000006" outlineLevel="1">
      <c r="A101" s="420">
        <v>6</v>
      </c>
      <c r="B101" s="421" t="s">
        <v>2569</v>
      </c>
      <c r="C101" s="420" t="s">
        <v>2350</v>
      </c>
      <c r="D101" s="420" t="s">
        <v>2536</v>
      </c>
      <c r="E101" s="422" t="s">
        <v>49</v>
      </c>
      <c r="F101" s="422" t="s">
        <v>55</v>
      </c>
      <c r="G101" s="151">
        <v>8037457</v>
      </c>
      <c r="H101" s="437" t="s">
        <v>2570</v>
      </c>
      <c r="I101" s="420" t="s">
        <v>2502</v>
      </c>
      <c r="J101" s="422">
        <v>2026</v>
      </c>
      <c r="K101" s="424"/>
      <c r="L101" s="436" t="s">
        <v>2571</v>
      </c>
      <c r="M101" s="440">
        <v>9990</v>
      </c>
      <c r="N101" s="424"/>
      <c r="O101" s="424"/>
      <c r="P101" s="440">
        <v>9990</v>
      </c>
      <c r="Q101" s="420"/>
      <c r="R101" s="437" t="s">
        <v>2570</v>
      </c>
      <c r="S101" s="420" t="s">
        <v>2534</v>
      </c>
      <c r="T101" s="421" t="s">
        <v>2536</v>
      </c>
      <c r="U101" s="143">
        <f t="shared" si="41"/>
        <v>0</v>
      </c>
      <c r="V101" s="421"/>
      <c r="W101" s="421"/>
      <c r="X101" s="421"/>
      <c r="Y101" s="143">
        <f t="shared" si="42"/>
        <v>1000</v>
      </c>
      <c r="Z101" s="143"/>
      <c r="AA101" s="143"/>
      <c r="AB101" s="143">
        <f t="shared" si="48"/>
        <v>1000</v>
      </c>
      <c r="AC101" s="143">
        <v>0</v>
      </c>
      <c r="AD101" s="144">
        <v>1000</v>
      </c>
      <c r="AE101" s="144"/>
      <c r="AF101" s="143">
        <f t="shared" si="43"/>
        <v>0</v>
      </c>
      <c r="AG101" s="143"/>
      <c r="AH101" s="143"/>
      <c r="AI101" s="143">
        <f t="shared" si="44"/>
        <v>0</v>
      </c>
      <c r="AJ101" s="143">
        <v>0</v>
      </c>
      <c r="AK101" s="144">
        <v>0</v>
      </c>
      <c r="AL101" s="144"/>
      <c r="AM101" s="143">
        <v>0</v>
      </c>
      <c r="AN101" s="143"/>
      <c r="AO101" s="143"/>
      <c r="AP101" s="143">
        <v>0</v>
      </c>
      <c r="AQ101" s="143">
        <v>0</v>
      </c>
      <c r="AR101" s="143"/>
      <c r="AS101" s="144"/>
      <c r="AT101" s="144">
        <v>0</v>
      </c>
      <c r="AU101" s="144"/>
      <c r="AV101" s="143">
        <f t="shared" si="45"/>
        <v>0</v>
      </c>
      <c r="AW101" s="143"/>
      <c r="AX101" s="143"/>
      <c r="AY101" s="143">
        <f t="shared" si="46"/>
        <v>0</v>
      </c>
      <c r="AZ101" s="143">
        <v>0</v>
      </c>
      <c r="BA101" s="144">
        <v>0</v>
      </c>
      <c r="BB101" s="144"/>
      <c r="BC101" s="143">
        <v>0</v>
      </c>
      <c r="BD101" s="143"/>
      <c r="BE101" s="143"/>
      <c r="BF101" s="143">
        <v>0</v>
      </c>
      <c r="BG101" s="143">
        <v>0</v>
      </c>
      <c r="BH101" s="148"/>
      <c r="BI101" s="148"/>
      <c r="BJ101" s="148"/>
      <c r="BK101" s="148"/>
      <c r="BL101" s="148"/>
      <c r="BM101" s="148"/>
      <c r="BN101" s="148"/>
      <c r="BO101" s="148"/>
      <c r="BP101" s="148"/>
      <c r="BQ101" s="148"/>
      <c r="BR101" s="148"/>
      <c r="BS101" s="148"/>
      <c r="BT101" s="148">
        <v>9990</v>
      </c>
      <c r="BU101" s="148"/>
      <c r="BV101" s="148">
        <v>9990</v>
      </c>
      <c r="BW101" s="148"/>
      <c r="BX101" s="231"/>
      <c r="BY101" s="424"/>
    </row>
    <row r="102" spans="1:77" s="457" customFormat="1" ht="43.5" customHeight="1" outlineLevel="1">
      <c r="A102" s="430" t="s">
        <v>45</v>
      </c>
      <c r="B102" s="456" t="s">
        <v>2513</v>
      </c>
      <c r="C102" s="418"/>
      <c r="D102" s="418"/>
      <c r="E102" s="418"/>
      <c r="F102" s="418"/>
      <c r="G102" s="418"/>
      <c r="H102" s="419">
        <f>SUM(H112:H114)</f>
        <v>0</v>
      </c>
      <c r="I102" s="418"/>
      <c r="J102" s="419"/>
      <c r="K102" s="419"/>
      <c r="L102" s="419"/>
      <c r="M102" s="419">
        <f>SUM(M103:M110)</f>
        <v>68990</v>
      </c>
      <c r="N102" s="419">
        <f t="shared" ref="N102:BY102" si="49">SUM(N103:N110)</f>
        <v>0</v>
      </c>
      <c r="O102" s="419">
        <f t="shared" si="49"/>
        <v>14349</v>
      </c>
      <c r="P102" s="419">
        <f t="shared" si="49"/>
        <v>46267</v>
      </c>
      <c r="Q102" s="419">
        <f t="shared" si="49"/>
        <v>0</v>
      </c>
      <c r="R102" s="419">
        <f t="shared" si="49"/>
        <v>0</v>
      </c>
      <c r="S102" s="419">
        <f t="shared" si="49"/>
        <v>0</v>
      </c>
      <c r="T102" s="419">
        <f t="shared" si="49"/>
        <v>0</v>
      </c>
      <c r="U102" s="419">
        <f t="shared" si="49"/>
        <v>0</v>
      </c>
      <c r="V102" s="419">
        <f t="shared" si="49"/>
        <v>0</v>
      </c>
      <c r="W102" s="419">
        <f t="shared" si="49"/>
        <v>0</v>
      </c>
      <c r="X102" s="419">
        <f t="shared" si="49"/>
        <v>0</v>
      </c>
      <c r="Y102" s="419">
        <f t="shared" si="49"/>
        <v>2989</v>
      </c>
      <c r="Z102" s="419">
        <f t="shared" si="49"/>
        <v>0</v>
      </c>
      <c r="AA102" s="419">
        <f t="shared" si="49"/>
        <v>0</v>
      </c>
      <c r="AB102" s="419">
        <f t="shared" si="49"/>
        <v>2989</v>
      </c>
      <c r="AC102" s="419">
        <f t="shared" si="49"/>
        <v>0</v>
      </c>
      <c r="AD102" s="419">
        <f t="shared" si="49"/>
        <v>2989</v>
      </c>
      <c r="AE102" s="419">
        <f t="shared" si="49"/>
        <v>0</v>
      </c>
      <c r="AF102" s="419">
        <f t="shared" si="49"/>
        <v>0</v>
      </c>
      <c r="AG102" s="419">
        <f t="shared" si="49"/>
        <v>0</v>
      </c>
      <c r="AH102" s="419">
        <f t="shared" si="49"/>
        <v>0</v>
      </c>
      <c r="AI102" s="419">
        <f t="shared" si="49"/>
        <v>0</v>
      </c>
      <c r="AJ102" s="419">
        <f t="shared" si="49"/>
        <v>0</v>
      </c>
      <c r="AK102" s="419">
        <f t="shared" si="49"/>
        <v>0</v>
      </c>
      <c r="AL102" s="419">
        <f t="shared" si="49"/>
        <v>0</v>
      </c>
      <c r="AM102" s="419">
        <f t="shared" si="49"/>
        <v>0</v>
      </c>
      <c r="AN102" s="419">
        <f t="shared" si="49"/>
        <v>0</v>
      </c>
      <c r="AO102" s="419">
        <f t="shared" si="49"/>
        <v>0</v>
      </c>
      <c r="AP102" s="419">
        <f t="shared" si="49"/>
        <v>0</v>
      </c>
      <c r="AQ102" s="419">
        <f t="shared" si="49"/>
        <v>0</v>
      </c>
      <c r="AR102" s="419">
        <f t="shared" si="49"/>
        <v>0</v>
      </c>
      <c r="AS102" s="419">
        <f t="shared" si="49"/>
        <v>0</v>
      </c>
      <c r="AT102" s="419">
        <f t="shared" si="49"/>
        <v>0</v>
      </c>
      <c r="AU102" s="419">
        <f t="shared" si="49"/>
        <v>0</v>
      </c>
      <c r="AV102" s="419">
        <f t="shared" si="49"/>
        <v>0</v>
      </c>
      <c r="AW102" s="419">
        <f t="shared" si="49"/>
        <v>0</v>
      </c>
      <c r="AX102" s="419">
        <f t="shared" si="49"/>
        <v>0</v>
      </c>
      <c r="AY102" s="419">
        <f t="shared" si="49"/>
        <v>0</v>
      </c>
      <c r="AZ102" s="419">
        <f t="shared" si="49"/>
        <v>0</v>
      </c>
      <c r="BA102" s="419">
        <f t="shared" si="49"/>
        <v>0</v>
      </c>
      <c r="BB102" s="419">
        <f t="shared" si="49"/>
        <v>0</v>
      </c>
      <c r="BC102" s="419">
        <f t="shared" si="49"/>
        <v>0</v>
      </c>
      <c r="BD102" s="419">
        <f t="shared" si="49"/>
        <v>0</v>
      </c>
      <c r="BE102" s="419">
        <f t="shared" si="49"/>
        <v>0</v>
      </c>
      <c r="BF102" s="419">
        <f t="shared" si="49"/>
        <v>0</v>
      </c>
      <c r="BG102" s="419">
        <f t="shared" si="49"/>
        <v>0</v>
      </c>
      <c r="BH102" s="419">
        <f t="shared" si="49"/>
        <v>0</v>
      </c>
      <c r="BI102" s="419">
        <f t="shared" si="49"/>
        <v>0</v>
      </c>
      <c r="BJ102" s="419">
        <f t="shared" si="49"/>
        <v>0</v>
      </c>
      <c r="BK102" s="419">
        <f t="shared" si="49"/>
        <v>0</v>
      </c>
      <c r="BL102" s="419">
        <f t="shared" si="49"/>
        <v>0</v>
      </c>
      <c r="BM102" s="419">
        <f t="shared" si="49"/>
        <v>0</v>
      </c>
      <c r="BN102" s="419">
        <f t="shared" si="49"/>
        <v>0</v>
      </c>
      <c r="BO102" s="419">
        <f t="shared" si="49"/>
        <v>0</v>
      </c>
      <c r="BP102" s="419">
        <f t="shared" si="49"/>
        <v>0</v>
      </c>
      <c r="BQ102" s="419">
        <f t="shared" si="49"/>
        <v>0</v>
      </c>
      <c r="BR102" s="419">
        <f t="shared" si="49"/>
        <v>0</v>
      </c>
      <c r="BS102" s="419">
        <f t="shared" si="49"/>
        <v>0</v>
      </c>
      <c r="BT102" s="419">
        <f t="shared" si="49"/>
        <v>0</v>
      </c>
      <c r="BU102" s="419">
        <f t="shared" si="49"/>
        <v>0</v>
      </c>
      <c r="BV102" s="419">
        <f t="shared" si="49"/>
        <v>0</v>
      </c>
      <c r="BW102" s="419">
        <f t="shared" si="49"/>
        <v>0</v>
      </c>
      <c r="BX102" s="454"/>
      <c r="BY102" s="419">
        <f t="shared" si="49"/>
        <v>0</v>
      </c>
    </row>
    <row r="103" spans="1:77" ht="38.25" customHeight="1" outlineLevel="1">
      <c r="A103" s="420">
        <v>1</v>
      </c>
      <c r="B103" s="435" t="s">
        <v>2572</v>
      </c>
      <c r="C103" s="428" t="s">
        <v>2350</v>
      </c>
      <c r="D103" s="420" t="s">
        <v>2536</v>
      </c>
      <c r="E103" s="422" t="s">
        <v>49</v>
      </c>
      <c r="F103" s="420" t="s">
        <v>2573</v>
      </c>
      <c r="G103" s="458"/>
      <c r="H103" s="423" t="s">
        <v>2574</v>
      </c>
      <c r="I103" s="420" t="s">
        <v>2502</v>
      </c>
      <c r="J103" s="420" t="s">
        <v>2503</v>
      </c>
      <c r="K103" s="424"/>
      <c r="L103" s="436" t="s">
        <v>2575</v>
      </c>
      <c r="M103" s="146">
        <v>14349</v>
      </c>
      <c r="N103" s="424"/>
      <c r="O103" s="146">
        <v>14349</v>
      </c>
      <c r="P103" s="424"/>
      <c r="Q103" s="420"/>
      <c r="R103" s="423" t="s">
        <v>2574</v>
      </c>
      <c r="S103" s="420" t="s">
        <v>2534</v>
      </c>
      <c r="T103" s="421" t="s">
        <v>2536</v>
      </c>
      <c r="U103" s="143">
        <f t="shared" ref="U103:U110" si="50">V103+W103+X103</f>
        <v>0</v>
      </c>
      <c r="V103" s="421"/>
      <c r="W103" s="421"/>
      <c r="X103" s="421"/>
      <c r="Y103" s="143">
        <f>SUM(Z103:AB103)</f>
        <v>0</v>
      </c>
      <c r="Z103" s="144"/>
      <c r="AA103" s="145"/>
      <c r="AB103" s="143">
        <f t="shared" ref="AB103:AB110" si="51">AC103+AD103+AE103</f>
        <v>0</v>
      </c>
      <c r="AC103" s="143">
        <v>0</v>
      </c>
      <c r="AD103" s="144"/>
      <c r="AE103" s="144"/>
      <c r="AF103" s="143">
        <f>SUM(AG103:AI103)</f>
        <v>0</v>
      </c>
      <c r="AG103" s="144"/>
      <c r="AH103" s="145"/>
      <c r="AI103" s="143">
        <f>SUM(AJ103:AL103)</f>
        <v>0</v>
      </c>
      <c r="AJ103" s="143">
        <v>0</v>
      </c>
      <c r="AK103" s="144"/>
      <c r="AL103" s="144"/>
      <c r="AM103" s="143">
        <v>0</v>
      </c>
      <c r="AN103" s="144"/>
      <c r="AO103" s="144">
        <v>0</v>
      </c>
      <c r="AP103" s="143">
        <v>0</v>
      </c>
      <c r="AQ103" s="143">
        <v>0</v>
      </c>
      <c r="AR103" s="144"/>
      <c r="AS103" s="144"/>
      <c r="AT103" s="144"/>
      <c r="AU103" s="144"/>
      <c r="AV103" s="143">
        <f>SUM(AW103:AY103)</f>
        <v>0</v>
      </c>
      <c r="AW103" s="144"/>
      <c r="AX103" s="144"/>
      <c r="AY103" s="143">
        <f>SUM(AZ103:BB103)</f>
        <v>0</v>
      </c>
      <c r="AZ103" s="143">
        <v>0</v>
      </c>
      <c r="BA103" s="144"/>
      <c r="BB103" s="144"/>
      <c r="BC103" s="143">
        <v>0</v>
      </c>
      <c r="BD103" s="144"/>
      <c r="BE103" s="144"/>
      <c r="BF103" s="148"/>
      <c r="BG103" s="143">
        <v>0</v>
      </c>
      <c r="BH103" s="148">
        <v>0</v>
      </c>
      <c r="BI103" s="143"/>
      <c r="BJ103" s="148"/>
      <c r="BK103" s="153"/>
      <c r="BL103" s="153">
        <v>0</v>
      </c>
      <c r="BM103" s="153"/>
      <c r="BN103" s="153"/>
      <c r="BO103" s="153"/>
      <c r="BP103" s="153">
        <v>0</v>
      </c>
      <c r="BQ103" s="153"/>
      <c r="BR103" s="153"/>
      <c r="BS103" s="153"/>
      <c r="BT103" s="459"/>
      <c r="BU103" s="153"/>
      <c r="BV103" s="459"/>
      <c r="BW103" s="153"/>
      <c r="BX103" s="232"/>
      <c r="BY103" s="436"/>
    </row>
    <row r="104" spans="1:77" ht="51.75" customHeight="1" outlineLevel="1">
      <c r="A104" s="420">
        <v>2</v>
      </c>
      <c r="B104" s="421" t="s">
        <v>2567</v>
      </c>
      <c r="C104" s="420" t="s">
        <v>2395</v>
      </c>
      <c r="D104" s="420" t="s">
        <v>2576</v>
      </c>
      <c r="E104" s="422" t="s">
        <v>49</v>
      </c>
      <c r="F104" s="422" t="s">
        <v>48</v>
      </c>
      <c r="G104" s="151"/>
      <c r="H104" s="437" t="s">
        <v>2556</v>
      </c>
      <c r="I104" s="420" t="s">
        <v>2502</v>
      </c>
      <c r="J104" s="420"/>
      <c r="K104" s="424"/>
      <c r="L104" s="436" t="s">
        <v>2568</v>
      </c>
      <c r="M104" s="152">
        <v>1789</v>
      </c>
      <c r="N104" s="424"/>
      <c r="O104" s="424"/>
      <c r="P104" s="152">
        <v>1789</v>
      </c>
      <c r="Q104" s="420"/>
      <c r="R104" s="437" t="s">
        <v>2556</v>
      </c>
      <c r="S104" s="420" t="s">
        <v>2534</v>
      </c>
      <c r="T104" s="420" t="s">
        <v>2534</v>
      </c>
      <c r="U104" s="143">
        <f t="shared" si="50"/>
        <v>0</v>
      </c>
      <c r="V104" s="421"/>
      <c r="W104" s="421"/>
      <c r="X104" s="421"/>
      <c r="Y104" s="143">
        <f t="shared" ref="Y104:Y110" si="52">SUM(Z104:AB104)</f>
        <v>1789</v>
      </c>
      <c r="Z104" s="143"/>
      <c r="AA104" s="143"/>
      <c r="AB104" s="143">
        <f t="shared" si="51"/>
        <v>1789</v>
      </c>
      <c r="AC104" s="143">
        <v>0</v>
      </c>
      <c r="AD104" s="144">
        <v>1789</v>
      </c>
      <c r="AE104" s="144"/>
      <c r="AF104" s="143">
        <f t="shared" ref="AF104:AF110" si="53">SUM(AG104:AI104)</f>
        <v>0</v>
      </c>
      <c r="AG104" s="143"/>
      <c r="AH104" s="143"/>
      <c r="AI104" s="143">
        <f t="shared" ref="AI104:AI110" si="54">SUM(AJ104:AL104)</f>
        <v>0</v>
      </c>
      <c r="AJ104" s="143">
        <v>0</v>
      </c>
      <c r="AK104" s="144">
        <v>0</v>
      </c>
      <c r="AL104" s="144"/>
      <c r="AM104" s="143">
        <v>0</v>
      </c>
      <c r="AN104" s="143"/>
      <c r="AO104" s="143"/>
      <c r="AP104" s="143">
        <v>0</v>
      </c>
      <c r="AQ104" s="143">
        <v>0</v>
      </c>
      <c r="AR104" s="143"/>
      <c r="AS104" s="144"/>
      <c r="AT104" s="144">
        <v>0</v>
      </c>
      <c r="AU104" s="144"/>
      <c r="AV104" s="143">
        <f t="shared" ref="AV104:AV110" si="55">SUM(AW104:AY104)</f>
        <v>0</v>
      </c>
      <c r="AW104" s="143"/>
      <c r="AX104" s="143"/>
      <c r="AY104" s="143">
        <f t="shared" ref="AY104:AY110" si="56">SUM(AZ104:BB104)</f>
        <v>0</v>
      </c>
      <c r="AZ104" s="143">
        <v>0</v>
      </c>
      <c r="BA104" s="144">
        <v>0</v>
      </c>
      <c r="BB104" s="144"/>
      <c r="BC104" s="143">
        <v>0</v>
      </c>
      <c r="BD104" s="143"/>
      <c r="BE104" s="143"/>
      <c r="BF104" s="143">
        <v>0</v>
      </c>
      <c r="BG104" s="143">
        <v>0</v>
      </c>
      <c r="BH104" s="148">
        <v>0</v>
      </c>
      <c r="BI104" s="143"/>
      <c r="BJ104" s="148"/>
      <c r="BK104" s="148"/>
      <c r="BL104" s="148"/>
      <c r="BM104" s="148"/>
      <c r="BN104" s="148"/>
      <c r="BO104" s="148"/>
      <c r="BP104" s="148"/>
      <c r="BQ104" s="148"/>
      <c r="BR104" s="148"/>
      <c r="BS104" s="148"/>
      <c r="BT104" s="148"/>
      <c r="BU104" s="148"/>
      <c r="BV104" s="148"/>
      <c r="BW104" s="148"/>
      <c r="BX104" s="231"/>
      <c r="BY104" s="424"/>
    </row>
    <row r="105" spans="1:77" ht="36.75" customHeight="1" outlineLevel="1">
      <c r="A105" s="420">
        <v>3</v>
      </c>
      <c r="B105" s="421" t="s">
        <v>2577</v>
      </c>
      <c r="C105" s="428" t="s">
        <v>2350</v>
      </c>
      <c r="D105" s="420" t="s">
        <v>2536</v>
      </c>
      <c r="E105" s="420" t="s">
        <v>49</v>
      </c>
      <c r="F105" s="431" t="s">
        <v>48</v>
      </c>
      <c r="G105" s="147">
        <v>7919922</v>
      </c>
      <c r="H105" s="432" t="s">
        <v>2556</v>
      </c>
      <c r="I105" s="420" t="s">
        <v>2502</v>
      </c>
      <c r="J105" s="420" t="s">
        <v>2503</v>
      </c>
      <c r="K105" s="422"/>
      <c r="L105" s="420" t="s">
        <v>2578</v>
      </c>
      <c r="M105" s="144">
        <v>7335</v>
      </c>
      <c r="N105" s="422"/>
      <c r="O105" s="422"/>
      <c r="P105" s="144">
        <v>7335</v>
      </c>
      <c r="Q105" s="420"/>
      <c r="R105" s="432" t="s">
        <v>2556</v>
      </c>
      <c r="S105" s="422" t="s">
        <v>2534</v>
      </c>
      <c r="T105" s="421" t="s">
        <v>2536</v>
      </c>
      <c r="U105" s="143">
        <f t="shared" si="50"/>
        <v>0</v>
      </c>
      <c r="V105" s="420"/>
      <c r="W105" s="420"/>
      <c r="X105" s="420"/>
      <c r="Y105" s="143">
        <f t="shared" si="52"/>
        <v>0</v>
      </c>
      <c r="Z105" s="143"/>
      <c r="AA105" s="143"/>
      <c r="AB105" s="143">
        <f t="shared" si="51"/>
        <v>0</v>
      </c>
      <c r="AC105" s="143">
        <v>0</v>
      </c>
      <c r="AD105" s="143"/>
      <c r="AE105" s="143"/>
      <c r="AF105" s="143">
        <f t="shared" si="53"/>
        <v>0</v>
      </c>
      <c r="AG105" s="143"/>
      <c r="AH105" s="143"/>
      <c r="AI105" s="143">
        <f t="shared" si="54"/>
        <v>0</v>
      </c>
      <c r="AJ105" s="143">
        <v>0</v>
      </c>
      <c r="AK105" s="143"/>
      <c r="AL105" s="143"/>
      <c r="AM105" s="143">
        <v>0</v>
      </c>
      <c r="AN105" s="143"/>
      <c r="AO105" s="143"/>
      <c r="AP105" s="143">
        <v>0</v>
      </c>
      <c r="AQ105" s="143">
        <v>0</v>
      </c>
      <c r="AR105" s="143">
        <v>0</v>
      </c>
      <c r="AS105" s="143"/>
      <c r="AT105" s="143"/>
      <c r="AU105" s="143"/>
      <c r="AV105" s="143">
        <f t="shared" si="55"/>
        <v>0</v>
      </c>
      <c r="AW105" s="143"/>
      <c r="AX105" s="143"/>
      <c r="AY105" s="143">
        <f t="shared" si="56"/>
        <v>0</v>
      </c>
      <c r="AZ105" s="143">
        <v>0</v>
      </c>
      <c r="BA105" s="143"/>
      <c r="BB105" s="143"/>
      <c r="BC105" s="143">
        <v>0</v>
      </c>
      <c r="BD105" s="143"/>
      <c r="BE105" s="143"/>
      <c r="BF105" s="143">
        <v>0</v>
      </c>
      <c r="BG105" s="143">
        <v>0</v>
      </c>
      <c r="BH105" s="143">
        <v>0</v>
      </c>
      <c r="BI105" s="143"/>
      <c r="BJ105" s="143"/>
      <c r="BK105" s="143"/>
      <c r="BL105" s="143"/>
      <c r="BM105" s="143"/>
      <c r="BN105" s="143"/>
      <c r="BO105" s="143"/>
      <c r="BP105" s="143"/>
      <c r="BQ105" s="143"/>
      <c r="BR105" s="143"/>
      <c r="BS105" s="143"/>
      <c r="BT105" s="143"/>
      <c r="BU105" s="143"/>
      <c r="BV105" s="143"/>
      <c r="BW105" s="143"/>
      <c r="BX105" s="230"/>
      <c r="BY105" s="433"/>
    </row>
    <row r="106" spans="1:77" ht="38.25" customHeight="1" outlineLevel="1">
      <c r="A106" s="420">
        <v>4</v>
      </c>
      <c r="B106" s="421" t="s">
        <v>2579</v>
      </c>
      <c r="C106" s="428" t="s">
        <v>2350</v>
      </c>
      <c r="D106" s="420" t="s">
        <v>2536</v>
      </c>
      <c r="E106" s="420" t="s">
        <v>49</v>
      </c>
      <c r="F106" s="431" t="s">
        <v>48</v>
      </c>
      <c r="G106" s="147"/>
      <c r="H106" s="432" t="s">
        <v>2556</v>
      </c>
      <c r="I106" s="420" t="s">
        <v>2502</v>
      </c>
      <c r="J106" s="420" t="s">
        <v>2503</v>
      </c>
      <c r="K106" s="422"/>
      <c r="L106" s="420" t="s">
        <v>2580</v>
      </c>
      <c r="M106" s="145">
        <v>8303</v>
      </c>
      <c r="N106" s="422"/>
      <c r="O106" s="422"/>
      <c r="P106" s="144">
        <v>0</v>
      </c>
      <c r="Q106" s="420"/>
      <c r="R106" s="432" t="s">
        <v>2556</v>
      </c>
      <c r="S106" s="422" t="s">
        <v>2534</v>
      </c>
      <c r="T106" s="421" t="s">
        <v>2536</v>
      </c>
      <c r="U106" s="143">
        <f t="shared" si="50"/>
        <v>0</v>
      </c>
      <c r="V106" s="420"/>
      <c r="W106" s="420"/>
      <c r="X106" s="420"/>
      <c r="Y106" s="143">
        <f t="shared" si="52"/>
        <v>0</v>
      </c>
      <c r="Z106" s="143"/>
      <c r="AA106" s="143"/>
      <c r="AB106" s="143">
        <f t="shared" si="51"/>
        <v>0</v>
      </c>
      <c r="AC106" s="143">
        <v>0</v>
      </c>
      <c r="AD106" s="143"/>
      <c r="AE106" s="143"/>
      <c r="AF106" s="143">
        <f t="shared" si="53"/>
        <v>0</v>
      </c>
      <c r="AG106" s="143"/>
      <c r="AH106" s="143"/>
      <c r="AI106" s="143">
        <f t="shared" si="54"/>
        <v>0</v>
      </c>
      <c r="AJ106" s="143">
        <v>0</v>
      </c>
      <c r="AK106" s="143"/>
      <c r="AL106" s="143"/>
      <c r="AM106" s="143">
        <v>0</v>
      </c>
      <c r="AN106" s="143"/>
      <c r="AO106" s="143"/>
      <c r="AP106" s="143">
        <v>0</v>
      </c>
      <c r="AQ106" s="143">
        <v>0</v>
      </c>
      <c r="AR106" s="143">
        <v>0</v>
      </c>
      <c r="AS106" s="143"/>
      <c r="AT106" s="143"/>
      <c r="AU106" s="143"/>
      <c r="AV106" s="143">
        <f t="shared" si="55"/>
        <v>0</v>
      </c>
      <c r="AW106" s="143"/>
      <c r="AX106" s="143"/>
      <c r="AY106" s="143">
        <f t="shared" si="56"/>
        <v>0</v>
      </c>
      <c r="AZ106" s="143">
        <v>0</v>
      </c>
      <c r="BA106" s="143"/>
      <c r="BB106" s="143"/>
      <c r="BC106" s="143">
        <v>0</v>
      </c>
      <c r="BD106" s="143"/>
      <c r="BE106" s="143"/>
      <c r="BF106" s="143">
        <v>0</v>
      </c>
      <c r="BG106" s="143">
        <v>0</v>
      </c>
      <c r="BH106" s="143">
        <v>0</v>
      </c>
      <c r="BI106" s="143"/>
      <c r="BJ106" s="143"/>
      <c r="BK106" s="143"/>
      <c r="BL106" s="143"/>
      <c r="BM106" s="143"/>
      <c r="BN106" s="143"/>
      <c r="BO106" s="143"/>
      <c r="BP106" s="143"/>
      <c r="BQ106" s="143"/>
      <c r="BR106" s="143"/>
      <c r="BS106" s="143"/>
      <c r="BT106" s="143"/>
      <c r="BU106" s="143"/>
      <c r="BV106" s="143"/>
      <c r="BW106" s="143"/>
      <c r="BX106" s="230"/>
      <c r="BY106" s="433"/>
    </row>
    <row r="107" spans="1:77" ht="39" customHeight="1" outlineLevel="1">
      <c r="A107" s="420">
        <v>5</v>
      </c>
      <c r="B107" s="435" t="s">
        <v>2581</v>
      </c>
      <c r="C107" s="428" t="s">
        <v>2350</v>
      </c>
      <c r="D107" s="420" t="s">
        <v>2536</v>
      </c>
      <c r="E107" s="420" t="s">
        <v>49</v>
      </c>
      <c r="F107" s="431" t="s">
        <v>2500</v>
      </c>
      <c r="G107" s="142">
        <v>7918930</v>
      </c>
      <c r="H107" s="420" t="s">
        <v>2556</v>
      </c>
      <c r="I107" s="420" t="s">
        <v>2502</v>
      </c>
      <c r="J107" s="420" t="s">
        <v>2503</v>
      </c>
      <c r="K107" s="422"/>
      <c r="L107" s="436" t="s">
        <v>2582</v>
      </c>
      <c r="M107" s="146">
        <v>17553</v>
      </c>
      <c r="N107" s="422"/>
      <c r="O107" s="422"/>
      <c r="P107" s="146">
        <v>17553</v>
      </c>
      <c r="Q107" s="420"/>
      <c r="R107" s="420" t="s">
        <v>2556</v>
      </c>
      <c r="S107" s="422" t="s">
        <v>2534</v>
      </c>
      <c r="T107" s="420" t="s">
        <v>2554</v>
      </c>
      <c r="U107" s="143">
        <f t="shared" si="50"/>
        <v>0</v>
      </c>
      <c r="V107" s="420"/>
      <c r="W107" s="420"/>
      <c r="X107" s="420"/>
      <c r="Y107" s="143">
        <f t="shared" si="52"/>
        <v>0</v>
      </c>
      <c r="Z107" s="143"/>
      <c r="AA107" s="143"/>
      <c r="AB107" s="143">
        <f t="shared" si="51"/>
        <v>0</v>
      </c>
      <c r="AC107" s="143">
        <v>0</v>
      </c>
      <c r="AD107" s="143">
        <v>0</v>
      </c>
      <c r="AE107" s="143"/>
      <c r="AF107" s="143">
        <f t="shared" si="53"/>
        <v>0</v>
      </c>
      <c r="AG107" s="143"/>
      <c r="AH107" s="143"/>
      <c r="AI107" s="143">
        <f t="shared" si="54"/>
        <v>0</v>
      </c>
      <c r="AJ107" s="143">
        <v>0</v>
      </c>
      <c r="AK107" s="143">
        <v>0</v>
      </c>
      <c r="AL107" s="143"/>
      <c r="AM107" s="143">
        <v>0</v>
      </c>
      <c r="AN107" s="143"/>
      <c r="AO107" s="143"/>
      <c r="AP107" s="143">
        <v>0</v>
      </c>
      <c r="AQ107" s="143">
        <v>0</v>
      </c>
      <c r="AR107" s="143"/>
      <c r="AS107" s="143"/>
      <c r="AT107" s="143">
        <v>0</v>
      </c>
      <c r="AU107" s="143"/>
      <c r="AV107" s="143">
        <f t="shared" si="55"/>
        <v>0</v>
      </c>
      <c r="AW107" s="143"/>
      <c r="AX107" s="143"/>
      <c r="AY107" s="143">
        <f t="shared" si="56"/>
        <v>0</v>
      </c>
      <c r="AZ107" s="143">
        <v>0</v>
      </c>
      <c r="BA107" s="143">
        <v>0</v>
      </c>
      <c r="BB107" s="143"/>
      <c r="BC107" s="143">
        <v>0</v>
      </c>
      <c r="BD107" s="143"/>
      <c r="BE107" s="143"/>
      <c r="BF107" s="143">
        <v>0</v>
      </c>
      <c r="BG107" s="143">
        <v>0</v>
      </c>
      <c r="BH107" s="143"/>
      <c r="BI107" s="143"/>
      <c r="BJ107" s="143"/>
      <c r="BK107" s="143"/>
      <c r="BL107" s="143"/>
      <c r="BM107" s="143"/>
      <c r="BN107" s="143"/>
      <c r="BO107" s="143"/>
      <c r="BP107" s="143"/>
      <c r="BQ107" s="143"/>
      <c r="BR107" s="143"/>
      <c r="BS107" s="143"/>
      <c r="BT107" s="143"/>
      <c r="BU107" s="143"/>
      <c r="BV107" s="143"/>
      <c r="BW107" s="143"/>
      <c r="BX107" s="230"/>
      <c r="BY107" s="433"/>
    </row>
    <row r="108" spans="1:77" ht="38.25" customHeight="1" outlineLevel="1">
      <c r="A108" s="420">
        <v>6</v>
      </c>
      <c r="B108" s="435" t="s">
        <v>2583</v>
      </c>
      <c r="C108" s="428" t="s">
        <v>2350</v>
      </c>
      <c r="D108" s="420" t="s">
        <v>2536</v>
      </c>
      <c r="E108" s="420" t="s">
        <v>49</v>
      </c>
      <c r="F108" s="431" t="s">
        <v>2500</v>
      </c>
      <c r="G108" s="142">
        <v>7918929</v>
      </c>
      <c r="H108" s="420" t="s">
        <v>2556</v>
      </c>
      <c r="I108" s="420" t="s">
        <v>2502</v>
      </c>
      <c r="J108" s="420" t="s">
        <v>2503</v>
      </c>
      <c r="K108" s="422"/>
      <c r="L108" s="436" t="s">
        <v>2584</v>
      </c>
      <c r="M108" s="146">
        <v>18390</v>
      </c>
      <c r="N108" s="422"/>
      <c r="O108" s="422"/>
      <c r="P108" s="146">
        <v>18390</v>
      </c>
      <c r="Q108" s="420"/>
      <c r="R108" s="420" t="s">
        <v>2556</v>
      </c>
      <c r="S108" s="422" t="s">
        <v>2534</v>
      </c>
      <c r="T108" s="420" t="s">
        <v>2554</v>
      </c>
      <c r="U108" s="143">
        <f t="shared" si="50"/>
        <v>0</v>
      </c>
      <c r="V108" s="420"/>
      <c r="W108" s="420"/>
      <c r="X108" s="420"/>
      <c r="Y108" s="143">
        <f t="shared" si="52"/>
        <v>0</v>
      </c>
      <c r="Z108" s="143"/>
      <c r="AA108" s="143"/>
      <c r="AB108" s="143">
        <f t="shared" si="51"/>
        <v>0</v>
      </c>
      <c r="AC108" s="143">
        <v>0</v>
      </c>
      <c r="AD108" s="143">
        <v>0</v>
      </c>
      <c r="AE108" s="143"/>
      <c r="AF108" s="143">
        <f t="shared" si="53"/>
        <v>0</v>
      </c>
      <c r="AG108" s="143"/>
      <c r="AH108" s="143"/>
      <c r="AI108" s="143">
        <f t="shared" si="54"/>
        <v>0</v>
      </c>
      <c r="AJ108" s="143">
        <v>0</v>
      </c>
      <c r="AK108" s="143">
        <v>0</v>
      </c>
      <c r="AL108" s="143"/>
      <c r="AM108" s="143">
        <v>0</v>
      </c>
      <c r="AN108" s="143"/>
      <c r="AO108" s="143"/>
      <c r="AP108" s="143">
        <v>0</v>
      </c>
      <c r="AQ108" s="143">
        <v>0</v>
      </c>
      <c r="AR108" s="143"/>
      <c r="AS108" s="143"/>
      <c r="AT108" s="143">
        <v>0</v>
      </c>
      <c r="AU108" s="143"/>
      <c r="AV108" s="143">
        <f t="shared" si="55"/>
        <v>0</v>
      </c>
      <c r="AW108" s="143"/>
      <c r="AX108" s="143"/>
      <c r="AY108" s="143">
        <f t="shared" si="56"/>
        <v>0</v>
      </c>
      <c r="AZ108" s="143">
        <v>0</v>
      </c>
      <c r="BA108" s="143">
        <v>0</v>
      </c>
      <c r="BB108" s="143"/>
      <c r="BC108" s="143">
        <v>0</v>
      </c>
      <c r="BD108" s="143"/>
      <c r="BE108" s="143"/>
      <c r="BF108" s="143">
        <v>0</v>
      </c>
      <c r="BG108" s="143">
        <v>0</v>
      </c>
      <c r="BH108" s="143"/>
      <c r="BI108" s="143"/>
      <c r="BJ108" s="143"/>
      <c r="BK108" s="143"/>
      <c r="BL108" s="143"/>
      <c r="BM108" s="143"/>
      <c r="BN108" s="143"/>
      <c r="BO108" s="143"/>
      <c r="BP108" s="143"/>
      <c r="BQ108" s="143"/>
      <c r="BR108" s="143"/>
      <c r="BS108" s="143"/>
      <c r="BT108" s="143"/>
      <c r="BU108" s="143"/>
      <c r="BV108" s="143"/>
      <c r="BW108" s="143"/>
      <c r="BX108" s="230"/>
      <c r="BY108" s="433"/>
    </row>
    <row r="109" spans="1:77" ht="34.5" customHeight="1" outlineLevel="1">
      <c r="A109" s="420">
        <v>7</v>
      </c>
      <c r="B109" s="421" t="s">
        <v>2585</v>
      </c>
      <c r="C109" s="420" t="s">
        <v>2586</v>
      </c>
      <c r="D109" s="420" t="s">
        <v>2536</v>
      </c>
      <c r="E109" s="422" t="s">
        <v>49</v>
      </c>
      <c r="F109" s="422" t="s">
        <v>125</v>
      </c>
      <c r="G109" s="151"/>
      <c r="H109" s="437" t="s">
        <v>2574</v>
      </c>
      <c r="I109" s="420" t="s">
        <v>2502</v>
      </c>
      <c r="J109" s="420"/>
      <c r="K109" s="424"/>
      <c r="L109" s="420" t="s">
        <v>2587</v>
      </c>
      <c r="M109" s="453">
        <v>600</v>
      </c>
      <c r="N109" s="424"/>
      <c r="O109" s="424"/>
      <c r="P109" s="453">
        <v>600</v>
      </c>
      <c r="Q109" s="420"/>
      <c r="R109" s="437" t="s">
        <v>2574</v>
      </c>
      <c r="S109" s="420" t="s">
        <v>2534</v>
      </c>
      <c r="T109" s="421" t="s">
        <v>2536</v>
      </c>
      <c r="U109" s="143">
        <f t="shared" si="50"/>
        <v>0</v>
      </c>
      <c r="V109" s="421"/>
      <c r="W109" s="421"/>
      <c r="X109" s="421"/>
      <c r="Y109" s="143">
        <f t="shared" si="52"/>
        <v>600</v>
      </c>
      <c r="Z109" s="143"/>
      <c r="AA109" s="143"/>
      <c r="AB109" s="143">
        <f t="shared" si="51"/>
        <v>600</v>
      </c>
      <c r="AC109" s="143">
        <v>0</v>
      </c>
      <c r="AD109" s="144">
        <v>600</v>
      </c>
      <c r="AE109" s="144"/>
      <c r="AF109" s="143">
        <f t="shared" si="53"/>
        <v>0</v>
      </c>
      <c r="AG109" s="143"/>
      <c r="AH109" s="143"/>
      <c r="AI109" s="143">
        <f t="shared" si="54"/>
        <v>0</v>
      </c>
      <c r="AJ109" s="143">
        <v>0</v>
      </c>
      <c r="AK109" s="144">
        <v>0</v>
      </c>
      <c r="AL109" s="144"/>
      <c r="AM109" s="143">
        <v>0</v>
      </c>
      <c r="AN109" s="143"/>
      <c r="AO109" s="143"/>
      <c r="AP109" s="143">
        <v>0</v>
      </c>
      <c r="AQ109" s="143">
        <v>0</v>
      </c>
      <c r="AR109" s="143"/>
      <c r="AS109" s="144"/>
      <c r="AT109" s="144">
        <v>0</v>
      </c>
      <c r="AU109" s="144"/>
      <c r="AV109" s="143">
        <f t="shared" si="55"/>
        <v>0</v>
      </c>
      <c r="AW109" s="143"/>
      <c r="AX109" s="143"/>
      <c r="AY109" s="143">
        <f t="shared" si="56"/>
        <v>0</v>
      </c>
      <c r="AZ109" s="143">
        <v>0</v>
      </c>
      <c r="BA109" s="144">
        <v>0</v>
      </c>
      <c r="BB109" s="144"/>
      <c r="BC109" s="143">
        <v>0</v>
      </c>
      <c r="BD109" s="143"/>
      <c r="BE109" s="143"/>
      <c r="BF109" s="143">
        <v>0</v>
      </c>
      <c r="BG109" s="143">
        <v>0</v>
      </c>
      <c r="BH109" s="148"/>
      <c r="BI109" s="148"/>
      <c r="BJ109" s="148"/>
      <c r="BK109" s="148"/>
      <c r="BL109" s="148"/>
      <c r="BM109" s="148"/>
      <c r="BN109" s="148"/>
      <c r="BO109" s="148"/>
      <c r="BP109" s="148"/>
      <c r="BQ109" s="148"/>
      <c r="BR109" s="148"/>
      <c r="BS109" s="148"/>
      <c r="BT109" s="148"/>
      <c r="BU109" s="148"/>
      <c r="BV109" s="148"/>
      <c r="BW109" s="148"/>
      <c r="BX109" s="231"/>
      <c r="BY109" s="424"/>
    </row>
    <row r="110" spans="1:77" ht="38.25" customHeight="1" outlineLevel="1">
      <c r="A110" s="420">
        <v>8</v>
      </c>
      <c r="B110" s="421" t="s">
        <v>2588</v>
      </c>
      <c r="C110" s="420" t="s">
        <v>2589</v>
      </c>
      <c r="D110" s="420" t="s">
        <v>2536</v>
      </c>
      <c r="E110" s="422" t="s">
        <v>49</v>
      </c>
      <c r="F110" s="422" t="s">
        <v>125</v>
      </c>
      <c r="G110" s="151"/>
      <c r="H110" s="437" t="s">
        <v>2564</v>
      </c>
      <c r="I110" s="420" t="s">
        <v>2502</v>
      </c>
      <c r="J110" s="420"/>
      <c r="K110" s="424"/>
      <c r="L110" s="420" t="s">
        <v>2590</v>
      </c>
      <c r="M110" s="453">
        <v>671</v>
      </c>
      <c r="N110" s="424"/>
      <c r="O110" s="424"/>
      <c r="P110" s="421">
        <v>600</v>
      </c>
      <c r="Q110" s="420"/>
      <c r="R110" s="437" t="s">
        <v>2564</v>
      </c>
      <c r="S110" s="420" t="s">
        <v>2534</v>
      </c>
      <c r="T110" s="421" t="s">
        <v>2536</v>
      </c>
      <c r="U110" s="143">
        <f t="shared" si="50"/>
        <v>0</v>
      </c>
      <c r="V110" s="421"/>
      <c r="W110" s="421"/>
      <c r="X110" s="421"/>
      <c r="Y110" s="143">
        <f t="shared" si="52"/>
        <v>600</v>
      </c>
      <c r="Z110" s="143"/>
      <c r="AA110" s="143"/>
      <c r="AB110" s="143">
        <f t="shared" si="51"/>
        <v>600</v>
      </c>
      <c r="AC110" s="143">
        <v>0</v>
      </c>
      <c r="AD110" s="144">
        <v>600</v>
      </c>
      <c r="AE110" s="144"/>
      <c r="AF110" s="143">
        <f t="shared" si="53"/>
        <v>0</v>
      </c>
      <c r="AG110" s="143"/>
      <c r="AH110" s="143"/>
      <c r="AI110" s="143">
        <f t="shared" si="54"/>
        <v>0</v>
      </c>
      <c r="AJ110" s="143">
        <v>0</v>
      </c>
      <c r="AK110" s="144">
        <v>0</v>
      </c>
      <c r="AL110" s="144"/>
      <c r="AM110" s="143">
        <v>0</v>
      </c>
      <c r="AN110" s="143"/>
      <c r="AO110" s="143"/>
      <c r="AP110" s="143">
        <v>0</v>
      </c>
      <c r="AQ110" s="143">
        <v>0</v>
      </c>
      <c r="AR110" s="143"/>
      <c r="AS110" s="144"/>
      <c r="AT110" s="144">
        <v>0</v>
      </c>
      <c r="AU110" s="144"/>
      <c r="AV110" s="143">
        <f t="shared" si="55"/>
        <v>0</v>
      </c>
      <c r="AW110" s="143"/>
      <c r="AX110" s="143"/>
      <c r="AY110" s="143">
        <f t="shared" si="56"/>
        <v>0</v>
      </c>
      <c r="AZ110" s="143">
        <v>0</v>
      </c>
      <c r="BA110" s="144">
        <v>0</v>
      </c>
      <c r="BB110" s="144"/>
      <c r="BC110" s="143">
        <v>0</v>
      </c>
      <c r="BD110" s="143"/>
      <c r="BE110" s="143"/>
      <c r="BF110" s="143">
        <v>0</v>
      </c>
      <c r="BG110" s="143">
        <v>0</v>
      </c>
      <c r="BH110" s="148"/>
      <c r="BI110" s="148"/>
      <c r="BJ110" s="148"/>
      <c r="BK110" s="148"/>
      <c r="BL110" s="148"/>
      <c r="BM110" s="148"/>
      <c r="BN110" s="148"/>
      <c r="BO110" s="148"/>
      <c r="BP110" s="148"/>
      <c r="BQ110" s="148"/>
      <c r="BR110" s="148"/>
      <c r="BS110" s="148"/>
      <c r="BT110" s="148"/>
      <c r="BU110" s="148"/>
      <c r="BV110" s="148"/>
      <c r="BW110" s="148"/>
      <c r="BX110" s="231"/>
      <c r="BY110" s="424"/>
    </row>
    <row r="111" spans="1:77" s="417" customFormat="1" ht="28.5" customHeight="1">
      <c r="A111" s="418" t="s">
        <v>14</v>
      </c>
      <c r="B111" s="418" t="s">
        <v>2591</v>
      </c>
      <c r="C111" s="418"/>
      <c r="D111" s="418"/>
      <c r="E111" s="418"/>
      <c r="F111" s="418"/>
      <c r="G111" s="418"/>
      <c r="H111" s="419"/>
      <c r="I111" s="418"/>
      <c r="J111" s="419"/>
      <c r="K111" s="419"/>
      <c r="L111" s="419"/>
      <c r="M111" s="419">
        <f>M112+M115+M125+M148</f>
        <v>3488984.2409999999</v>
      </c>
      <c r="N111" s="419">
        <f t="shared" ref="N111:BY111" si="57">N112+N115+N125+N148</f>
        <v>0</v>
      </c>
      <c r="O111" s="419">
        <f t="shared" si="57"/>
        <v>48941</v>
      </c>
      <c r="P111" s="419">
        <f t="shared" si="57"/>
        <v>3236050.52</v>
      </c>
      <c r="Q111" s="419">
        <f t="shared" si="57"/>
        <v>0</v>
      </c>
      <c r="R111" s="419">
        <f t="shared" si="57"/>
        <v>0</v>
      </c>
      <c r="S111" s="419">
        <f t="shared" si="57"/>
        <v>0</v>
      </c>
      <c r="T111" s="419">
        <f t="shared" si="57"/>
        <v>0</v>
      </c>
      <c r="U111" s="419">
        <f t="shared" si="57"/>
        <v>134734.08220999999</v>
      </c>
      <c r="V111" s="419">
        <f t="shared" si="57"/>
        <v>0</v>
      </c>
      <c r="W111" s="419">
        <f t="shared" si="57"/>
        <v>93412</v>
      </c>
      <c r="X111" s="419">
        <f t="shared" si="57"/>
        <v>41322.08221</v>
      </c>
      <c r="Y111" s="419">
        <f t="shared" si="57"/>
        <v>512269.65400000004</v>
      </c>
      <c r="Z111" s="419">
        <f t="shared" si="57"/>
        <v>0</v>
      </c>
      <c r="AA111" s="419">
        <f t="shared" si="57"/>
        <v>0</v>
      </c>
      <c r="AB111" s="419">
        <f t="shared" si="57"/>
        <v>512269.65400000004</v>
      </c>
      <c r="AC111" s="419">
        <f t="shared" si="57"/>
        <v>145703</v>
      </c>
      <c r="AD111" s="419">
        <f t="shared" si="57"/>
        <v>347486.30499999999</v>
      </c>
      <c r="AE111" s="419">
        <f t="shared" si="57"/>
        <v>19080.349000000002</v>
      </c>
      <c r="AF111" s="419">
        <f t="shared" si="57"/>
        <v>217601.06</v>
      </c>
      <c r="AG111" s="419">
        <f t="shared" si="57"/>
        <v>0</v>
      </c>
      <c r="AH111" s="419">
        <f t="shared" si="57"/>
        <v>0</v>
      </c>
      <c r="AI111" s="419">
        <f t="shared" si="57"/>
        <v>217601.06</v>
      </c>
      <c r="AJ111" s="419">
        <f t="shared" si="57"/>
        <v>109884.23</v>
      </c>
      <c r="AK111" s="419">
        <f t="shared" si="57"/>
        <v>86567.278000000006</v>
      </c>
      <c r="AL111" s="419">
        <f t="shared" si="57"/>
        <v>21149.552</v>
      </c>
      <c r="AM111" s="419">
        <f t="shared" si="57"/>
        <v>187012.46126700001</v>
      </c>
      <c r="AN111" s="419">
        <f t="shared" si="57"/>
        <v>0</v>
      </c>
      <c r="AO111" s="419">
        <f t="shared" si="57"/>
        <v>4000</v>
      </c>
      <c r="AP111" s="419">
        <f t="shared" si="57"/>
        <v>183012.46126700001</v>
      </c>
      <c r="AQ111" s="419">
        <f t="shared" si="57"/>
        <v>107128.393251</v>
      </c>
      <c r="AR111" s="419">
        <f t="shared" si="57"/>
        <v>107128.393251</v>
      </c>
      <c r="AS111" s="419">
        <f t="shared" si="57"/>
        <v>0</v>
      </c>
      <c r="AT111" s="419">
        <f t="shared" si="57"/>
        <v>58759.476938</v>
      </c>
      <c r="AU111" s="419">
        <f t="shared" si="57"/>
        <v>17124.591078000001</v>
      </c>
      <c r="AV111" s="419">
        <f t="shared" si="57"/>
        <v>102804</v>
      </c>
      <c r="AW111" s="419">
        <f t="shared" si="57"/>
        <v>0</v>
      </c>
      <c r="AX111" s="419">
        <f t="shared" si="57"/>
        <v>0</v>
      </c>
      <c r="AY111" s="419">
        <f t="shared" si="57"/>
        <v>102804</v>
      </c>
      <c r="AZ111" s="419">
        <f t="shared" si="57"/>
        <v>35585</v>
      </c>
      <c r="BA111" s="419">
        <f t="shared" si="57"/>
        <v>65319</v>
      </c>
      <c r="BB111" s="419">
        <f t="shared" si="57"/>
        <v>1900</v>
      </c>
      <c r="BC111" s="419">
        <f t="shared" si="57"/>
        <v>64027.359912000007</v>
      </c>
      <c r="BD111" s="419">
        <f t="shared" si="57"/>
        <v>0</v>
      </c>
      <c r="BE111" s="419">
        <f t="shared" si="57"/>
        <v>0</v>
      </c>
      <c r="BF111" s="419">
        <f t="shared" si="57"/>
        <v>64027.359912000007</v>
      </c>
      <c r="BG111" s="419">
        <f t="shared" si="57"/>
        <v>35577.982900000003</v>
      </c>
      <c r="BH111" s="419">
        <f t="shared" si="57"/>
        <v>35577.982900000003</v>
      </c>
      <c r="BI111" s="419">
        <f t="shared" si="57"/>
        <v>0</v>
      </c>
      <c r="BJ111" s="419">
        <f t="shared" si="57"/>
        <v>27818.736478999999</v>
      </c>
      <c r="BK111" s="419">
        <f t="shared" si="57"/>
        <v>1827.665</v>
      </c>
      <c r="BL111" s="419">
        <f t="shared" si="57"/>
        <v>7751.3789360000001</v>
      </c>
      <c r="BM111" s="419">
        <f t="shared" si="57"/>
        <v>0</v>
      </c>
      <c r="BN111" s="419">
        <f t="shared" si="57"/>
        <v>312.90480000000002</v>
      </c>
      <c r="BO111" s="419">
        <f t="shared" si="57"/>
        <v>7438.4741359999998</v>
      </c>
      <c r="BP111" s="419">
        <f t="shared" si="57"/>
        <v>6820.555985</v>
      </c>
      <c r="BQ111" s="419">
        <f t="shared" si="57"/>
        <v>0</v>
      </c>
      <c r="BR111" s="419">
        <f t="shared" si="57"/>
        <v>312.90480000000002</v>
      </c>
      <c r="BS111" s="419">
        <f t="shared" si="57"/>
        <v>6507.6511849999997</v>
      </c>
      <c r="BT111" s="419">
        <f t="shared" si="57"/>
        <v>748622</v>
      </c>
      <c r="BU111" s="419">
        <f t="shared" si="57"/>
        <v>0</v>
      </c>
      <c r="BV111" s="419">
        <f t="shared" si="57"/>
        <v>748622</v>
      </c>
      <c r="BW111" s="419">
        <f t="shared" si="57"/>
        <v>0</v>
      </c>
      <c r="BX111" s="419">
        <f t="shared" si="57"/>
        <v>0</v>
      </c>
      <c r="BY111" s="419">
        <f t="shared" si="57"/>
        <v>0</v>
      </c>
    </row>
    <row r="112" spans="1:77" s="417" customFormat="1" ht="33.75" customHeight="1" outlineLevel="1">
      <c r="A112" s="418" t="s">
        <v>44</v>
      </c>
      <c r="B112" s="456" t="s">
        <v>46</v>
      </c>
      <c r="C112" s="418"/>
      <c r="D112" s="418"/>
      <c r="E112" s="418"/>
      <c r="F112" s="418"/>
      <c r="G112" s="418"/>
      <c r="H112" s="419"/>
      <c r="I112" s="418"/>
      <c r="J112" s="419"/>
      <c r="K112" s="419"/>
      <c r="L112" s="419"/>
      <c r="M112" s="419">
        <f>M113+M114</f>
        <v>102010</v>
      </c>
      <c r="N112" s="419">
        <f t="shared" ref="N112:BY112" si="58">N113+N114</f>
        <v>0</v>
      </c>
      <c r="O112" s="419">
        <f t="shared" si="58"/>
        <v>0</v>
      </c>
      <c r="P112" s="419">
        <f t="shared" si="58"/>
        <v>102010</v>
      </c>
      <c r="Q112" s="419"/>
      <c r="R112" s="419"/>
      <c r="S112" s="419"/>
      <c r="T112" s="419"/>
      <c r="U112" s="419">
        <f t="shared" si="58"/>
        <v>75404</v>
      </c>
      <c r="V112" s="419">
        <f t="shared" si="58"/>
        <v>0</v>
      </c>
      <c r="W112" s="419">
        <f t="shared" si="58"/>
        <v>75404</v>
      </c>
      <c r="X112" s="419">
        <f t="shared" si="58"/>
        <v>0</v>
      </c>
      <c r="Y112" s="419">
        <f t="shared" si="58"/>
        <v>1728.3050000000001</v>
      </c>
      <c r="Z112" s="419">
        <f t="shared" si="58"/>
        <v>0</v>
      </c>
      <c r="AA112" s="419">
        <f t="shared" si="58"/>
        <v>0</v>
      </c>
      <c r="AB112" s="419">
        <f t="shared" si="58"/>
        <v>1728.3050000000001</v>
      </c>
      <c r="AC112" s="419">
        <f t="shared" si="58"/>
        <v>1565</v>
      </c>
      <c r="AD112" s="419">
        <f t="shared" si="58"/>
        <v>163.30500000000001</v>
      </c>
      <c r="AE112" s="419">
        <f t="shared" si="58"/>
        <v>0</v>
      </c>
      <c r="AF112" s="419">
        <f t="shared" si="58"/>
        <v>163.30500000000001</v>
      </c>
      <c r="AG112" s="419">
        <f t="shared" si="58"/>
        <v>0</v>
      </c>
      <c r="AH112" s="419">
        <f t="shared" si="58"/>
        <v>0</v>
      </c>
      <c r="AI112" s="419">
        <f t="shared" si="58"/>
        <v>163.30500000000001</v>
      </c>
      <c r="AJ112" s="419">
        <f t="shared" si="58"/>
        <v>0</v>
      </c>
      <c r="AK112" s="419">
        <f t="shared" si="58"/>
        <v>163.30500000000001</v>
      </c>
      <c r="AL112" s="419">
        <f t="shared" si="58"/>
        <v>0</v>
      </c>
      <c r="AM112" s="419">
        <f t="shared" si="58"/>
        <v>162.99800000000002</v>
      </c>
      <c r="AN112" s="419">
        <f t="shared" si="58"/>
        <v>0</v>
      </c>
      <c r="AO112" s="419">
        <f t="shared" si="58"/>
        <v>0</v>
      </c>
      <c r="AP112" s="419">
        <f t="shared" si="58"/>
        <v>162.99800000000002</v>
      </c>
      <c r="AQ112" s="419">
        <f t="shared" si="58"/>
        <v>0</v>
      </c>
      <c r="AR112" s="419">
        <f t="shared" si="58"/>
        <v>0</v>
      </c>
      <c r="AS112" s="419">
        <f t="shared" si="58"/>
        <v>0</v>
      </c>
      <c r="AT112" s="419">
        <f t="shared" si="58"/>
        <v>162.99800000000002</v>
      </c>
      <c r="AU112" s="419">
        <f t="shared" si="58"/>
        <v>0</v>
      </c>
      <c r="AV112" s="419">
        <f t="shared" si="58"/>
        <v>1565</v>
      </c>
      <c r="AW112" s="419">
        <f t="shared" si="58"/>
        <v>0</v>
      </c>
      <c r="AX112" s="419">
        <f t="shared" si="58"/>
        <v>0</v>
      </c>
      <c r="AY112" s="419">
        <f t="shared" si="58"/>
        <v>1565</v>
      </c>
      <c r="AZ112" s="419">
        <f t="shared" si="58"/>
        <v>1565</v>
      </c>
      <c r="BA112" s="419">
        <f t="shared" si="58"/>
        <v>0</v>
      </c>
      <c r="BB112" s="419">
        <f t="shared" si="58"/>
        <v>0</v>
      </c>
      <c r="BC112" s="419">
        <f t="shared" si="58"/>
        <v>1565</v>
      </c>
      <c r="BD112" s="419">
        <f t="shared" si="58"/>
        <v>0</v>
      </c>
      <c r="BE112" s="419">
        <f t="shared" si="58"/>
        <v>0</v>
      </c>
      <c r="BF112" s="419">
        <f t="shared" si="58"/>
        <v>1565</v>
      </c>
      <c r="BG112" s="419">
        <f t="shared" si="58"/>
        <v>1565</v>
      </c>
      <c r="BH112" s="419">
        <f t="shared" si="58"/>
        <v>1565</v>
      </c>
      <c r="BI112" s="419">
        <f t="shared" si="58"/>
        <v>0</v>
      </c>
      <c r="BJ112" s="419">
        <f t="shared" si="58"/>
        <v>0</v>
      </c>
      <c r="BK112" s="419">
        <f t="shared" si="58"/>
        <v>0</v>
      </c>
      <c r="BL112" s="419">
        <f t="shared" si="58"/>
        <v>0</v>
      </c>
      <c r="BM112" s="419">
        <f t="shared" si="58"/>
        <v>0</v>
      </c>
      <c r="BN112" s="419">
        <f t="shared" si="58"/>
        <v>0</v>
      </c>
      <c r="BO112" s="419">
        <f t="shared" si="58"/>
        <v>0</v>
      </c>
      <c r="BP112" s="419">
        <f t="shared" si="58"/>
        <v>0</v>
      </c>
      <c r="BQ112" s="419">
        <f t="shared" si="58"/>
        <v>0</v>
      </c>
      <c r="BR112" s="419">
        <f t="shared" si="58"/>
        <v>0</v>
      </c>
      <c r="BS112" s="419">
        <f t="shared" si="58"/>
        <v>0</v>
      </c>
      <c r="BT112" s="419">
        <f t="shared" si="58"/>
        <v>1908</v>
      </c>
      <c r="BU112" s="419">
        <f t="shared" si="58"/>
        <v>0</v>
      </c>
      <c r="BV112" s="419">
        <f t="shared" si="58"/>
        <v>1908</v>
      </c>
      <c r="BW112" s="419">
        <f t="shared" si="58"/>
        <v>0</v>
      </c>
      <c r="BX112" s="454"/>
      <c r="BY112" s="419">
        <f t="shared" si="58"/>
        <v>0</v>
      </c>
    </row>
    <row r="113" spans="1:77" ht="56.25" customHeight="1" outlineLevel="1">
      <c r="A113" s="420">
        <v>1</v>
      </c>
      <c r="B113" s="435" t="s">
        <v>2592</v>
      </c>
      <c r="C113" s="428" t="s">
        <v>2350</v>
      </c>
      <c r="D113" s="420" t="s">
        <v>2436</v>
      </c>
      <c r="E113" s="422" t="s">
        <v>49</v>
      </c>
      <c r="F113" s="422" t="s">
        <v>125</v>
      </c>
      <c r="G113" s="142">
        <v>7628009</v>
      </c>
      <c r="H113" s="423" t="s">
        <v>2433</v>
      </c>
      <c r="I113" s="420" t="s">
        <v>2593</v>
      </c>
      <c r="J113" s="422">
        <v>2017</v>
      </c>
      <c r="K113" s="424"/>
      <c r="L113" s="420"/>
      <c r="M113" s="146"/>
      <c r="N113" s="424"/>
      <c r="O113" s="424"/>
      <c r="P113" s="146"/>
      <c r="Q113" s="420" t="s">
        <v>2594</v>
      </c>
      <c r="R113" s="423" t="s">
        <v>2595</v>
      </c>
      <c r="S113" s="422" t="s">
        <v>2591</v>
      </c>
      <c r="T113" s="420" t="s">
        <v>2436</v>
      </c>
      <c r="U113" s="143">
        <f t="shared" ref="U113:U147" si="59">V113+W113+X113</f>
        <v>0</v>
      </c>
      <c r="V113" s="421"/>
      <c r="W113" s="421"/>
      <c r="X113" s="421"/>
      <c r="Y113" s="143">
        <f t="shared" si="42"/>
        <v>7</v>
      </c>
      <c r="Z113" s="143"/>
      <c r="AA113" s="143"/>
      <c r="AB113" s="143">
        <f>AC113+AD113+AE113</f>
        <v>7</v>
      </c>
      <c r="AC113" s="143">
        <v>0</v>
      </c>
      <c r="AD113" s="144">
        <v>7</v>
      </c>
      <c r="AE113" s="144"/>
      <c r="AF113" s="143">
        <f t="shared" si="43"/>
        <v>7</v>
      </c>
      <c r="AG113" s="143"/>
      <c r="AH113" s="143"/>
      <c r="AI113" s="143">
        <f t="shared" si="44"/>
        <v>7</v>
      </c>
      <c r="AJ113" s="143">
        <v>0</v>
      </c>
      <c r="AK113" s="144">
        <v>7</v>
      </c>
      <c r="AL113" s="144"/>
      <c r="AM113" s="143">
        <v>6.6929999999999996</v>
      </c>
      <c r="AN113" s="143"/>
      <c r="AO113" s="143"/>
      <c r="AP113" s="143">
        <v>6.6929999999999996</v>
      </c>
      <c r="AQ113" s="143">
        <v>0</v>
      </c>
      <c r="AR113" s="143"/>
      <c r="AS113" s="144"/>
      <c r="AT113" s="144">
        <v>6.6929999999999996</v>
      </c>
      <c r="AU113" s="144"/>
      <c r="AV113" s="143">
        <f t="shared" si="45"/>
        <v>0</v>
      </c>
      <c r="AW113" s="143"/>
      <c r="AX113" s="143"/>
      <c r="AY113" s="143">
        <f t="shared" si="46"/>
        <v>0</v>
      </c>
      <c r="AZ113" s="143">
        <v>0</v>
      </c>
      <c r="BA113" s="144">
        <v>0</v>
      </c>
      <c r="BB113" s="144"/>
      <c r="BC113" s="143">
        <v>0</v>
      </c>
      <c r="BD113" s="143"/>
      <c r="BE113" s="143"/>
      <c r="BF113" s="143">
        <v>0</v>
      </c>
      <c r="BG113" s="143">
        <v>0</v>
      </c>
      <c r="BH113" s="148"/>
      <c r="BI113" s="148"/>
      <c r="BJ113" s="148"/>
      <c r="BK113" s="148"/>
      <c r="BL113" s="148"/>
      <c r="BM113" s="148"/>
      <c r="BN113" s="148"/>
      <c r="BO113" s="148"/>
      <c r="BP113" s="148"/>
      <c r="BQ113" s="148"/>
      <c r="BR113" s="148"/>
      <c r="BS113" s="148"/>
      <c r="BT113" s="148"/>
      <c r="BU113" s="148"/>
      <c r="BV113" s="148"/>
      <c r="BW113" s="148"/>
      <c r="BX113" s="231"/>
      <c r="BY113" s="424"/>
    </row>
    <row r="114" spans="1:77" ht="46.15" outlineLevel="1">
      <c r="A114" s="420">
        <v>2</v>
      </c>
      <c r="B114" s="421" t="s">
        <v>2596</v>
      </c>
      <c r="C114" s="428" t="s">
        <v>2350</v>
      </c>
      <c r="D114" s="420" t="s">
        <v>2436</v>
      </c>
      <c r="E114" s="420" t="s">
        <v>49</v>
      </c>
      <c r="F114" s="431" t="s">
        <v>1035</v>
      </c>
      <c r="G114" s="143">
        <v>7216849</v>
      </c>
      <c r="H114" s="423" t="s">
        <v>2433</v>
      </c>
      <c r="I114" s="420" t="s">
        <v>2597</v>
      </c>
      <c r="J114" s="422">
        <v>2011</v>
      </c>
      <c r="K114" s="422"/>
      <c r="L114" s="420" t="s">
        <v>2598</v>
      </c>
      <c r="M114" s="144">
        <v>102010</v>
      </c>
      <c r="N114" s="422"/>
      <c r="O114" s="422"/>
      <c r="P114" s="144">
        <v>102010</v>
      </c>
      <c r="Q114" s="420" t="s">
        <v>2599</v>
      </c>
      <c r="R114" s="432" t="s">
        <v>2600</v>
      </c>
      <c r="S114" s="422" t="s">
        <v>2591</v>
      </c>
      <c r="T114" s="420" t="s">
        <v>2436</v>
      </c>
      <c r="U114" s="143">
        <f t="shared" si="59"/>
        <v>75404</v>
      </c>
      <c r="V114" s="143"/>
      <c r="W114" s="143">
        <v>75404</v>
      </c>
      <c r="X114" s="420"/>
      <c r="Y114" s="143">
        <f t="shared" si="42"/>
        <v>1721.3050000000001</v>
      </c>
      <c r="Z114" s="143"/>
      <c r="AA114" s="143"/>
      <c r="AB114" s="143">
        <f>AC114+AD114+AE114</f>
        <v>1721.3050000000001</v>
      </c>
      <c r="AC114" s="143">
        <v>1565</v>
      </c>
      <c r="AD114" s="144">
        <v>156.30500000000001</v>
      </c>
      <c r="AE114" s="143"/>
      <c r="AF114" s="143">
        <f t="shared" si="43"/>
        <v>156.30500000000001</v>
      </c>
      <c r="AG114" s="143"/>
      <c r="AH114" s="143"/>
      <c r="AI114" s="143">
        <f t="shared" si="44"/>
        <v>156.30500000000001</v>
      </c>
      <c r="AJ114" s="143">
        <v>0</v>
      </c>
      <c r="AK114" s="144">
        <v>156.30500000000001</v>
      </c>
      <c r="AL114" s="143"/>
      <c r="AM114" s="143">
        <v>156.30500000000001</v>
      </c>
      <c r="AN114" s="143"/>
      <c r="AO114" s="143"/>
      <c r="AP114" s="143">
        <v>156.30500000000001</v>
      </c>
      <c r="AQ114" s="143">
        <v>0</v>
      </c>
      <c r="AR114" s="143">
        <v>0</v>
      </c>
      <c r="AS114" s="143"/>
      <c r="AT114" s="144">
        <v>156.30500000000001</v>
      </c>
      <c r="AU114" s="143"/>
      <c r="AV114" s="143">
        <f t="shared" si="45"/>
        <v>1565</v>
      </c>
      <c r="AW114" s="143"/>
      <c r="AX114" s="143"/>
      <c r="AY114" s="143">
        <f t="shared" si="46"/>
        <v>1565</v>
      </c>
      <c r="AZ114" s="143">
        <v>1565</v>
      </c>
      <c r="BA114" s="143"/>
      <c r="BB114" s="143"/>
      <c r="BC114" s="143">
        <v>1565</v>
      </c>
      <c r="BD114" s="143"/>
      <c r="BE114" s="143"/>
      <c r="BF114" s="143">
        <v>1565</v>
      </c>
      <c r="BG114" s="143">
        <v>1565</v>
      </c>
      <c r="BH114" s="143">
        <v>1565</v>
      </c>
      <c r="BI114" s="143"/>
      <c r="BJ114" s="143"/>
      <c r="BK114" s="143"/>
      <c r="BL114" s="143"/>
      <c r="BM114" s="143"/>
      <c r="BN114" s="143"/>
      <c r="BO114" s="143"/>
      <c r="BP114" s="143"/>
      <c r="BQ114" s="143"/>
      <c r="BR114" s="143"/>
      <c r="BS114" s="143"/>
      <c r="BT114" s="143">
        <v>1908</v>
      </c>
      <c r="BU114" s="143"/>
      <c r="BV114" s="143">
        <v>1908</v>
      </c>
      <c r="BW114" s="143"/>
      <c r="BX114" s="230"/>
      <c r="BY114" s="435"/>
    </row>
    <row r="115" spans="1:77" s="457" customFormat="1" ht="46.5" customHeight="1" outlineLevel="1">
      <c r="A115" s="430" t="s">
        <v>45</v>
      </c>
      <c r="B115" s="456" t="s">
        <v>1910</v>
      </c>
      <c r="C115" s="418"/>
      <c r="D115" s="418"/>
      <c r="E115" s="418"/>
      <c r="F115" s="418"/>
      <c r="G115" s="418"/>
      <c r="H115" s="419">
        <f t="shared" ref="H115" si="60">SUM(H116:H124)</f>
        <v>0</v>
      </c>
      <c r="I115" s="418"/>
      <c r="J115" s="419"/>
      <c r="K115" s="419"/>
      <c r="L115" s="419"/>
      <c r="M115" s="419">
        <f t="shared" ref="M115:BY115" si="61">SUM(M116:M124)</f>
        <v>121363</v>
      </c>
      <c r="N115" s="419">
        <f t="shared" si="61"/>
        <v>0</v>
      </c>
      <c r="O115" s="419">
        <f t="shared" si="61"/>
        <v>0</v>
      </c>
      <c r="P115" s="419">
        <f t="shared" si="61"/>
        <v>61416</v>
      </c>
      <c r="Q115" s="419">
        <f t="shared" si="61"/>
        <v>0</v>
      </c>
      <c r="R115" s="419">
        <f t="shared" si="61"/>
        <v>0</v>
      </c>
      <c r="S115" s="419">
        <f t="shared" si="61"/>
        <v>0</v>
      </c>
      <c r="T115" s="419">
        <f t="shared" si="61"/>
        <v>0</v>
      </c>
      <c r="U115" s="419">
        <f t="shared" si="61"/>
        <v>59330.08221</v>
      </c>
      <c r="V115" s="419">
        <f t="shared" si="61"/>
        <v>0</v>
      </c>
      <c r="W115" s="419">
        <f t="shared" si="61"/>
        <v>18008</v>
      </c>
      <c r="X115" s="419">
        <f t="shared" si="61"/>
        <v>41322.08221</v>
      </c>
      <c r="Y115" s="419">
        <f t="shared" si="61"/>
        <v>12219</v>
      </c>
      <c r="Z115" s="419">
        <f t="shared" si="61"/>
        <v>0</v>
      </c>
      <c r="AA115" s="419">
        <f t="shared" si="61"/>
        <v>0</v>
      </c>
      <c r="AB115" s="419">
        <f t="shared" si="61"/>
        <v>12219</v>
      </c>
      <c r="AC115" s="419">
        <f t="shared" si="61"/>
        <v>253</v>
      </c>
      <c r="AD115" s="419">
        <f t="shared" si="61"/>
        <v>11966</v>
      </c>
      <c r="AE115" s="419">
        <f t="shared" si="61"/>
        <v>0</v>
      </c>
      <c r="AF115" s="419">
        <f t="shared" si="61"/>
        <v>12212.560000000001</v>
      </c>
      <c r="AG115" s="419">
        <f t="shared" si="61"/>
        <v>0</v>
      </c>
      <c r="AH115" s="419">
        <f t="shared" si="61"/>
        <v>0</v>
      </c>
      <c r="AI115" s="419">
        <f t="shared" si="61"/>
        <v>12212.560000000001</v>
      </c>
      <c r="AJ115" s="419">
        <f t="shared" si="61"/>
        <v>252.5</v>
      </c>
      <c r="AK115" s="419">
        <f t="shared" si="61"/>
        <v>11960.060000000001</v>
      </c>
      <c r="AL115" s="419">
        <f t="shared" si="61"/>
        <v>0</v>
      </c>
      <c r="AM115" s="419">
        <f t="shared" si="61"/>
        <v>12211.333434</v>
      </c>
      <c r="AN115" s="419">
        <f t="shared" si="61"/>
        <v>0</v>
      </c>
      <c r="AO115" s="419">
        <f t="shared" si="61"/>
        <v>0</v>
      </c>
      <c r="AP115" s="419">
        <f t="shared" si="61"/>
        <v>12211.333434</v>
      </c>
      <c r="AQ115" s="419">
        <f t="shared" si="61"/>
        <v>252.11234099999999</v>
      </c>
      <c r="AR115" s="419">
        <f t="shared" si="61"/>
        <v>252.11234099999999</v>
      </c>
      <c r="AS115" s="419">
        <f t="shared" si="61"/>
        <v>0</v>
      </c>
      <c r="AT115" s="419">
        <f t="shared" si="61"/>
        <v>11959.221093</v>
      </c>
      <c r="AU115" s="419">
        <f t="shared" si="61"/>
        <v>0</v>
      </c>
      <c r="AV115" s="419">
        <f t="shared" si="61"/>
        <v>0</v>
      </c>
      <c r="AW115" s="419">
        <f t="shared" si="61"/>
        <v>0</v>
      </c>
      <c r="AX115" s="419">
        <f t="shared" si="61"/>
        <v>0</v>
      </c>
      <c r="AY115" s="419">
        <f t="shared" si="61"/>
        <v>0</v>
      </c>
      <c r="AZ115" s="419">
        <f t="shared" si="61"/>
        <v>0</v>
      </c>
      <c r="BA115" s="419">
        <f t="shared" si="61"/>
        <v>0</v>
      </c>
      <c r="BB115" s="419">
        <f t="shared" si="61"/>
        <v>0</v>
      </c>
      <c r="BC115" s="419">
        <f t="shared" si="61"/>
        <v>0</v>
      </c>
      <c r="BD115" s="419">
        <f t="shared" si="61"/>
        <v>0</v>
      </c>
      <c r="BE115" s="419">
        <f t="shared" si="61"/>
        <v>0</v>
      </c>
      <c r="BF115" s="419">
        <f t="shared" si="61"/>
        <v>0</v>
      </c>
      <c r="BG115" s="419">
        <f t="shared" si="61"/>
        <v>0</v>
      </c>
      <c r="BH115" s="419">
        <f t="shared" si="61"/>
        <v>0</v>
      </c>
      <c r="BI115" s="419">
        <f t="shared" si="61"/>
        <v>0</v>
      </c>
      <c r="BJ115" s="419">
        <f t="shared" si="61"/>
        <v>0</v>
      </c>
      <c r="BK115" s="419">
        <f t="shared" si="61"/>
        <v>0</v>
      </c>
      <c r="BL115" s="419">
        <f t="shared" si="61"/>
        <v>0</v>
      </c>
      <c r="BM115" s="419">
        <f t="shared" si="61"/>
        <v>0</v>
      </c>
      <c r="BN115" s="419">
        <f t="shared" si="61"/>
        <v>0</v>
      </c>
      <c r="BO115" s="419">
        <f t="shared" si="61"/>
        <v>0</v>
      </c>
      <c r="BP115" s="419">
        <f t="shared" si="61"/>
        <v>0</v>
      </c>
      <c r="BQ115" s="419">
        <f t="shared" si="61"/>
        <v>0</v>
      </c>
      <c r="BR115" s="419">
        <f t="shared" si="61"/>
        <v>0</v>
      </c>
      <c r="BS115" s="419">
        <f t="shared" si="61"/>
        <v>0</v>
      </c>
      <c r="BT115" s="419">
        <f t="shared" si="61"/>
        <v>0</v>
      </c>
      <c r="BU115" s="419">
        <f t="shared" si="61"/>
        <v>0</v>
      </c>
      <c r="BV115" s="419">
        <f t="shared" si="61"/>
        <v>0</v>
      </c>
      <c r="BW115" s="419">
        <f t="shared" si="61"/>
        <v>0</v>
      </c>
      <c r="BX115" s="454"/>
      <c r="BY115" s="419">
        <f t="shared" si="61"/>
        <v>0</v>
      </c>
    </row>
    <row r="116" spans="1:77" ht="36.75" customHeight="1" outlineLevel="1">
      <c r="A116" s="420">
        <v>1</v>
      </c>
      <c r="B116" s="421" t="s">
        <v>2601</v>
      </c>
      <c r="C116" s="428" t="s">
        <v>2341</v>
      </c>
      <c r="D116" s="420" t="s">
        <v>2436</v>
      </c>
      <c r="E116" s="420" t="s">
        <v>49</v>
      </c>
      <c r="F116" s="431" t="s">
        <v>2602</v>
      </c>
      <c r="G116" s="143">
        <v>7659794</v>
      </c>
      <c r="H116" s="423" t="s">
        <v>2433</v>
      </c>
      <c r="I116" s="420" t="s">
        <v>2603</v>
      </c>
      <c r="J116" s="422">
        <v>2018</v>
      </c>
      <c r="K116" s="422"/>
      <c r="L116" s="420" t="s">
        <v>2604</v>
      </c>
      <c r="M116" s="144">
        <v>25401</v>
      </c>
      <c r="N116" s="422"/>
      <c r="O116" s="422"/>
      <c r="P116" s="144">
        <v>25401</v>
      </c>
      <c r="Q116" s="420" t="s">
        <v>2605</v>
      </c>
      <c r="R116" s="432" t="s">
        <v>2600</v>
      </c>
      <c r="S116" s="422" t="s">
        <v>2591</v>
      </c>
      <c r="T116" s="420" t="s">
        <v>2436</v>
      </c>
      <c r="U116" s="143">
        <f t="shared" si="59"/>
        <v>18008</v>
      </c>
      <c r="V116" s="143"/>
      <c r="W116" s="143">
        <v>18008</v>
      </c>
      <c r="X116" s="420"/>
      <c r="Y116" s="143">
        <f t="shared" si="42"/>
        <v>253</v>
      </c>
      <c r="Z116" s="143"/>
      <c r="AA116" s="143"/>
      <c r="AB116" s="143">
        <f t="shared" ref="AB116:AB124" si="62">AC116+AD116+AE116</f>
        <v>253</v>
      </c>
      <c r="AC116" s="143">
        <v>253</v>
      </c>
      <c r="AD116" s="143"/>
      <c r="AE116" s="143"/>
      <c r="AF116" s="143">
        <f t="shared" si="43"/>
        <v>252.5</v>
      </c>
      <c r="AG116" s="143"/>
      <c r="AH116" s="143"/>
      <c r="AI116" s="143">
        <f t="shared" si="44"/>
        <v>252.5</v>
      </c>
      <c r="AJ116" s="143">
        <v>252.5</v>
      </c>
      <c r="AK116" s="143"/>
      <c r="AL116" s="143"/>
      <c r="AM116" s="143">
        <v>252.11234099999999</v>
      </c>
      <c r="AN116" s="143"/>
      <c r="AO116" s="143"/>
      <c r="AP116" s="143">
        <v>252.11234099999999</v>
      </c>
      <c r="AQ116" s="143">
        <v>252.11234099999999</v>
      </c>
      <c r="AR116" s="143">
        <v>252.11234099999999</v>
      </c>
      <c r="AS116" s="143"/>
      <c r="AT116" s="143"/>
      <c r="AU116" s="143"/>
      <c r="AV116" s="143">
        <f t="shared" si="45"/>
        <v>0</v>
      </c>
      <c r="AW116" s="143"/>
      <c r="AX116" s="143"/>
      <c r="AY116" s="143">
        <f t="shared" si="46"/>
        <v>0</v>
      </c>
      <c r="AZ116" s="143">
        <v>0</v>
      </c>
      <c r="BA116" s="143"/>
      <c r="BB116" s="143"/>
      <c r="BC116" s="143">
        <v>0</v>
      </c>
      <c r="BD116" s="143"/>
      <c r="BE116" s="143"/>
      <c r="BF116" s="143">
        <v>0</v>
      </c>
      <c r="BG116" s="143">
        <v>0</v>
      </c>
      <c r="BH116" s="143"/>
      <c r="BI116" s="143"/>
      <c r="BJ116" s="143"/>
      <c r="BK116" s="143"/>
      <c r="BL116" s="143"/>
      <c r="BM116" s="143"/>
      <c r="BN116" s="143"/>
      <c r="BO116" s="143"/>
      <c r="BP116" s="143"/>
      <c r="BQ116" s="143"/>
      <c r="BR116" s="143"/>
      <c r="BS116" s="143"/>
      <c r="BT116" s="143"/>
      <c r="BU116" s="143"/>
      <c r="BV116" s="143"/>
      <c r="BW116" s="143"/>
      <c r="BX116" s="230"/>
      <c r="BY116" s="433"/>
    </row>
    <row r="117" spans="1:77" ht="36" customHeight="1" outlineLevel="1">
      <c r="A117" s="420">
        <v>2</v>
      </c>
      <c r="B117" s="421" t="s">
        <v>2606</v>
      </c>
      <c r="C117" s="428" t="s">
        <v>2350</v>
      </c>
      <c r="D117" s="420" t="s">
        <v>2436</v>
      </c>
      <c r="E117" s="420" t="s">
        <v>49</v>
      </c>
      <c r="F117" s="431" t="s">
        <v>55</v>
      </c>
      <c r="G117" s="151">
        <v>7775359</v>
      </c>
      <c r="H117" s="420" t="s">
        <v>2607</v>
      </c>
      <c r="I117" s="420" t="s">
        <v>2345</v>
      </c>
      <c r="J117" s="422">
        <v>2020</v>
      </c>
      <c r="K117" s="422"/>
      <c r="L117" s="420" t="s">
        <v>2608</v>
      </c>
      <c r="M117" s="149">
        <v>11000</v>
      </c>
      <c r="N117" s="422"/>
      <c r="O117" s="422"/>
      <c r="P117" s="149">
        <v>11000</v>
      </c>
      <c r="Q117" s="420" t="s">
        <v>2609</v>
      </c>
      <c r="R117" s="420" t="s">
        <v>2607</v>
      </c>
      <c r="S117" s="422" t="s">
        <v>2591</v>
      </c>
      <c r="T117" s="420" t="s">
        <v>2436</v>
      </c>
      <c r="U117" s="143">
        <f t="shared" si="59"/>
        <v>8810</v>
      </c>
      <c r="V117" s="420"/>
      <c r="W117" s="420"/>
      <c r="X117" s="143">
        <v>8810</v>
      </c>
      <c r="Y117" s="143">
        <f t="shared" si="42"/>
        <v>442</v>
      </c>
      <c r="Z117" s="143"/>
      <c r="AA117" s="143"/>
      <c r="AB117" s="143">
        <f t="shared" si="62"/>
        <v>442</v>
      </c>
      <c r="AC117" s="143">
        <v>0</v>
      </c>
      <c r="AD117" s="143">
        <v>442</v>
      </c>
      <c r="AE117" s="143"/>
      <c r="AF117" s="143">
        <f t="shared" si="43"/>
        <v>441</v>
      </c>
      <c r="AG117" s="143"/>
      <c r="AH117" s="143"/>
      <c r="AI117" s="143">
        <f t="shared" si="44"/>
        <v>441</v>
      </c>
      <c r="AJ117" s="143">
        <v>0</v>
      </c>
      <c r="AK117" s="143">
        <v>441</v>
      </c>
      <c r="AL117" s="143"/>
      <c r="AM117" s="143">
        <v>441.19850000000002</v>
      </c>
      <c r="AN117" s="143"/>
      <c r="AO117" s="143"/>
      <c r="AP117" s="143">
        <v>441.19850000000002</v>
      </c>
      <c r="AQ117" s="143">
        <v>0</v>
      </c>
      <c r="AR117" s="143"/>
      <c r="AS117" s="143"/>
      <c r="AT117" s="143">
        <v>441.19850000000002</v>
      </c>
      <c r="AU117" s="143"/>
      <c r="AV117" s="143">
        <f t="shared" si="45"/>
        <v>0</v>
      </c>
      <c r="AW117" s="143"/>
      <c r="AX117" s="143"/>
      <c r="AY117" s="143">
        <f t="shared" si="46"/>
        <v>0</v>
      </c>
      <c r="AZ117" s="143">
        <v>0</v>
      </c>
      <c r="BA117" s="143">
        <v>0</v>
      </c>
      <c r="BB117" s="143"/>
      <c r="BC117" s="143">
        <v>0</v>
      </c>
      <c r="BD117" s="143"/>
      <c r="BE117" s="143"/>
      <c r="BF117" s="143">
        <v>0</v>
      </c>
      <c r="BG117" s="143">
        <v>0</v>
      </c>
      <c r="BH117" s="143"/>
      <c r="BI117" s="143"/>
      <c r="BJ117" s="143"/>
      <c r="BK117" s="143"/>
      <c r="BL117" s="143"/>
      <c r="BM117" s="143"/>
      <c r="BN117" s="143"/>
      <c r="BO117" s="143"/>
      <c r="BP117" s="143"/>
      <c r="BQ117" s="143"/>
      <c r="BR117" s="143"/>
      <c r="BS117" s="143"/>
      <c r="BT117" s="143"/>
      <c r="BU117" s="143"/>
      <c r="BV117" s="143"/>
      <c r="BW117" s="143"/>
      <c r="BX117" s="230"/>
      <c r="BY117" s="433"/>
    </row>
    <row r="118" spans="1:77" ht="30.75" outlineLevel="1">
      <c r="A118" s="420">
        <v>3</v>
      </c>
      <c r="B118" s="421" t="s">
        <v>2610</v>
      </c>
      <c r="C118" s="428" t="s">
        <v>2350</v>
      </c>
      <c r="D118" s="420" t="s">
        <v>2436</v>
      </c>
      <c r="E118" s="420" t="s">
        <v>49</v>
      </c>
      <c r="F118" s="431" t="s">
        <v>2343</v>
      </c>
      <c r="G118" s="151">
        <v>7775353</v>
      </c>
      <c r="H118" s="423" t="s">
        <v>2433</v>
      </c>
      <c r="I118" s="420" t="s">
        <v>69</v>
      </c>
      <c r="J118" s="422">
        <v>2020</v>
      </c>
      <c r="K118" s="422"/>
      <c r="L118" s="420" t="s">
        <v>2611</v>
      </c>
      <c r="M118" s="149">
        <v>9900</v>
      </c>
      <c r="N118" s="422"/>
      <c r="O118" s="422"/>
      <c r="P118" s="149">
        <v>9900</v>
      </c>
      <c r="Q118" s="420" t="s">
        <v>2612</v>
      </c>
      <c r="R118" s="420" t="s">
        <v>2600</v>
      </c>
      <c r="S118" s="422" t="s">
        <v>2591</v>
      </c>
      <c r="T118" s="420" t="s">
        <v>2436</v>
      </c>
      <c r="U118" s="143">
        <f t="shared" si="59"/>
        <v>5620</v>
      </c>
      <c r="V118" s="420"/>
      <c r="W118" s="420"/>
      <c r="X118" s="143">
        <v>5620</v>
      </c>
      <c r="Y118" s="143">
        <f t="shared" si="42"/>
        <v>3180</v>
      </c>
      <c r="Z118" s="143"/>
      <c r="AA118" s="143"/>
      <c r="AB118" s="143">
        <f t="shared" si="62"/>
        <v>3180</v>
      </c>
      <c r="AC118" s="143">
        <v>0</v>
      </c>
      <c r="AD118" s="143">
        <v>3180</v>
      </c>
      <c r="AE118" s="143"/>
      <c r="AF118" s="143">
        <f t="shared" si="43"/>
        <v>3177.4749999999999</v>
      </c>
      <c r="AG118" s="143"/>
      <c r="AH118" s="143"/>
      <c r="AI118" s="143">
        <f t="shared" si="44"/>
        <v>3177.4749999999999</v>
      </c>
      <c r="AJ118" s="143">
        <v>0</v>
      </c>
      <c r="AK118" s="143">
        <v>3177.4749999999999</v>
      </c>
      <c r="AL118" s="143"/>
      <c r="AM118" s="143">
        <v>3177.4749999999999</v>
      </c>
      <c r="AN118" s="143"/>
      <c r="AO118" s="143"/>
      <c r="AP118" s="143">
        <v>3177.4749999999999</v>
      </c>
      <c r="AQ118" s="143">
        <v>0</v>
      </c>
      <c r="AR118" s="143"/>
      <c r="AS118" s="143"/>
      <c r="AT118" s="143">
        <v>3177.4749999999999</v>
      </c>
      <c r="AU118" s="143"/>
      <c r="AV118" s="143">
        <f t="shared" si="45"/>
        <v>0</v>
      </c>
      <c r="AW118" s="143"/>
      <c r="AX118" s="143"/>
      <c r="AY118" s="143">
        <f t="shared" si="46"/>
        <v>0</v>
      </c>
      <c r="AZ118" s="143">
        <v>0</v>
      </c>
      <c r="BA118" s="143">
        <v>0</v>
      </c>
      <c r="BB118" s="143"/>
      <c r="BC118" s="143">
        <v>0</v>
      </c>
      <c r="BD118" s="143"/>
      <c r="BE118" s="143"/>
      <c r="BF118" s="143">
        <v>0</v>
      </c>
      <c r="BG118" s="143">
        <v>0</v>
      </c>
      <c r="BH118" s="143"/>
      <c r="BI118" s="143"/>
      <c r="BJ118" s="143"/>
      <c r="BK118" s="143"/>
      <c r="BL118" s="143"/>
      <c r="BM118" s="143"/>
      <c r="BN118" s="143"/>
      <c r="BO118" s="143"/>
      <c r="BP118" s="143"/>
      <c r="BQ118" s="143"/>
      <c r="BR118" s="143"/>
      <c r="BS118" s="143"/>
      <c r="BT118" s="143"/>
      <c r="BU118" s="143"/>
      <c r="BV118" s="143"/>
      <c r="BW118" s="143"/>
      <c r="BX118" s="230"/>
      <c r="BY118" s="433"/>
    </row>
    <row r="119" spans="1:77" ht="30.75" outlineLevel="1">
      <c r="A119" s="420">
        <v>4</v>
      </c>
      <c r="B119" s="421" t="s">
        <v>2613</v>
      </c>
      <c r="C119" s="428" t="s">
        <v>2350</v>
      </c>
      <c r="D119" s="420" t="s">
        <v>2436</v>
      </c>
      <c r="E119" s="420" t="s">
        <v>49</v>
      </c>
      <c r="F119" s="431" t="s">
        <v>48</v>
      </c>
      <c r="G119" s="151">
        <v>7775368</v>
      </c>
      <c r="H119" s="423" t="s">
        <v>2433</v>
      </c>
      <c r="I119" s="420" t="s">
        <v>73</v>
      </c>
      <c r="J119" s="422">
        <v>2021</v>
      </c>
      <c r="K119" s="422"/>
      <c r="L119" s="420" t="s">
        <v>2614</v>
      </c>
      <c r="M119" s="149">
        <v>6633</v>
      </c>
      <c r="N119" s="422"/>
      <c r="O119" s="422"/>
      <c r="P119" s="149">
        <v>6633</v>
      </c>
      <c r="Q119" s="420" t="s">
        <v>2615</v>
      </c>
      <c r="R119" s="420" t="s">
        <v>2600</v>
      </c>
      <c r="S119" s="422" t="s">
        <v>2591</v>
      </c>
      <c r="T119" s="420" t="s">
        <v>2436</v>
      </c>
      <c r="U119" s="143">
        <f t="shared" si="59"/>
        <v>200</v>
      </c>
      <c r="V119" s="420"/>
      <c r="W119" s="420"/>
      <c r="X119" s="143">
        <v>200</v>
      </c>
      <c r="Y119" s="143">
        <f t="shared" si="42"/>
        <v>5049</v>
      </c>
      <c r="Z119" s="143"/>
      <c r="AA119" s="143"/>
      <c r="AB119" s="143">
        <f t="shared" si="62"/>
        <v>5049</v>
      </c>
      <c r="AC119" s="143">
        <v>0</v>
      </c>
      <c r="AD119" s="143">
        <v>5049</v>
      </c>
      <c r="AE119" s="143"/>
      <c r="AF119" s="143">
        <f t="shared" si="43"/>
        <v>5049.0010000000002</v>
      </c>
      <c r="AG119" s="143"/>
      <c r="AH119" s="143"/>
      <c r="AI119" s="143">
        <f t="shared" si="44"/>
        <v>5049.0010000000002</v>
      </c>
      <c r="AJ119" s="143">
        <v>0</v>
      </c>
      <c r="AK119" s="143">
        <v>5049.0010000000002</v>
      </c>
      <c r="AL119" s="143"/>
      <c r="AM119" s="143">
        <v>5048.3729999999996</v>
      </c>
      <c r="AN119" s="143"/>
      <c r="AO119" s="143"/>
      <c r="AP119" s="143">
        <v>5048.3729999999996</v>
      </c>
      <c r="AQ119" s="143">
        <v>0</v>
      </c>
      <c r="AR119" s="143"/>
      <c r="AS119" s="143"/>
      <c r="AT119" s="143">
        <v>5048.3729999999996</v>
      </c>
      <c r="AU119" s="143"/>
      <c r="AV119" s="143">
        <f t="shared" si="45"/>
        <v>0</v>
      </c>
      <c r="AW119" s="143"/>
      <c r="AX119" s="143"/>
      <c r="AY119" s="143">
        <f t="shared" si="46"/>
        <v>0</v>
      </c>
      <c r="AZ119" s="143">
        <v>0</v>
      </c>
      <c r="BA119" s="143">
        <v>0</v>
      </c>
      <c r="BB119" s="143"/>
      <c r="BC119" s="143">
        <v>0</v>
      </c>
      <c r="BD119" s="143"/>
      <c r="BE119" s="143"/>
      <c r="BF119" s="143">
        <v>0</v>
      </c>
      <c r="BG119" s="143">
        <v>0</v>
      </c>
      <c r="BH119" s="143"/>
      <c r="BI119" s="143"/>
      <c r="BJ119" s="143"/>
      <c r="BK119" s="143"/>
      <c r="BL119" s="143"/>
      <c r="BM119" s="143"/>
      <c r="BN119" s="143"/>
      <c r="BO119" s="143"/>
      <c r="BP119" s="143"/>
      <c r="BQ119" s="143"/>
      <c r="BR119" s="143"/>
      <c r="BS119" s="143"/>
      <c r="BT119" s="143"/>
      <c r="BU119" s="143"/>
      <c r="BV119" s="143"/>
      <c r="BW119" s="143"/>
      <c r="BX119" s="230"/>
      <c r="BY119" s="433"/>
    </row>
    <row r="120" spans="1:77" ht="61.5" outlineLevel="1">
      <c r="A120" s="420">
        <v>5</v>
      </c>
      <c r="B120" s="421" t="s">
        <v>2616</v>
      </c>
      <c r="C120" s="428" t="s">
        <v>2350</v>
      </c>
      <c r="D120" s="420" t="s">
        <v>2436</v>
      </c>
      <c r="E120" s="420" t="s">
        <v>49</v>
      </c>
      <c r="F120" s="431" t="s">
        <v>2617</v>
      </c>
      <c r="G120" s="248">
        <v>7775369</v>
      </c>
      <c r="H120" s="420" t="s">
        <v>2618</v>
      </c>
      <c r="I120" s="420" t="s">
        <v>50</v>
      </c>
      <c r="J120" s="422">
        <v>2019</v>
      </c>
      <c r="K120" s="422"/>
      <c r="L120" s="420" t="s">
        <v>2619</v>
      </c>
      <c r="M120" s="149">
        <v>2621</v>
      </c>
      <c r="N120" s="422"/>
      <c r="O120" s="422"/>
      <c r="P120" s="149">
        <v>2621</v>
      </c>
      <c r="Q120" s="420" t="s">
        <v>2620</v>
      </c>
      <c r="R120" s="420" t="s">
        <v>2618</v>
      </c>
      <c r="S120" s="422" t="s">
        <v>2591</v>
      </c>
      <c r="T120" s="420" t="s">
        <v>2436</v>
      </c>
      <c r="U120" s="143">
        <f t="shared" si="59"/>
        <v>293</v>
      </c>
      <c r="V120" s="420"/>
      <c r="W120" s="420"/>
      <c r="X120" s="143">
        <v>293</v>
      </c>
      <c r="Y120" s="143">
        <f t="shared" si="42"/>
        <v>1356</v>
      </c>
      <c r="Z120" s="143"/>
      <c r="AA120" s="143"/>
      <c r="AB120" s="143">
        <f t="shared" si="62"/>
        <v>1356</v>
      </c>
      <c r="AC120" s="143">
        <v>0</v>
      </c>
      <c r="AD120" s="143">
        <v>1356</v>
      </c>
      <c r="AE120" s="143"/>
      <c r="AF120" s="143">
        <f t="shared" si="43"/>
        <v>1356.4010000000001</v>
      </c>
      <c r="AG120" s="143"/>
      <c r="AH120" s="143"/>
      <c r="AI120" s="143">
        <f t="shared" si="44"/>
        <v>1356.4010000000001</v>
      </c>
      <c r="AJ120" s="143">
        <v>0</v>
      </c>
      <c r="AK120" s="143">
        <v>1356.4010000000001</v>
      </c>
      <c r="AL120" s="143"/>
      <c r="AM120" s="143">
        <v>1355.8433</v>
      </c>
      <c r="AN120" s="143"/>
      <c r="AO120" s="143"/>
      <c r="AP120" s="143">
        <v>1355.8433</v>
      </c>
      <c r="AQ120" s="143">
        <v>0</v>
      </c>
      <c r="AR120" s="143"/>
      <c r="AS120" s="143"/>
      <c r="AT120" s="143">
        <v>1355.8433</v>
      </c>
      <c r="AU120" s="143"/>
      <c r="AV120" s="143">
        <f t="shared" si="45"/>
        <v>0</v>
      </c>
      <c r="AW120" s="143"/>
      <c r="AX120" s="143"/>
      <c r="AY120" s="143">
        <f t="shared" si="46"/>
        <v>0</v>
      </c>
      <c r="AZ120" s="143">
        <v>0</v>
      </c>
      <c r="BA120" s="143">
        <v>0</v>
      </c>
      <c r="BB120" s="143"/>
      <c r="BC120" s="143">
        <v>0</v>
      </c>
      <c r="BD120" s="143"/>
      <c r="BE120" s="143"/>
      <c r="BF120" s="143">
        <v>0</v>
      </c>
      <c r="BG120" s="143">
        <v>0</v>
      </c>
      <c r="BH120" s="143"/>
      <c r="BI120" s="143"/>
      <c r="BJ120" s="143"/>
      <c r="BK120" s="143"/>
      <c r="BL120" s="143"/>
      <c r="BM120" s="143"/>
      <c r="BN120" s="143"/>
      <c r="BO120" s="143"/>
      <c r="BP120" s="143"/>
      <c r="BQ120" s="143"/>
      <c r="BR120" s="143"/>
      <c r="BS120" s="143"/>
      <c r="BT120" s="143"/>
      <c r="BU120" s="143"/>
      <c r="BV120" s="143"/>
      <c r="BW120" s="143"/>
      <c r="BX120" s="230"/>
      <c r="BY120" s="433"/>
    </row>
    <row r="121" spans="1:77" ht="46.15" outlineLevel="1">
      <c r="A121" s="420">
        <v>6</v>
      </c>
      <c r="B121" s="435" t="s">
        <v>2621</v>
      </c>
      <c r="C121" s="428" t="s">
        <v>2622</v>
      </c>
      <c r="D121" s="420" t="s">
        <v>2436</v>
      </c>
      <c r="E121" s="420" t="s">
        <v>49</v>
      </c>
      <c r="F121" s="431" t="s">
        <v>48</v>
      </c>
      <c r="G121" s="142">
        <v>7819053</v>
      </c>
      <c r="H121" s="420" t="s">
        <v>2607</v>
      </c>
      <c r="I121" s="420" t="s">
        <v>891</v>
      </c>
      <c r="J121" s="420"/>
      <c r="K121" s="422"/>
      <c r="L121" s="420" t="s">
        <v>2623</v>
      </c>
      <c r="M121" s="146">
        <v>9478</v>
      </c>
      <c r="N121" s="422"/>
      <c r="O121" s="422"/>
      <c r="P121" s="149">
        <v>5861</v>
      </c>
      <c r="Q121" s="420"/>
      <c r="R121" s="420" t="s">
        <v>2607</v>
      </c>
      <c r="S121" s="422" t="s">
        <v>2591</v>
      </c>
      <c r="T121" s="420" t="s">
        <v>2436</v>
      </c>
      <c r="U121" s="143">
        <f t="shared" si="59"/>
        <v>4400</v>
      </c>
      <c r="V121" s="420"/>
      <c r="W121" s="420"/>
      <c r="X121" s="143">
        <v>4400</v>
      </c>
      <c r="Y121" s="143">
        <f t="shared" si="42"/>
        <v>103</v>
      </c>
      <c r="Z121" s="143"/>
      <c r="AA121" s="143"/>
      <c r="AB121" s="143">
        <f t="shared" si="62"/>
        <v>103</v>
      </c>
      <c r="AC121" s="143">
        <v>0</v>
      </c>
      <c r="AD121" s="143">
        <v>103</v>
      </c>
      <c r="AE121" s="143"/>
      <c r="AF121" s="143">
        <f t="shared" si="43"/>
        <v>103</v>
      </c>
      <c r="AG121" s="143"/>
      <c r="AH121" s="143"/>
      <c r="AI121" s="143">
        <f t="shared" si="44"/>
        <v>103</v>
      </c>
      <c r="AJ121" s="143">
        <v>0</v>
      </c>
      <c r="AK121" s="143">
        <v>103</v>
      </c>
      <c r="AL121" s="143"/>
      <c r="AM121" s="143">
        <v>103</v>
      </c>
      <c r="AN121" s="143"/>
      <c r="AO121" s="143"/>
      <c r="AP121" s="143">
        <v>103</v>
      </c>
      <c r="AQ121" s="143">
        <v>0</v>
      </c>
      <c r="AR121" s="143"/>
      <c r="AS121" s="143"/>
      <c r="AT121" s="143">
        <v>103</v>
      </c>
      <c r="AU121" s="143"/>
      <c r="AV121" s="143">
        <f t="shared" si="45"/>
        <v>0</v>
      </c>
      <c r="AW121" s="143"/>
      <c r="AX121" s="143"/>
      <c r="AY121" s="143">
        <f t="shared" si="46"/>
        <v>0</v>
      </c>
      <c r="AZ121" s="143">
        <v>0</v>
      </c>
      <c r="BA121" s="143">
        <v>0</v>
      </c>
      <c r="BB121" s="143"/>
      <c r="BC121" s="143">
        <v>0</v>
      </c>
      <c r="BD121" s="143"/>
      <c r="BE121" s="143"/>
      <c r="BF121" s="143">
        <v>0</v>
      </c>
      <c r="BG121" s="143">
        <v>0</v>
      </c>
      <c r="BH121" s="143"/>
      <c r="BI121" s="143"/>
      <c r="BJ121" s="143"/>
      <c r="BK121" s="143"/>
      <c r="BL121" s="143"/>
      <c r="BM121" s="143"/>
      <c r="BN121" s="143"/>
      <c r="BO121" s="143"/>
      <c r="BP121" s="143"/>
      <c r="BQ121" s="143"/>
      <c r="BR121" s="143"/>
      <c r="BS121" s="143"/>
      <c r="BT121" s="143"/>
      <c r="BU121" s="143"/>
      <c r="BV121" s="143"/>
      <c r="BW121" s="143"/>
      <c r="BX121" s="230"/>
      <c r="BY121" s="433"/>
    </row>
    <row r="122" spans="1:77" ht="61.5" outlineLevel="1">
      <c r="A122" s="420">
        <v>7</v>
      </c>
      <c r="B122" s="460" t="s">
        <v>2624</v>
      </c>
      <c r="C122" s="428" t="s">
        <v>2350</v>
      </c>
      <c r="D122" s="420" t="s">
        <v>2436</v>
      </c>
      <c r="E122" s="420" t="s">
        <v>49</v>
      </c>
      <c r="F122" s="431" t="s">
        <v>82</v>
      </c>
      <c r="G122" s="142">
        <v>7617414</v>
      </c>
      <c r="H122" s="420" t="s">
        <v>2618</v>
      </c>
      <c r="I122" s="420" t="s">
        <v>69</v>
      </c>
      <c r="J122" s="422">
        <v>2019</v>
      </c>
      <c r="K122" s="422"/>
      <c r="L122" s="436" t="s">
        <v>2625</v>
      </c>
      <c r="M122" s="248">
        <v>14995</v>
      </c>
      <c r="N122" s="422"/>
      <c r="O122" s="422"/>
      <c r="P122" s="248">
        <v>0</v>
      </c>
      <c r="Q122" s="420" t="s">
        <v>2626</v>
      </c>
      <c r="R122" s="420" t="s">
        <v>2618</v>
      </c>
      <c r="S122" s="422" t="s">
        <v>2591</v>
      </c>
      <c r="T122" s="420" t="s">
        <v>2436</v>
      </c>
      <c r="U122" s="143">
        <f t="shared" si="59"/>
        <v>13259.317709000001</v>
      </c>
      <c r="V122" s="420"/>
      <c r="W122" s="420"/>
      <c r="X122" s="143">
        <v>13259.317709000001</v>
      </c>
      <c r="Y122" s="143">
        <f t="shared" si="42"/>
        <v>966</v>
      </c>
      <c r="Z122" s="143"/>
      <c r="AA122" s="143"/>
      <c r="AB122" s="143">
        <f t="shared" si="62"/>
        <v>966</v>
      </c>
      <c r="AC122" s="143">
        <v>0</v>
      </c>
      <c r="AD122" s="143">
        <v>966</v>
      </c>
      <c r="AE122" s="143"/>
      <c r="AF122" s="143">
        <f t="shared" si="43"/>
        <v>965.03899999999999</v>
      </c>
      <c r="AG122" s="143"/>
      <c r="AH122" s="143"/>
      <c r="AI122" s="143">
        <f t="shared" si="44"/>
        <v>965.03899999999999</v>
      </c>
      <c r="AJ122" s="143">
        <v>0</v>
      </c>
      <c r="AK122" s="143">
        <v>965.03899999999999</v>
      </c>
      <c r="AL122" s="143"/>
      <c r="AM122" s="143">
        <v>965.187546</v>
      </c>
      <c r="AN122" s="143"/>
      <c r="AO122" s="143"/>
      <c r="AP122" s="143">
        <v>965.187546</v>
      </c>
      <c r="AQ122" s="143">
        <v>0</v>
      </c>
      <c r="AR122" s="143"/>
      <c r="AS122" s="143"/>
      <c r="AT122" s="143">
        <v>965.187546</v>
      </c>
      <c r="AU122" s="143"/>
      <c r="AV122" s="143">
        <f t="shared" si="45"/>
        <v>0</v>
      </c>
      <c r="AW122" s="143"/>
      <c r="AX122" s="143"/>
      <c r="AY122" s="143">
        <f t="shared" si="46"/>
        <v>0</v>
      </c>
      <c r="AZ122" s="143">
        <v>0</v>
      </c>
      <c r="BA122" s="143">
        <v>0</v>
      </c>
      <c r="BB122" s="143"/>
      <c r="BC122" s="143">
        <v>0</v>
      </c>
      <c r="BD122" s="143"/>
      <c r="BE122" s="143"/>
      <c r="BF122" s="143">
        <v>0</v>
      </c>
      <c r="BG122" s="143">
        <v>0</v>
      </c>
      <c r="BH122" s="143"/>
      <c r="BI122" s="143"/>
      <c r="BJ122" s="143"/>
      <c r="BK122" s="143"/>
      <c r="BL122" s="143"/>
      <c r="BM122" s="143"/>
      <c r="BN122" s="143"/>
      <c r="BO122" s="143"/>
      <c r="BP122" s="143"/>
      <c r="BQ122" s="143"/>
      <c r="BR122" s="143"/>
      <c r="BS122" s="143"/>
      <c r="BT122" s="143">
        <v>0</v>
      </c>
      <c r="BU122" s="143">
        <v>0</v>
      </c>
      <c r="BV122" s="143">
        <v>0</v>
      </c>
      <c r="BW122" s="143">
        <v>0</v>
      </c>
      <c r="BX122" s="230"/>
      <c r="BY122" s="433"/>
    </row>
    <row r="123" spans="1:77" ht="46.15" outlineLevel="1">
      <c r="A123" s="420">
        <v>8</v>
      </c>
      <c r="B123" s="460" t="s">
        <v>2627</v>
      </c>
      <c r="C123" s="428" t="s">
        <v>2350</v>
      </c>
      <c r="D123" s="420" t="s">
        <v>2436</v>
      </c>
      <c r="E123" s="420" t="s">
        <v>49</v>
      </c>
      <c r="F123" s="431" t="s">
        <v>48</v>
      </c>
      <c r="G123" s="142">
        <v>7648096</v>
      </c>
      <c r="H123" s="423" t="s">
        <v>2618</v>
      </c>
      <c r="I123" s="420" t="s">
        <v>2628</v>
      </c>
      <c r="J123" s="422">
        <v>2017</v>
      </c>
      <c r="K123" s="422"/>
      <c r="L123" s="420" t="s">
        <v>2629</v>
      </c>
      <c r="M123" s="146">
        <v>30479</v>
      </c>
      <c r="N123" s="422"/>
      <c r="O123" s="422"/>
      <c r="P123" s="146">
        <v>0</v>
      </c>
      <c r="Q123" s="420" t="s">
        <v>2630</v>
      </c>
      <c r="R123" s="423" t="s">
        <v>2618</v>
      </c>
      <c r="S123" s="422" t="s">
        <v>2591</v>
      </c>
      <c r="T123" s="420" t="s">
        <v>2436</v>
      </c>
      <c r="U123" s="143">
        <f t="shared" si="59"/>
        <v>0</v>
      </c>
      <c r="V123" s="420"/>
      <c r="W123" s="420"/>
      <c r="X123" s="143"/>
      <c r="Y123" s="143">
        <f t="shared" si="42"/>
        <v>202</v>
      </c>
      <c r="Z123" s="143"/>
      <c r="AA123" s="143"/>
      <c r="AB123" s="143">
        <f t="shared" si="62"/>
        <v>202</v>
      </c>
      <c r="AC123" s="143">
        <v>0</v>
      </c>
      <c r="AD123" s="143">
        <v>202</v>
      </c>
      <c r="AE123" s="143"/>
      <c r="AF123" s="143">
        <f t="shared" si="43"/>
        <v>201.02600000000001</v>
      </c>
      <c r="AG123" s="143"/>
      <c r="AH123" s="143"/>
      <c r="AI123" s="143">
        <f t="shared" si="44"/>
        <v>201.02600000000001</v>
      </c>
      <c r="AJ123" s="143">
        <v>0</v>
      </c>
      <c r="AK123" s="143">
        <v>201.02600000000001</v>
      </c>
      <c r="AL123" s="143"/>
      <c r="AM123" s="143">
        <v>201.025747</v>
      </c>
      <c r="AN123" s="143"/>
      <c r="AO123" s="143"/>
      <c r="AP123" s="143">
        <v>201.025747</v>
      </c>
      <c r="AQ123" s="143">
        <v>0</v>
      </c>
      <c r="AR123" s="143"/>
      <c r="AS123" s="143"/>
      <c r="AT123" s="143">
        <v>201.025747</v>
      </c>
      <c r="AU123" s="143"/>
      <c r="AV123" s="143">
        <f t="shared" si="45"/>
        <v>0</v>
      </c>
      <c r="AW123" s="143"/>
      <c r="AX123" s="143"/>
      <c r="AY123" s="143">
        <f t="shared" si="46"/>
        <v>0</v>
      </c>
      <c r="AZ123" s="143">
        <v>0</v>
      </c>
      <c r="BA123" s="143">
        <v>0</v>
      </c>
      <c r="BB123" s="143"/>
      <c r="BC123" s="143">
        <v>0</v>
      </c>
      <c r="BD123" s="143"/>
      <c r="BE123" s="143"/>
      <c r="BF123" s="143">
        <v>0</v>
      </c>
      <c r="BG123" s="143">
        <v>0</v>
      </c>
      <c r="BH123" s="143"/>
      <c r="BI123" s="143"/>
      <c r="BJ123" s="143"/>
      <c r="BK123" s="143"/>
      <c r="BL123" s="143"/>
      <c r="BM123" s="143"/>
      <c r="BN123" s="143"/>
      <c r="BO123" s="143"/>
      <c r="BP123" s="143"/>
      <c r="BQ123" s="143"/>
      <c r="BR123" s="143"/>
      <c r="BS123" s="143"/>
      <c r="BT123" s="143">
        <v>0</v>
      </c>
      <c r="BU123" s="143">
        <v>0</v>
      </c>
      <c r="BV123" s="143">
        <v>0</v>
      </c>
      <c r="BW123" s="143">
        <v>0</v>
      </c>
      <c r="BX123" s="230"/>
      <c r="BY123" s="433"/>
    </row>
    <row r="124" spans="1:77" ht="30.75" outlineLevel="1">
      <c r="A124" s="420">
        <v>9</v>
      </c>
      <c r="B124" s="155" t="s">
        <v>2631</v>
      </c>
      <c r="C124" s="428" t="s">
        <v>2350</v>
      </c>
      <c r="D124" s="420" t="s">
        <v>2436</v>
      </c>
      <c r="E124" s="420" t="s">
        <v>49</v>
      </c>
      <c r="F124" s="431" t="s">
        <v>48</v>
      </c>
      <c r="G124" s="142">
        <v>7640554</v>
      </c>
      <c r="H124" s="436" t="s">
        <v>2618</v>
      </c>
      <c r="I124" s="420" t="s">
        <v>2632</v>
      </c>
      <c r="J124" s="422">
        <v>2018</v>
      </c>
      <c r="K124" s="422"/>
      <c r="L124" s="436" t="s">
        <v>2633</v>
      </c>
      <c r="M124" s="251">
        <v>10856</v>
      </c>
      <c r="N124" s="422"/>
      <c r="O124" s="422"/>
      <c r="P124" s="251">
        <v>0</v>
      </c>
      <c r="Q124" s="420" t="s">
        <v>2634</v>
      </c>
      <c r="R124" s="436" t="s">
        <v>2618</v>
      </c>
      <c r="S124" s="422" t="s">
        <v>2591</v>
      </c>
      <c r="T124" s="420" t="s">
        <v>2436</v>
      </c>
      <c r="U124" s="143">
        <f t="shared" si="59"/>
        <v>8739.7645009999997</v>
      </c>
      <c r="V124" s="420"/>
      <c r="W124" s="420"/>
      <c r="X124" s="143">
        <v>8739.7645009999997</v>
      </c>
      <c r="Y124" s="143">
        <f t="shared" si="42"/>
        <v>668</v>
      </c>
      <c r="Z124" s="143"/>
      <c r="AA124" s="143"/>
      <c r="AB124" s="143">
        <f t="shared" si="62"/>
        <v>668</v>
      </c>
      <c r="AC124" s="143">
        <v>0</v>
      </c>
      <c r="AD124" s="143">
        <v>668</v>
      </c>
      <c r="AE124" s="143"/>
      <c r="AF124" s="143">
        <f t="shared" si="43"/>
        <v>667.11800000000005</v>
      </c>
      <c r="AG124" s="143"/>
      <c r="AH124" s="143"/>
      <c r="AI124" s="143">
        <f t="shared" si="44"/>
        <v>667.11800000000005</v>
      </c>
      <c r="AJ124" s="143">
        <v>0</v>
      </c>
      <c r="AK124" s="143">
        <v>667.11800000000005</v>
      </c>
      <c r="AL124" s="143"/>
      <c r="AM124" s="143">
        <v>667.11800000000005</v>
      </c>
      <c r="AN124" s="143"/>
      <c r="AO124" s="143"/>
      <c r="AP124" s="143">
        <v>667.11800000000005</v>
      </c>
      <c r="AQ124" s="143">
        <v>0</v>
      </c>
      <c r="AR124" s="143"/>
      <c r="AS124" s="143"/>
      <c r="AT124" s="143">
        <v>667.11800000000005</v>
      </c>
      <c r="AU124" s="143"/>
      <c r="AV124" s="143">
        <f t="shared" si="45"/>
        <v>0</v>
      </c>
      <c r="AW124" s="143"/>
      <c r="AX124" s="143"/>
      <c r="AY124" s="143">
        <f t="shared" si="46"/>
        <v>0</v>
      </c>
      <c r="AZ124" s="143">
        <v>0</v>
      </c>
      <c r="BA124" s="143">
        <v>0</v>
      </c>
      <c r="BB124" s="143"/>
      <c r="BC124" s="143">
        <v>0</v>
      </c>
      <c r="BD124" s="143"/>
      <c r="BE124" s="143"/>
      <c r="BF124" s="143">
        <v>0</v>
      </c>
      <c r="BG124" s="143">
        <v>0</v>
      </c>
      <c r="BH124" s="143"/>
      <c r="BI124" s="143"/>
      <c r="BJ124" s="143"/>
      <c r="BK124" s="143"/>
      <c r="BL124" s="143"/>
      <c r="BM124" s="143"/>
      <c r="BN124" s="143"/>
      <c r="BO124" s="143"/>
      <c r="BP124" s="143"/>
      <c r="BQ124" s="143"/>
      <c r="BR124" s="143"/>
      <c r="BS124" s="143"/>
      <c r="BT124" s="143">
        <v>0</v>
      </c>
      <c r="BU124" s="143">
        <v>0</v>
      </c>
      <c r="BV124" s="143">
        <v>0</v>
      </c>
      <c r="BW124" s="143">
        <v>0</v>
      </c>
      <c r="BX124" s="230"/>
      <c r="BY124" s="433"/>
    </row>
    <row r="125" spans="1:77" s="457" customFormat="1" ht="46.5" customHeight="1" outlineLevel="1">
      <c r="A125" s="430" t="s">
        <v>45</v>
      </c>
      <c r="B125" s="456" t="s">
        <v>51</v>
      </c>
      <c r="C125" s="418"/>
      <c r="D125" s="418"/>
      <c r="E125" s="418"/>
      <c r="F125" s="418"/>
      <c r="G125" s="418"/>
      <c r="H125" s="419">
        <f>SUM(H126:H161)</f>
        <v>0</v>
      </c>
      <c r="I125" s="418"/>
      <c r="J125" s="419"/>
      <c r="K125" s="419"/>
      <c r="L125" s="419"/>
      <c r="M125" s="419">
        <f>SUM(M126:M147)</f>
        <v>1147607.0759999999</v>
      </c>
      <c r="N125" s="419">
        <f t="shared" ref="N125:BY125" si="63">SUM(N126:N147)</f>
        <v>0</v>
      </c>
      <c r="O125" s="419">
        <f t="shared" si="63"/>
        <v>36320</v>
      </c>
      <c r="P125" s="419">
        <f t="shared" si="63"/>
        <v>1000552.355</v>
      </c>
      <c r="Q125" s="419">
        <f t="shared" si="63"/>
        <v>0</v>
      </c>
      <c r="R125" s="419">
        <f t="shared" si="63"/>
        <v>0</v>
      </c>
      <c r="S125" s="419">
        <f t="shared" si="63"/>
        <v>0</v>
      </c>
      <c r="T125" s="419">
        <f t="shared" si="63"/>
        <v>0</v>
      </c>
      <c r="U125" s="419">
        <f t="shared" si="63"/>
        <v>0</v>
      </c>
      <c r="V125" s="419">
        <f t="shared" si="63"/>
        <v>0</v>
      </c>
      <c r="W125" s="419">
        <f t="shared" si="63"/>
        <v>0</v>
      </c>
      <c r="X125" s="419">
        <f t="shared" si="63"/>
        <v>0</v>
      </c>
      <c r="Y125" s="419">
        <f t="shared" si="63"/>
        <v>483652.34900000005</v>
      </c>
      <c r="Z125" s="419">
        <f t="shared" si="63"/>
        <v>0</v>
      </c>
      <c r="AA125" s="419">
        <f t="shared" si="63"/>
        <v>0</v>
      </c>
      <c r="AB125" s="419">
        <f t="shared" si="63"/>
        <v>483652.34900000005</v>
      </c>
      <c r="AC125" s="419">
        <f t="shared" si="63"/>
        <v>143885</v>
      </c>
      <c r="AD125" s="419">
        <f t="shared" si="63"/>
        <v>320687</v>
      </c>
      <c r="AE125" s="419">
        <f t="shared" si="63"/>
        <v>19080.349000000002</v>
      </c>
      <c r="AF125" s="419">
        <f t="shared" si="63"/>
        <v>205225.19500000001</v>
      </c>
      <c r="AG125" s="419">
        <f t="shared" si="63"/>
        <v>0</v>
      </c>
      <c r="AH125" s="419">
        <f t="shared" si="63"/>
        <v>0</v>
      </c>
      <c r="AI125" s="419">
        <f t="shared" si="63"/>
        <v>205225.19500000001</v>
      </c>
      <c r="AJ125" s="419">
        <f t="shared" si="63"/>
        <v>109631.73</v>
      </c>
      <c r="AK125" s="419">
        <f t="shared" si="63"/>
        <v>74443.913</v>
      </c>
      <c r="AL125" s="419">
        <f t="shared" si="63"/>
        <v>21149.552</v>
      </c>
      <c r="AM125" s="419">
        <f t="shared" si="63"/>
        <v>174638.12983300001</v>
      </c>
      <c r="AN125" s="419">
        <f t="shared" si="63"/>
        <v>0</v>
      </c>
      <c r="AO125" s="419">
        <f t="shared" si="63"/>
        <v>4000</v>
      </c>
      <c r="AP125" s="419">
        <f t="shared" si="63"/>
        <v>170638.12983300001</v>
      </c>
      <c r="AQ125" s="419">
        <f t="shared" si="63"/>
        <v>106876.28091</v>
      </c>
      <c r="AR125" s="419">
        <f t="shared" si="63"/>
        <v>106876.28091</v>
      </c>
      <c r="AS125" s="419">
        <f t="shared" si="63"/>
        <v>0</v>
      </c>
      <c r="AT125" s="419">
        <f t="shared" si="63"/>
        <v>46637.257845</v>
      </c>
      <c r="AU125" s="419">
        <f t="shared" si="63"/>
        <v>17124.591078000001</v>
      </c>
      <c r="AV125" s="419">
        <f t="shared" si="63"/>
        <v>101239</v>
      </c>
      <c r="AW125" s="419">
        <f t="shared" si="63"/>
        <v>0</v>
      </c>
      <c r="AX125" s="419">
        <f t="shared" si="63"/>
        <v>0</v>
      </c>
      <c r="AY125" s="419">
        <f t="shared" si="63"/>
        <v>101239</v>
      </c>
      <c r="AZ125" s="419">
        <f t="shared" si="63"/>
        <v>34020</v>
      </c>
      <c r="BA125" s="419">
        <f t="shared" si="63"/>
        <v>65319</v>
      </c>
      <c r="BB125" s="419">
        <f t="shared" si="63"/>
        <v>1900</v>
      </c>
      <c r="BC125" s="419">
        <f t="shared" si="63"/>
        <v>62462.359912000007</v>
      </c>
      <c r="BD125" s="419">
        <f t="shared" si="63"/>
        <v>0</v>
      </c>
      <c r="BE125" s="419">
        <f t="shared" si="63"/>
        <v>0</v>
      </c>
      <c r="BF125" s="419">
        <f t="shared" si="63"/>
        <v>62462.359912000007</v>
      </c>
      <c r="BG125" s="419">
        <f t="shared" si="63"/>
        <v>34012.982900000003</v>
      </c>
      <c r="BH125" s="419">
        <f t="shared" si="63"/>
        <v>34012.982900000003</v>
      </c>
      <c r="BI125" s="419">
        <f t="shared" si="63"/>
        <v>0</v>
      </c>
      <c r="BJ125" s="419">
        <f t="shared" si="63"/>
        <v>27818.736478999999</v>
      </c>
      <c r="BK125" s="419">
        <f t="shared" si="63"/>
        <v>1827.665</v>
      </c>
      <c r="BL125" s="419">
        <f t="shared" si="63"/>
        <v>7751.3789360000001</v>
      </c>
      <c r="BM125" s="419">
        <f t="shared" si="63"/>
        <v>0</v>
      </c>
      <c r="BN125" s="419">
        <f t="shared" si="63"/>
        <v>312.90480000000002</v>
      </c>
      <c r="BO125" s="419">
        <f t="shared" si="63"/>
        <v>7438.4741359999998</v>
      </c>
      <c r="BP125" s="419">
        <f t="shared" si="63"/>
        <v>6820.555985</v>
      </c>
      <c r="BQ125" s="419">
        <f t="shared" si="63"/>
        <v>0</v>
      </c>
      <c r="BR125" s="419">
        <f t="shared" si="63"/>
        <v>312.90480000000002</v>
      </c>
      <c r="BS125" s="419">
        <f t="shared" si="63"/>
        <v>6507.6511849999997</v>
      </c>
      <c r="BT125" s="419">
        <f>SUM(BT126:BT147)</f>
        <v>746714</v>
      </c>
      <c r="BU125" s="419">
        <f t="shared" ref="BU125:BW125" si="64">SUM(BU126:BU147)</f>
        <v>0</v>
      </c>
      <c r="BV125" s="419">
        <f t="shared" si="64"/>
        <v>746714</v>
      </c>
      <c r="BW125" s="419">
        <f t="shared" si="64"/>
        <v>0</v>
      </c>
      <c r="BX125" s="454"/>
      <c r="BY125" s="419">
        <f t="shared" si="63"/>
        <v>0</v>
      </c>
    </row>
    <row r="126" spans="1:77" ht="30.75" outlineLevel="1">
      <c r="A126" s="420">
        <v>1</v>
      </c>
      <c r="B126" s="435" t="s">
        <v>2635</v>
      </c>
      <c r="C126" s="428" t="s">
        <v>2341</v>
      </c>
      <c r="D126" s="420" t="s">
        <v>2436</v>
      </c>
      <c r="E126" s="420" t="s">
        <v>49</v>
      </c>
      <c r="F126" s="431" t="s">
        <v>48</v>
      </c>
      <c r="G126" s="143">
        <v>7920776</v>
      </c>
      <c r="H126" s="420" t="s">
        <v>2433</v>
      </c>
      <c r="I126" s="420" t="s">
        <v>84</v>
      </c>
      <c r="J126" s="422">
        <v>2024</v>
      </c>
      <c r="K126" s="422"/>
      <c r="L126" s="420" t="s">
        <v>2636</v>
      </c>
      <c r="M126" s="145">
        <v>3630.355</v>
      </c>
      <c r="N126" s="422"/>
      <c r="O126" s="422"/>
      <c r="P126" s="145">
        <v>3630.355</v>
      </c>
      <c r="Q126" s="420" t="s">
        <v>2637</v>
      </c>
      <c r="R126" s="420" t="s">
        <v>2433</v>
      </c>
      <c r="S126" s="422" t="s">
        <v>2591</v>
      </c>
      <c r="T126" s="420" t="s">
        <v>2436</v>
      </c>
      <c r="U126" s="143">
        <f t="shared" si="59"/>
        <v>0</v>
      </c>
      <c r="V126" s="420"/>
      <c r="W126" s="420"/>
      <c r="X126" s="420"/>
      <c r="Y126" s="143">
        <f t="shared" si="42"/>
        <v>3618</v>
      </c>
      <c r="Z126" s="143"/>
      <c r="AA126" s="143"/>
      <c r="AB126" s="143">
        <f t="shared" ref="AB126:AB147" si="65">AC126+AD126+AE126</f>
        <v>3618</v>
      </c>
      <c r="AC126" s="143">
        <v>3618</v>
      </c>
      <c r="AD126" s="143"/>
      <c r="AE126" s="143"/>
      <c r="AF126" s="143">
        <f t="shared" si="43"/>
        <v>2300</v>
      </c>
      <c r="AG126" s="143"/>
      <c r="AH126" s="143"/>
      <c r="AI126" s="143">
        <f t="shared" si="44"/>
        <v>2300</v>
      </c>
      <c r="AJ126" s="143">
        <v>2300</v>
      </c>
      <c r="AK126" s="143"/>
      <c r="AL126" s="143"/>
      <c r="AM126" s="143">
        <v>2300</v>
      </c>
      <c r="AN126" s="143"/>
      <c r="AO126" s="143"/>
      <c r="AP126" s="143">
        <v>2300</v>
      </c>
      <c r="AQ126" s="143">
        <v>2300</v>
      </c>
      <c r="AR126" s="143">
        <v>2300</v>
      </c>
      <c r="AS126" s="143"/>
      <c r="AT126" s="143"/>
      <c r="AU126" s="143"/>
      <c r="AV126" s="143">
        <f t="shared" si="45"/>
        <v>1085</v>
      </c>
      <c r="AW126" s="143"/>
      <c r="AX126" s="143"/>
      <c r="AY126" s="143">
        <f t="shared" si="46"/>
        <v>1085</v>
      </c>
      <c r="AZ126" s="143">
        <v>1085</v>
      </c>
      <c r="BA126" s="143"/>
      <c r="BB126" s="143"/>
      <c r="BC126" s="143">
        <v>1083.1289999999999</v>
      </c>
      <c r="BD126" s="143"/>
      <c r="BE126" s="143"/>
      <c r="BF126" s="143">
        <v>1083.1289999999999</v>
      </c>
      <c r="BG126" s="143">
        <v>1083.1289999999999</v>
      </c>
      <c r="BH126" s="143">
        <v>1083.1289999999999</v>
      </c>
      <c r="BI126" s="143"/>
      <c r="BJ126" s="143"/>
      <c r="BK126" s="143"/>
      <c r="BL126" s="143"/>
      <c r="BM126" s="143"/>
      <c r="BN126" s="143"/>
      <c r="BO126" s="143"/>
      <c r="BP126" s="143"/>
      <c r="BQ126" s="143"/>
      <c r="BR126" s="143"/>
      <c r="BS126" s="143"/>
      <c r="BT126" s="143"/>
      <c r="BU126" s="143"/>
      <c r="BV126" s="143"/>
      <c r="BW126" s="143"/>
      <c r="BX126" s="230"/>
      <c r="BY126" s="433"/>
    </row>
    <row r="127" spans="1:77" ht="46.15" outlineLevel="1">
      <c r="A127" s="420">
        <v>2</v>
      </c>
      <c r="B127" s="435" t="s">
        <v>2638</v>
      </c>
      <c r="C127" s="428" t="s">
        <v>2395</v>
      </c>
      <c r="D127" s="420" t="s">
        <v>2436</v>
      </c>
      <c r="E127" s="420" t="s">
        <v>49</v>
      </c>
      <c r="F127" s="431" t="s">
        <v>48</v>
      </c>
      <c r="G127" s="142">
        <v>7946978</v>
      </c>
      <c r="H127" s="420" t="s">
        <v>2433</v>
      </c>
      <c r="I127" s="420" t="s">
        <v>906</v>
      </c>
      <c r="J127" s="420"/>
      <c r="K127" s="422"/>
      <c r="L127" s="436" t="s">
        <v>2639</v>
      </c>
      <c r="M127" s="146">
        <v>2000</v>
      </c>
      <c r="N127" s="422"/>
      <c r="O127" s="422"/>
      <c r="P127" s="146">
        <v>2000</v>
      </c>
      <c r="Q127" s="420"/>
      <c r="R127" s="420" t="s">
        <v>2433</v>
      </c>
      <c r="S127" s="422" t="s">
        <v>2591</v>
      </c>
      <c r="T127" s="420" t="s">
        <v>2436</v>
      </c>
      <c r="U127" s="143">
        <f t="shared" si="59"/>
        <v>0</v>
      </c>
      <c r="V127" s="420"/>
      <c r="W127" s="420"/>
      <c r="X127" s="420"/>
      <c r="Y127" s="143">
        <f t="shared" si="42"/>
        <v>1795</v>
      </c>
      <c r="Z127" s="143"/>
      <c r="AA127" s="143"/>
      <c r="AB127" s="143">
        <f t="shared" si="65"/>
        <v>1795</v>
      </c>
      <c r="AC127" s="143">
        <v>0</v>
      </c>
      <c r="AD127" s="143">
        <v>1795</v>
      </c>
      <c r="AE127" s="143"/>
      <c r="AF127" s="143">
        <f t="shared" si="43"/>
        <v>1795</v>
      </c>
      <c r="AG127" s="143"/>
      <c r="AH127" s="143"/>
      <c r="AI127" s="143">
        <f t="shared" si="44"/>
        <v>1795</v>
      </c>
      <c r="AJ127" s="143">
        <v>0</v>
      </c>
      <c r="AK127" s="143">
        <v>1795</v>
      </c>
      <c r="AL127" s="143"/>
      <c r="AM127" s="143">
        <v>1795</v>
      </c>
      <c r="AN127" s="143"/>
      <c r="AO127" s="143"/>
      <c r="AP127" s="143">
        <v>1795</v>
      </c>
      <c r="AQ127" s="143">
        <v>0</v>
      </c>
      <c r="AR127" s="143"/>
      <c r="AS127" s="143"/>
      <c r="AT127" s="143">
        <v>1795</v>
      </c>
      <c r="AU127" s="143"/>
      <c r="AV127" s="143">
        <f t="shared" si="45"/>
        <v>0</v>
      </c>
      <c r="AW127" s="143"/>
      <c r="AX127" s="143"/>
      <c r="AY127" s="143">
        <f t="shared" si="46"/>
        <v>0</v>
      </c>
      <c r="AZ127" s="143">
        <v>0</v>
      </c>
      <c r="BA127" s="143">
        <v>0</v>
      </c>
      <c r="BB127" s="143"/>
      <c r="BC127" s="143">
        <v>0</v>
      </c>
      <c r="BD127" s="143"/>
      <c r="BE127" s="143"/>
      <c r="BF127" s="143">
        <v>0</v>
      </c>
      <c r="BG127" s="143">
        <v>0</v>
      </c>
      <c r="BH127" s="143">
        <v>0</v>
      </c>
      <c r="BI127" s="143"/>
      <c r="BJ127" s="143"/>
      <c r="BK127" s="143"/>
      <c r="BL127" s="143"/>
      <c r="BM127" s="143"/>
      <c r="BN127" s="143"/>
      <c r="BO127" s="143"/>
      <c r="BP127" s="143"/>
      <c r="BQ127" s="143"/>
      <c r="BR127" s="143"/>
      <c r="BS127" s="143"/>
      <c r="BT127" s="143"/>
      <c r="BU127" s="143"/>
      <c r="BV127" s="143"/>
      <c r="BW127" s="143"/>
      <c r="BX127" s="230"/>
      <c r="BY127" s="433"/>
    </row>
    <row r="128" spans="1:77" ht="30.75" outlineLevel="1">
      <c r="A128" s="420">
        <v>3</v>
      </c>
      <c r="B128" s="435" t="s">
        <v>2640</v>
      </c>
      <c r="C128" s="428" t="s">
        <v>2641</v>
      </c>
      <c r="D128" s="420" t="s">
        <v>2436</v>
      </c>
      <c r="E128" s="422" t="s">
        <v>49</v>
      </c>
      <c r="F128" s="422" t="s">
        <v>125</v>
      </c>
      <c r="G128" s="151">
        <v>8018783</v>
      </c>
      <c r="H128" s="437" t="s">
        <v>2556</v>
      </c>
      <c r="I128" s="420" t="s">
        <v>910</v>
      </c>
      <c r="J128" s="420"/>
      <c r="K128" s="424"/>
      <c r="L128" s="420" t="s">
        <v>2642</v>
      </c>
      <c r="M128" s="453">
        <v>841</v>
      </c>
      <c r="N128" s="424"/>
      <c r="O128" s="424"/>
      <c r="P128" s="424"/>
      <c r="Q128" s="420"/>
      <c r="R128" s="437" t="s">
        <v>2556</v>
      </c>
      <c r="S128" s="420" t="s">
        <v>2436</v>
      </c>
      <c r="T128" s="420" t="s">
        <v>2436</v>
      </c>
      <c r="U128" s="143">
        <f t="shared" si="59"/>
        <v>0</v>
      </c>
      <c r="V128" s="421"/>
      <c r="W128" s="421"/>
      <c r="X128" s="421"/>
      <c r="Y128" s="143">
        <f t="shared" si="42"/>
        <v>600</v>
      </c>
      <c r="Z128" s="143"/>
      <c r="AA128" s="143"/>
      <c r="AB128" s="143">
        <f t="shared" si="65"/>
        <v>600</v>
      </c>
      <c r="AC128" s="143">
        <v>0</v>
      </c>
      <c r="AD128" s="144"/>
      <c r="AE128" s="144">
        <v>600</v>
      </c>
      <c r="AF128" s="143">
        <f t="shared" si="43"/>
        <v>600</v>
      </c>
      <c r="AG128" s="143"/>
      <c r="AH128" s="143"/>
      <c r="AI128" s="143">
        <f t="shared" si="44"/>
        <v>600</v>
      </c>
      <c r="AJ128" s="143">
        <v>0</v>
      </c>
      <c r="AK128" s="144"/>
      <c r="AL128" s="144">
        <v>600</v>
      </c>
      <c r="AM128" s="143">
        <v>589.36800000000005</v>
      </c>
      <c r="AN128" s="143"/>
      <c r="AO128" s="143"/>
      <c r="AP128" s="143">
        <v>589.36800000000005</v>
      </c>
      <c r="AQ128" s="143">
        <v>0</v>
      </c>
      <c r="AR128" s="144"/>
      <c r="AS128" s="144"/>
      <c r="AT128" s="144"/>
      <c r="AU128" s="144">
        <v>589.36800000000005</v>
      </c>
      <c r="AV128" s="143">
        <f t="shared" si="45"/>
        <v>0</v>
      </c>
      <c r="AW128" s="143"/>
      <c r="AX128" s="143"/>
      <c r="AY128" s="143">
        <f t="shared" si="46"/>
        <v>0</v>
      </c>
      <c r="AZ128" s="143">
        <v>0</v>
      </c>
      <c r="BA128" s="144"/>
      <c r="BB128" s="144"/>
      <c r="BC128" s="143">
        <v>0</v>
      </c>
      <c r="BD128" s="143"/>
      <c r="BE128" s="143"/>
      <c r="BF128" s="143">
        <v>0</v>
      </c>
      <c r="BG128" s="143">
        <v>0</v>
      </c>
      <c r="BH128" s="148">
        <v>0</v>
      </c>
      <c r="BI128" s="143"/>
      <c r="BJ128" s="148"/>
      <c r="BK128" s="153"/>
      <c r="BL128" s="153"/>
      <c r="BM128" s="153"/>
      <c r="BN128" s="153"/>
      <c r="BO128" s="153"/>
      <c r="BP128" s="153"/>
      <c r="BQ128" s="153"/>
      <c r="BR128" s="153"/>
      <c r="BS128" s="153"/>
      <c r="BT128" s="153"/>
      <c r="BU128" s="153"/>
      <c r="BV128" s="153"/>
      <c r="BW128" s="153"/>
      <c r="BX128" s="232"/>
      <c r="BY128" s="426"/>
    </row>
    <row r="129" spans="1:77" ht="30.75" outlineLevel="1">
      <c r="A129" s="420">
        <v>4</v>
      </c>
      <c r="B129" s="442" t="s">
        <v>2643</v>
      </c>
      <c r="C129" s="428" t="s">
        <v>2350</v>
      </c>
      <c r="D129" s="420" t="s">
        <v>2436</v>
      </c>
      <c r="E129" s="422" t="s">
        <v>10</v>
      </c>
      <c r="F129" s="420" t="s">
        <v>2644</v>
      </c>
      <c r="G129" s="142">
        <v>7894825</v>
      </c>
      <c r="H129" s="423" t="s">
        <v>2433</v>
      </c>
      <c r="I129" s="420" t="s">
        <v>2645</v>
      </c>
      <c r="J129" s="422">
        <v>2021</v>
      </c>
      <c r="K129" s="424"/>
      <c r="L129" s="436" t="s">
        <v>2646</v>
      </c>
      <c r="M129" s="146">
        <v>129774</v>
      </c>
      <c r="N129" s="424"/>
      <c r="O129" s="424"/>
      <c r="P129" s="146">
        <v>96191</v>
      </c>
      <c r="Q129" s="420"/>
      <c r="R129" s="437" t="s">
        <v>2600</v>
      </c>
      <c r="S129" s="422" t="s">
        <v>2591</v>
      </c>
      <c r="T129" s="420" t="s">
        <v>2436</v>
      </c>
      <c r="U129" s="143">
        <f t="shared" si="59"/>
        <v>0</v>
      </c>
      <c r="V129" s="421"/>
      <c r="W129" s="421"/>
      <c r="X129" s="421"/>
      <c r="Y129" s="143">
        <f t="shared" si="42"/>
        <v>108932</v>
      </c>
      <c r="Z129" s="143"/>
      <c r="AA129" s="145"/>
      <c r="AB129" s="143">
        <f t="shared" si="65"/>
        <v>108932</v>
      </c>
      <c r="AC129" s="143">
        <v>81241</v>
      </c>
      <c r="AD129" s="144">
        <v>27691</v>
      </c>
      <c r="AE129" s="144"/>
      <c r="AF129" s="143">
        <f t="shared" si="43"/>
        <v>91410.73</v>
      </c>
      <c r="AG129" s="143"/>
      <c r="AH129" s="145"/>
      <c r="AI129" s="143">
        <f t="shared" si="44"/>
        <v>91410.73</v>
      </c>
      <c r="AJ129" s="143">
        <v>81240.73</v>
      </c>
      <c r="AK129" s="144">
        <v>10170</v>
      </c>
      <c r="AL129" s="144"/>
      <c r="AM129" s="143">
        <v>86700.573741</v>
      </c>
      <c r="AN129" s="143"/>
      <c r="AO129" s="144"/>
      <c r="AP129" s="143">
        <v>86700.573741</v>
      </c>
      <c r="AQ129" s="143">
        <v>81240.729183000003</v>
      </c>
      <c r="AR129" s="144">
        <v>81240.729183000003</v>
      </c>
      <c r="AS129" s="144"/>
      <c r="AT129" s="144">
        <v>5459.8445579999998</v>
      </c>
      <c r="AU129" s="144"/>
      <c r="AV129" s="143">
        <f t="shared" si="45"/>
        <v>4710</v>
      </c>
      <c r="AW129" s="143"/>
      <c r="AX129" s="143"/>
      <c r="AY129" s="143">
        <f t="shared" si="46"/>
        <v>4710</v>
      </c>
      <c r="AZ129" s="143">
        <v>0</v>
      </c>
      <c r="BA129" s="144">
        <v>4710</v>
      </c>
      <c r="BB129" s="144"/>
      <c r="BC129" s="143">
        <v>0</v>
      </c>
      <c r="BD129" s="143"/>
      <c r="BE129" s="143"/>
      <c r="BF129" s="143">
        <v>0</v>
      </c>
      <c r="BG129" s="143">
        <v>0</v>
      </c>
      <c r="BH129" s="148">
        <v>0</v>
      </c>
      <c r="BI129" s="143"/>
      <c r="BJ129" s="148"/>
      <c r="BK129" s="148"/>
      <c r="BL129" s="148">
        <v>6425.6906419999996</v>
      </c>
      <c r="BM129" s="148"/>
      <c r="BN129" s="148"/>
      <c r="BO129" s="148">
        <v>6425.6906419999996</v>
      </c>
      <c r="BP129" s="148">
        <v>6425.6906419999996</v>
      </c>
      <c r="BQ129" s="148">
        <v>0</v>
      </c>
      <c r="BR129" s="148"/>
      <c r="BS129" s="148">
        <v>6425.6906419999996</v>
      </c>
      <c r="BT129" s="148">
        <v>11231</v>
      </c>
      <c r="BU129" s="148"/>
      <c r="BV129" s="148">
        <v>11231</v>
      </c>
      <c r="BW129" s="148"/>
      <c r="BX129" s="231"/>
      <c r="BY129" s="436"/>
    </row>
    <row r="130" spans="1:77" ht="46.15" outlineLevel="1">
      <c r="A130" s="420">
        <v>5</v>
      </c>
      <c r="B130" s="421" t="s">
        <v>2647</v>
      </c>
      <c r="C130" s="428" t="s">
        <v>2395</v>
      </c>
      <c r="D130" s="420" t="s">
        <v>2436</v>
      </c>
      <c r="E130" s="422" t="s">
        <v>49</v>
      </c>
      <c r="F130" s="422" t="s">
        <v>125</v>
      </c>
      <c r="G130" s="142">
        <v>7946979</v>
      </c>
      <c r="H130" s="420" t="s">
        <v>2648</v>
      </c>
      <c r="I130" s="420" t="s">
        <v>906</v>
      </c>
      <c r="J130" s="420"/>
      <c r="K130" s="424"/>
      <c r="L130" s="436" t="s">
        <v>2649</v>
      </c>
      <c r="M130" s="146">
        <v>2291</v>
      </c>
      <c r="N130" s="424"/>
      <c r="O130" s="424"/>
      <c r="P130" s="146">
        <v>2291</v>
      </c>
      <c r="Q130" s="420"/>
      <c r="R130" s="420" t="s">
        <v>2650</v>
      </c>
      <c r="S130" s="422" t="s">
        <v>2591</v>
      </c>
      <c r="T130" s="420" t="s">
        <v>2436</v>
      </c>
      <c r="U130" s="143">
        <f t="shared" si="59"/>
        <v>0</v>
      </c>
      <c r="V130" s="421"/>
      <c r="W130" s="421"/>
      <c r="X130" s="421"/>
      <c r="Y130" s="143">
        <f t="shared" si="42"/>
        <v>2176</v>
      </c>
      <c r="Z130" s="143"/>
      <c r="AA130" s="143"/>
      <c r="AB130" s="143">
        <f t="shared" si="65"/>
        <v>2176</v>
      </c>
      <c r="AC130" s="143">
        <v>0</v>
      </c>
      <c r="AD130" s="144">
        <v>2176</v>
      </c>
      <c r="AE130" s="144"/>
      <c r="AF130" s="143">
        <f t="shared" si="43"/>
        <v>2006.2190000000001</v>
      </c>
      <c r="AG130" s="143"/>
      <c r="AH130" s="143"/>
      <c r="AI130" s="143">
        <f t="shared" si="44"/>
        <v>2006.2190000000001</v>
      </c>
      <c r="AJ130" s="143">
        <v>0</v>
      </c>
      <c r="AK130" s="144">
        <v>2006.2190000000001</v>
      </c>
      <c r="AL130" s="144"/>
      <c r="AM130" s="143">
        <v>2006.2181310000001</v>
      </c>
      <c r="AN130" s="143"/>
      <c r="AO130" s="143"/>
      <c r="AP130" s="143">
        <v>2006.2181310000001</v>
      </c>
      <c r="AQ130" s="143">
        <v>0</v>
      </c>
      <c r="AR130" s="143"/>
      <c r="AS130" s="144"/>
      <c r="AT130" s="144">
        <v>2006.2181310000001</v>
      </c>
      <c r="AU130" s="144"/>
      <c r="AV130" s="143">
        <f t="shared" si="45"/>
        <v>0</v>
      </c>
      <c r="AW130" s="143"/>
      <c r="AX130" s="143"/>
      <c r="AY130" s="143">
        <f t="shared" si="46"/>
        <v>0</v>
      </c>
      <c r="AZ130" s="143">
        <v>0</v>
      </c>
      <c r="BA130" s="144">
        <v>0</v>
      </c>
      <c r="BB130" s="144"/>
      <c r="BC130" s="143">
        <v>0</v>
      </c>
      <c r="BD130" s="143"/>
      <c r="BE130" s="143"/>
      <c r="BF130" s="143">
        <v>0</v>
      </c>
      <c r="BG130" s="143">
        <v>0</v>
      </c>
      <c r="BH130" s="148">
        <v>0</v>
      </c>
      <c r="BI130" s="143"/>
      <c r="BJ130" s="148"/>
      <c r="BK130" s="148"/>
      <c r="BL130" s="148"/>
      <c r="BM130" s="148"/>
      <c r="BN130" s="148"/>
      <c r="BO130" s="148"/>
      <c r="BP130" s="148"/>
      <c r="BQ130" s="148"/>
      <c r="BR130" s="148"/>
      <c r="BS130" s="148"/>
      <c r="BT130" s="148"/>
      <c r="BU130" s="148"/>
      <c r="BV130" s="148"/>
      <c r="BW130" s="148"/>
      <c r="BX130" s="231"/>
      <c r="BY130" s="424"/>
    </row>
    <row r="131" spans="1:77" ht="46.15" outlineLevel="1">
      <c r="A131" s="420">
        <v>6</v>
      </c>
      <c r="B131" s="435" t="s">
        <v>2651</v>
      </c>
      <c r="C131" s="420" t="s">
        <v>2350</v>
      </c>
      <c r="D131" s="420" t="s">
        <v>2436</v>
      </c>
      <c r="E131" s="422" t="s">
        <v>49</v>
      </c>
      <c r="F131" s="422" t="s">
        <v>105</v>
      </c>
      <c r="G131" s="150">
        <v>7937942</v>
      </c>
      <c r="H131" s="437" t="s">
        <v>2618</v>
      </c>
      <c r="I131" s="420">
        <v>2022</v>
      </c>
      <c r="J131" s="422">
        <v>2022</v>
      </c>
      <c r="K131" s="424"/>
      <c r="L131" s="420" t="s">
        <v>2652</v>
      </c>
      <c r="M131" s="448">
        <v>4629</v>
      </c>
      <c r="N131" s="424"/>
      <c r="O131" s="424"/>
      <c r="P131" s="448">
        <v>4629</v>
      </c>
      <c r="Q131" s="420" t="s">
        <v>2653</v>
      </c>
      <c r="R131" s="437" t="s">
        <v>2618</v>
      </c>
      <c r="S131" s="422" t="s">
        <v>2591</v>
      </c>
      <c r="T131" s="420" t="s">
        <v>2436</v>
      </c>
      <c r="U131" s="143">
        <f t="shared" si="59"/>
        <v>0</v>
      </c>
      <c r="V131" s="421"/>
      <c r="W131" s="421"/>
      <c r="X131" s="421"/>
      <c r="Y131" s="143">
        <f t="shared" si="42"/>
        <v>4629</v>
      </c>
      <c r="Z131" s="143"/>
      <c r="AA131" s="143"/>
      <c r="AB131" s="143">
        <f t="shared" si="65"/>
        <v>4629</v>
      </c>
      <c r="AC131" s="143">
        <v>0</v>
      </c>
      <c r="AD131" s="144">
        <v>4629</v>
      </c>
      <c r="AE131" s="144"/>
      <c r="AF131" s="143">
        <f t="shared" si="43"/>
        <v>4431</v>
      </c>
      <c r="AG131" s="143"/>
      <c r="AH131" s="143"/>
      <c r="AI131" s="143">
        <f t="shared" si="44"/>
        <v>4431</v>
      </c>
      <c r="AJ131" s="143">
        <v>0</v>
      </c>
      <c r="AK131" s="144">
        <v>4431</v>
      </c>
      <c r="AL131" s="144"/>
      <c r="AM131" s="143">
        <v>4430.7175000000007</v>
      </c>
      <c r="AN131" s="143"/>
      <c r="AO131" s="143"/>
      <c r="AP131" s="143">
        <v>4430.7175000000007</v>
      </c>
      <c r="AQ131" s="143">
        <v>0</v>
      </c>
      <c r="AR131" s="143"/>
      <c r="AS131" s="144"/>
      <c r="AT131" s="144">
        <v>4430.7175000000007</v>
      </c>
      <c r="AU131" s="144"/>
      <c r="AV131" s="143">
        <f t="shared" si="45"/>
        <v>0</v>
      </c>
      <c r="AW131" s="143"/>
      <c r="AX131" s="143"/>
      <c r="AY131" s="143">
        <f t="shared" si="46"/>
        <v>0</v>
      </c>
      <c r="AZ131" s="143">
        <v>0</v>
      </c>
      <c r="BA131" s="144">
        <v>0</v>
      </c>
      <c r="BB131" s="144"/>
      <c r="BC131" s="143">
        <v>0</v>
      </c>
      <c r="BD131" s="143"/>
      <c r="BE131" s="143"/>
      <c r="BF131" s="143">
        <v>0</v>
      </c>
      <c r="BG131" s="143">
        <v>0</v>
      </c>
      <c r="BH131" s="148">
        <v>0</v>
      </c>
      <c r="BI131" s="143"/>
      <c r="BJ131" s="148"/>
      <c r="BK131" s="148"/>
      <c r="BL131" s="148"/>
      <c r="BM131" s="148"/>
      <c r="BN131" s="148"/>
      <c r="BO131" s="148"/>
      <c r="BP131" s="148"/>
      <c r="BQ131" s="148"/>
      <c r="BR131" s="148"/>
      <c r="BS131" s="148"/>
      <c r="BT131" s="148"/>
      <c r="BU131" s="148"/>
      <c r="BV131" s="148"/>
      <c r="BW131" s="148"/>
      <c r="BX131" s="231"/>
      <c r="BY131" s="424"/>
    </row>
    <row r="132" spans="1:77" ht="46.15" outlineLevel="1">
      <c r="A132" s="420">
        <v>7</v>
      </c>
      <c r="B132" s="435" t="s">
        <v>2654</v>
      </c>
      <c r="C132" s="420" t="s">
        <v>2350</v>
      </c>
      <c r="D132" s="420" t="s">
        <v>2436</v>
      </c>
      <c r="E132" s="422" t="s">
        <v>49</v>
      </c>
      <c r="F132" s="420" t="s">
        <v>2402</v>
      </c>
      <c r="G132" s="446">
        <v>7937945</v>
      </c>
      <c r="H132" s="437" t="s">
        <v>2433</v>
      </c>
      <c r="I132" s="420" t="s">
        <v>2655</v>
      </c>
      <c r="J132" s="420"/>
      <c r="K132" s="424"/>
      <c r="L132" s="420" t="s">
        <v>2656</v>
      </c>
      <c r="M132" s="448">
        <v>10940</v>
      </c>
      <c r="N132" s="424"/>
      <c r="O132" s="424"/>
      <c r="P132" s="448">
        <v>10940</v>
      </c>
      <c r="Q132" s="420"/>
      <c r="R132" s="437" t="s">
        <v>2433</v>
      </c>
      <c r="S132" s="422" t="s">
        <v>2591</v>
      </c>
      <c r="T132" s="420" t="s">
        <v>2436</v>
      </c>
      <c r="U132" s="143">
        <f t="shared" si="59"/>
        <v>0</v>
      </c>
      <c r="V132" s="421"/>
      <c r="W132" s="421"/>
      <c r="X132" s="421"/>
      <c r="Y132" s="143">
        <f t="shared" si="42"/>
        <v>10940</v>
      </c>
      <c r="Z132" s="143"/>
      <c r="AA132" s="145"/>
      <c r="AB132" s="143">
        <f t="shared" si="65"/>
        <v>10940</v>
      </c>
      <c r="AC132" s="143">
        <v>9611</v>
      </c>
      <c r="AD132" s="144">
        <v>1329</v>
      </c>
      <c r="AE132" s="144"/>
      <c r="AF132" s="143">
        <f t="shared" si="43"/>
        <v>61</v>
      </c>
      <c r="AG132" s="143"/>
      <c r="AH132" s="143"/>
      <c r="AI132" s="143">
        <f t="shared" si="44"/>
        <v>61</v>
      </c>
      <c r="AJ132" s="143">
        <v>0</v>
      </c>
      <c r="AK132" s="144">
        <v>61</v>
      </c>
      <c r="AL132" s="144"/>
      <c r="AM132" s="143">
        <v>0</v>
      </c>
      <c r="AN132" s="143"/>
      <c r="AO132" s="143"/>
      <c r="AP132" s="143">
        <v>0</v>
      </c>
      <c r="AQ132" s="143">
        <v>0</v>
      </c>
      <c r="AR132" s="143"/>
      <c r="AS132" s="144"/>
      <c r="AT132" s="144">
        <v>0</v>
      </c>
      <c r="AU132" s="144"/>
      <c r="AV132" s="143">
        <f t="shared" si="45"/>
        <v>9672</v>
      </c>
      <c r="AW132" s="143"/>
      <c r="AX132" s="144"/>
      <c r="AY132" s="143">
        <f t="shared" si="46"/>
        <v>9672</v>
      </c>
      <c r="AZ132" s="143">
        <v>9611</v>
      </c>
      <c r="BA132" s="144">
        <v>61</v>
      </c>
      <c r="BB132" s="144"/>
      <c r="BC132" s="143">
        <v>9654.0054330000003</v>
      </c>
      <c r="BD132" s="143"/>
      <c r="BE132" s="144"/>
      <c r="BF132" s="143">
        <v>9654.0054330000003</v>
      </c>
      <c r="BG132" s="143">
        <v>9610.8294330000008</v>
      </c>
      <c r="BH132" s="148">
        <v>9610.8294330000008</v>
      </c>
      <c r="BI132" s="143"/>
      <c r="BJ132" s="148">
        <v>43.176000000000002</v>
      </c>
      <c r="BK132" s="148"/>
      <c r="BL132" s="148"/>
      <c r="BM132" s="148"/>
      <c r="BN132" s="148"/>
      <c r="BO132" s="148"/>
      <c r="BP132" s="148"/>
      <c r="BQ132" s="148"/>
      <c r="BR132" s="148"/>
      <c r="BS132" s="148"/>
      <c r="BT132" s="459">
        <v>1268</v>
      </c>
      <c r="BU132" s="148"/>
      <c r="BV132" s="459">
        <v>1268</v>
      </c>
      <c r="BW132" s="148"/>
      <c r="BX132" s="231"/>
      <c r="BY132" s="436"/>
    </row>
    <row r="133" spans="1:77" ht="61.5" outlineLevel="1">
      <c r="A133" s="420">
        <v>8</v>
      </c>
      <c r="B133" s="421" t="s">
        <v>2657</v>
      </c>
      <c r="C133" s="420" t="s">
        <v>2641</v>
      </c>
      <c r="D133" s="420" t="s">
        <v>2436</v>
      </c>
      <c r="E133" s="422" t="s">
        <v>49</v>
      </c>
      <c r="F133" s="422" t="s">
        <v>125</v>
      </c>
      <c r="G133" s="150">
        <v>7964710</v>
      </c>
      <c r="H133" s="437" t="s">
        <v>2433</v>
      </c>
      <c r="I133" s="420" t="s">
        <v>906</v>
      </c>
      <c r="J133" s="420"/>
      <c r="K133" s="424"/>
      <c r="L133" s="420" t="s">
        <v>2658</v>
      </c>
      <c r="M133" s="448">
        <v>490</v>
      </c>
      <c r="N133" s="424"/>
      <c r="O133" s="424"/>
      <c r="P133" s="448">
        <v>490</v>
      </c>
      <c r="Q133" s="420"/>
      <c r="R133" s="437" t="s">
        <v>2600</v>
      </c>
      <c r="S133" s="422" t="s">
        <v>2591</v>
      </c>
      <c r="T133" s="420" t="s">
        <v>2436</v>
      </c>
      <c r="U133" s="143">
        <f t="shared" si="59"/>
        <v>0</v>
      </c>
      <c r="V133" s="421"/>
      <c r="W133" s="421"/>
      <c r="X133" s="421"/>
      <c r="Y133" s="143">
        <f t="shared" si="42"/>
        <v>490</v>
      </c>
      <c r="Z133" s="143"/>
      <c r="AA133" s="143"/>
      <c r="AB133" s="143">
        <f t="shared" si="65"/>
        <v>490</v>
      </c>
      <c r="AC133" s="143">
        <v>0</v>
      </c>
      <c r="AD133" s="144">
        <v>490</v>
      </c>
      <c r="AE133" s="144"/>
      <c r="AF133" s="143">
        <f t="shared" si="43"/>
        <v>471.35899999999998</v>
      </c>
      <c r="AG133" s="143"/>
      <c r="AH133" s="143"/>
      <c r="AI133" s="143">
        <f t="shared" si="44"/>
        <v>471.35899999999998</v>
      </c>
      <c r="AJ133" s="143">
        <v>0</v>
      </c>
      <c r="AK133" s="144">
        <v>471.35899999999998</v>
      </c>
      <c r="AL133" s="144"/>
      <c r="AM133" s="143">
        <v>471.25810000000001</v>
      </c>
      <c r="AN133" s="143"/>
      <c r="AO133" s="143"/>
      <c r="AP133" s="143">
        <v>471.25810000000001</v>
      </c>
      <c r="AQ133" s="143">
        <v>0</v>
      </c>
      <c r="AR133" s="143"/>
      <c r="AS133" s="144"/>
      <c r="AT133" s="144">
        <v>471.25810000000001</v>
      </c>
      <c r="AU133" s="144"/>
      <c r="AV133" s="143">
        <f t="shared" si="45"/>
        <v>0</v>
      </c>
      <c r="AW133" s="143"/>
      <c r="AX133" s="143"/>
      <c r="AY133" s="143">
        <f t="shared" si="46"/>
        <v>0</v>
      </c>
      <c r="AZ133" s="143">
        <v>0</v>
      </c>
      <c r="BA133" s="144">
        <v>0</v>
      </c>
      <c r="BB133" s="144"/>
      <c r="BC133" s="143">
        <v>0</v>
      </c>
      <c r="BD133" s="143"/>
      <c r="BE133" s="143"/>
      <c r="BF133" s="143">
        <v>0</v>
      </c>
      <c r="BG133" s="143">
        <v>0</v>
      </c>
      <c r="BH133" s="148">
        <v>0</v>
      </c>
      <c r="BI133" s="143"/>
      <c r="BJ133" s="148"/>
      <c r="BK133" s="148"/>
      <c r="BL133" s="148"/>
      <c r="BM133" s="148"/>
      <c r="BN133" s="148"/>
      <c r="BO133" s="148"/>
      <c r="BP133" s="148"/>
      <c r="BQ133" s="148"/>
      <c r="BR133" s="148"/>
      <c r="BS133" s="148"/>
      <c r="BT133" s="148"/>
      <c r="BU133" s="148"/>
      <c r="BV133" s="148"/>
      <c r="BW133" s="148"/>
      <c r="BX133" s="231"/>
      <c r="BY133" s="424"/>
    </row>
    <row r="134" spans="1:77" ht="30.75" outlineLevel="1">
      <c r="A134" s="420">
        <v>9</v>
      </c>
      <c r="B134" s="442" t="s">
        <v>2659</v>
      </c>
      <c r="C134" s="428" t="s">
        <v>2350</v>
      </c>
      <c r="D134" s="420" t="s">
        <v>2660</v>
      </c>
      <c r="E134" s="422" t="s">
        <v>49</v>
      </c>
      <c r="F134" s="422" t="s">
        <v>125</v>
      </c>
      <c r="G134" s="142">
        <v>7894824</v>
      </c>
      <c r="H134" s="437" t="s">
        <v>2398</v>
      </c>
      <c r="I134" s="420" t="s">
        <v>73</v>
      </c>
      <c r="J134" s="422">
        <v>2021</v>
      </c>
      <c r="K134" s="424"/>
      <c r="L134" s="436" t="s">
        <v>2661</v>
      </c>
      <c r="M134" s="146">
        <v>8800</v>
      </c>
      <c r="N134" s="424"/>
      <c r="O134" s="146">
        <v>4000</v>
      </c>
      <c r="P134" s="146">
        <v>8800</v>
      </c>
      <c r="Q134" s="420" t="s">
        <v>2662</v>
      </c>
      <c r="R134" s="437" t="s">
        <v>2398</v>
      </c>
      <c r="S134" s="422" t="s">
        <v>2591</v>
      </c>
      <c r="T134" s="420" t="s">
        <v>2436</v>
      </c>
      <c r="U134" s="143">
        <f t="shared" si="59"/>
        <v>0</v>
      </c>
      <c r="V134" s="421"/>
      <c r="W134" s="421"/>
      <c r="X134" s="421"/>
      <c r="Y134" s="143">
        <f t="shared" si="42"/>
        <v>6644</v>
      </c>
      <c r="Z134" s="143"/>
      <c r="AA134" s="144"/>
      <c r="AB134" s="143">
        <f t="shared" si="65"/>
        <v>6644</v>
      </c>
      <c r="AC134" s="143">
        <v>0</v>
      </c>
      <c r="AD134" s="144">
        <v>6644</v>
      </c>
      <c r="AE134" s="144"/>
      <c r="AF134" s="143">
        <f t="shared" si="43"/>
        <v>6644</v>
      </c>
      <c r="AG134" s="143"/>
      <c r="AH134" s="145"/>
      <c r="AI134" s="143">
        <f t="shared" si="44"/>
        <v>6644</v>
      </c>
      <c r="AJ134" s="143">
        <v>0</v>
      </c>
      <c r="AK134" s="144">
        <v>2644</v>
      </c>
      <c r="AL134" s="145">
        <v>4000</v>
      </c>
      <c r="AM134" s="143">
        <v>4645</v>
      </c>
      <c r="AN134" s="143"/>
      <c r="AO134" s="144">
        <v>4000</v>
      </c>
      <c r="AP134" s="143">
        <v>645</v>
      </c>
      <c r="AQ134" s="143">
        <v>0</v>
      </c>
      <c r="AR134" s="144"/>
      <c r="AS134" s="144"/>
      <c r="AT134" s="144">
        <v>645</v>
      </c>
      <c r="AU134" s="144"/>
      <c r="AV134" s="143">
        <f t="shared" si="45"/>
        <v>1999</v>
      </c>
      <c r="AW134" s="143"/>
      <c r="AX134" s="143"/>
      <c r="AY134" s="143">
        <f t="shared" si="46"/>
        <v>1999</v>
      </c>
      <c r="AZ134" s="143">
        <v>0</v>
      </c>
      <c r="BA134" s="144">
        <v>1999</v>
      </c>
      <c r="BB134" s="144"/>
      <c r="BC134" s="143">
        <v>1998.72</v>
      </c>
      <c r="BD134" s="143"/>
      <c r="BE134" s="143"/>
      <c r="BF134" s="143">
        <v>1998.72</v>
      </c>
      <c r="BG134" s="143">
        <v>0</v>
      </c>
      <c r="BH134" s="148">
        <v>0</v>
      </c>
      <c r="BI134" s="143"/>
      <c r="BJ134" s="148">
        <v>1998.72</v>
      </c>
      <c r="BK134" s="148"/>
      <c r="BL134" s="148"/>
      <c r="BM134" s="148"/>
      <c r="BN134" s="148"/>
      <c r="BO134" s="148"/>
      <c r="BP134" s="148"/>
      <c r="BQ134" s="148"/>
      <c r="BR134" s="148"/>
      <c r="BS134" s="148"/>
      <c r="BT134" s="148">
        <v>0</v>
      </c>
      <c r="BU134" s="148">
        <v>0</v>
      </c>
      <c r="BV134" s="148">
        <v>0</v>
      </c>
      <c r="BW134" s="148">
        <v>0</v>
      </c>
      <c r="BX134" s="231"/>
      <c r="BY134" s="421"/>
    </row>
    <row r="135" spans="1:77" ht="76.900000000000006" outlineLevel="1">
      <c r="A135" s="420">
        <v>10</v>
      </c>
      <c r="B135" s="421" t="s">
        <v>2663</v>
      </c>
      <c r="C135" s="420" t="s">
        <v>2350</v>
      </c>
      <c r="D135" s="420" t="s">
        <v>2436</v>
      </c>
      <c r="E135" s="422" t="s">
        <v>10</v>
      </c>
      <c r="F135" s="431" t="s">
        <v>82</v>
      </c>
      <c r="G135" s="151">
        <v>7961755</v>
      </c>
      <c r="H135" s="437" t="s">
        <v>2664</v>
      </c>
      <c r="I135" s="420" t="s">
        <v>83</v>
      </c>
      <c r="J135" s="422">
        <v>2022</v>
      </c>
      <c r="K135" s="424"/>
      <c r="L135" s="436" t="s">
        <v>2665</v>
      </c>
      <c r="M135" s="152">
        <v>105400</v>
      </c>
      <c r="N135" s="424"/>
      <c r="O135" s="424"/>
      <c r="P135" s="152">
        <v>75400</v>
      </c>
      <c r="Q135" s="420"/>
      <c r="R135" s="437" t="s">
        <v>2664</v>
      </c>
      <c r="S135" s="422" t="s">
        <v>2591</v>
      </c>
      <c r="T135" s="420" t="s">
        <v>2436</v>
      </c>
      <c r="U135" s="143">
        <f t="shared" si="59"/>
        <v>0</v>
      </c>
      <c r="V135" s="421"/>
      <c r="W135" s="421"/>
      <c r="X135" s="421"/>
      <c r="Y135" s="143">
        <f t="shared" si="42"/>
        <v>60322</v>
      </c>
      <c r="Z135" s="143"/>
      <c r="AA135" s="145"/>
      <c r="AB135" s="143">
        <f t="shared" si="65"/>
        <v>60322</v>
      </c>
      <c r="AC135" s="143">
        <v>41722</v>
      </c>
      <c r="AD135" s="144">
        <v>18600</v>
      </c>
      <c r="AE135" s="144"/>
      <c r="AF135" s="143">
        <f t="shared" si="43"/>
        <v>30877.722000000002</v>
      </c>
      <c r="AG135" s="143"/>
      <c r="AH135" s="145"/>
      <c r="AI135" s="143">
        <f t="shared" si="44"/>
        <v>30877.722000000002</v>
      </c>
      <c r="AJ135" s="143">
        <v>19600</v>
      </c>
      <c r="AK135" s="144">
        <v>11277.722</v>
      </c>
      <c r="AL135" s="144"/>
      <c r="AM135" s="143">
        <v>18808.17136</v>
      </c>
      <c r="AN135" s="143"/>
      <c r="AO135" s="144"/>
      <c r="AP135" s="143">
        <v>18808.17136</v>
      </c>
      <c r="AQ135" s="143">
        <v>15924.899160000001</v>
      </c>
      <c r="AR135" s="143">
        <v>15924.899160000001</v>
      </c>
      <c r="AS135" s="144"/>
      <c r="AT135" s="144">
        <v>2883.2721999999999</v>
      </c>
      <c r="AU135" s="144"/>
      <c r="AV135" s="143">
        <f t="shared" si="45"/>
        <v>30515</v>
      </c>
      <c r="AW135" s="143"/>
      <c r="AX135" s="144"/>
      <c r="AY135" s="143">
        <f t="shared" si="46"/>
        <v>30515</v>
      </c>
      <c r="AZ135" s="143">
        <v>22122</v>
      </c>
      <c r="BA135" s="144">
        <v>8393</v>
      </c>
      <c r="BB135" s="144"/>
      <c r="BC135" s="143">
        <v>22122</v>
      </c>
      <c r="BD135" s="143"/>
      <c r="BE135" s="144"/>
      <c r="BF135" s="143">
        <v>22122</v>
      </c>
      <c r="BG135" s="143">
        <v>22122</v>
      </c>
      <c r="BH135" s="148">
        <v>22122</v>
      </c>
      <c r="BI135" s="143"/>
      <c r="BJ135" s="148"/>
      <c r="BK135" s="148"/>
      <c r="BL135" s="148"/>
      <c r="BM135" s="148"/>
      <c r="BN135" s="148"/>
      <c r="BO135" s="148"/>
      <c r="BP135" s="148"/>
      <c r="BQ135" s="148"/>
      <c r="BR135" s="148"/>
      <c r="BS135" s="148"/>
      <c r="BT135" s="148">
        <v>55000</v>
      </c>
      <c r="BU135" s="148"/>
      <c r="BV135" s="148">
        <v>55000</v>
      </c>
      <c r="BW135" s="148"/>
      <c r="BX135" s="231"/>
      <c r="BY135" s="436"/>
    </row>
    <row r="136" spans="1:77" ht="30.75" outlineLevel="1">
      <c r="A136" s="420">
        <v>11</v>
      </c>
      <c r="B136" s="421" t="s">
        <v>2666</v>
      </c>
      <c r="C136" s="420" t="s">
        <v>2395</v>
      </c>
      <c r="D136" s="420" t="s">
        <v>2436</v>
      </c>
      <c r="E136" s="422" t="s">
        <v>49</v>
      </c>
      <c r="F136" s="422" t="s">
        <v>48</v>
      </c>
      <c r="G136" s="150">
        <v>7974954</v>
      </c>
      <c r="H136" s="437" t="s">
        <v>2607</v>
      </c>
      <c r="I136" s="420" t="s">
        <v>76</v>
      </c>
      <c r="J136" s="420"/>
      <c r="K136" s="424"/>
      <c r="L136" s="420" t="s">
        <v>2667</v>
      </c>
      <c r="M136" s="152">
        <v>5300</v>
      </c>
      <c r="N136" s="424"/>
      <c r="O136" s="424"/>
      <c r="P136" s="152">
        <v>2300</v>
      </c>
      <c r="Q136" s="420"/>
      <c r="R136" s="437" t="s">
        <v>2607</v>
      </c>
      <c r="S136" s="422" t="s">
        <v>2591</v>
      </c>
      <c r="T136" s="420" t="s">
        <v>2436</v>
      </c>
      <c r="U136" s="143">
        <f t="shared" si="59"/>
        <v>0</v>
      </c>
      <c r="V136" s="421"/>
      <c r="W136" s="421"/>
      <c r="X136" s="421"/>
      <c r="Y136" s="143">
        <f t="shared" si="42"/>
        <v>3937</v>
      </c>
      <c r="Z136" s="143"/>
      <c r="AA136" s="143"/>
      <c r="AB136" s="143">
        <f t="shared" si="65"/>
        <v>3937</v>
      </c>
      <c r="AC136" s="143">
        <v>0</v>
      </c>
      <c r="AD136" s="144">
        <v>937</v>
      </c>
      <c r="AE136" s="144">
        <v>3000</v>
      </c>
      <c r="AF136" s="143">
        <f t="shared" si="43"/>
        <v>3761</v>
      </c>
      <c r="AG136" s="143"/>
      <c r="AH136" s="143"/>
      <c r="AI136" s="143">
        <f t="shared" si="44"/>
        <v>3761</v>
      </c>
      <c r="AJ136" s="143">
        <v>0</v>
      </c>
      <c r="AK136" s="144">
        <v>761</v>
      </c>
      <c r="AL136" s="144">
        <v>3000</v>
      </c>
      <c r="AM136" s="143">
        <v>3760.0568709999998</v>
      </c>
      <c r="AN136" s="143"/>
      <c r="AO136" s="143"/>
      <c r="AP136" s="143">
        <v>3760.0568709999998</v>
      </c>
      <c r="AQ136" s="143">
        <v>0</v>
      </c>
      <c r="AR136" s="143"/>
      <c r="AS136" s="144"/>
      <c r="AT136" s="144">
        <v>760.056871</v>
      </c>
      <c r="AU136" s="144">
        <v>3000</v>
      </c>
      <c r="AV136" s="143">
        <f t="shared" si="45"/>
        <v>0</v>
      </c>
      <c r="AW136" s="143"/>
      <c r="AX136" s="143"/>
      <c r="AY136" s="143">
        <f t="shared" si="46"/>
        <v>0</v>
      </c>
      <c r="AZ136" s="143">
        <v>0</v>
      </c>
      <c r="BA136" s="144">
        <v>0</v>
      </c>
      <c r="BB136" s="144"/>
      <c r="BC136" s="143">
        <v>0</v>
      </c>
      <c r="BD136" s="143"/>
      <c r="BE136" s="143"/>
      <c r="BF136" s="143">
        <v>0</v>
      </c>
      <c r="BG136" s="143">
        <v>0</v>
      </c>
      <c r="BH136" s="148">
        <v>0</v>
      </c>
      <c r="BI136" s="143"/>
      <c r="BJ136" s="148"/>
      <c r="BK136" s="148"/>
      <c r="BL136" s="148"/>
      <c r="BM136" s="148"/>
      <c r="BN136" s="148"/>
      <c r="BO136" s="148"/>
      <c r="BP136" s="148"/>
      <c r="BQ136" s="148"/>
      <c r="BR136" s="148"/>
      <c r="BS136" s="148"/>
      <c r="BT136" s="148"/>
      <c r="BU136" s="148"/>
      <c r="BV136" s="148"/>
      <c r="BW136" s="148"/>
      <c r="BX136" s="231"/>
      <c r="BY136" s="424"/>
    </row>
    <row r="137" spans="1:77" ht="46.15" outlineLevel="1">
      <c r="A137" s="420">
        <v>12</v>
      </c>
      <c r="B137" s="435" t="s">
        <v>2668</v>
      </c>
      <c r="C137" s="428" t="s">
        <v>2350</v>
      </c>
      <c r="D137" s="420" t="s">
        <v>2436</v>
      </c>
      <c r="E137" s="422" t="s">
        <v>10</v>
      </c>
      <c r="F137" s="420" t="s">
        <v>2560</v>
      </c>
      <c r="G137" s="150">
        <v>7747703</v>
      </c>
      <c r="H137" s="423" t="s">
        <v>2618</v>
      </c>
      <c r="I137" s="420" t="s">
        <v>2565</v>
      </c>
      <c r="J137" s="422" t="s">
        <v>2503</v>
      </c>
      <c r="K137" s="424"/>
      <c r="L137" s="420" t="s">
        <v>2669</v>
      </c>
      <c r="M137" s="146">
        <v>102889</v>
      </c>
      <c r="N137" s="424"/>
      <c r="O137" s="424"/>
      <c r="P137" s="149">
        <v>102889</v>
      </c>
      <c r="Q137" s="420"/>
      <c r="R137" s="423" t="s">
        <v>2618</v>
      </c>
      <c r="S137" s="422" t="s">
        <v>2591</v>
      </c>
      <c r="T137" s="420" t="s">
        <v>2436</v>
      </c>
      <c r="U137" s="143">
        <f t="shared" si="59"/>
        <v>0</v>
      </c>
      <c r="V137" s="421"/>
      <c r="W137" s="421"/>
      <c r="X137" s="421"/>
      <c r="Y137" s="143">
        <f t="shared" si="42"/>
        <v>35000</v>
      </c>
      <c r="Z137" s="143"/>
      <c r="AA137" s="143"/>
      <c r="AB137" s="143">
        <f t="shared" si="65"/>
        <v>35000</v>
      </c>
      <c r="AC137" s="143">
        <v>0</v>
      </c>
      <c r="AD137" s="144">
        <v>35000</v>
      </c>
      <c r="AE137" s="144"/>
      <c r="AF137" s="143">
        <f t="shared" si="43"/>
        <v>8850</v>
      </c>
      <c r="AG137" s="143"/>
      <c r="AH137" s="143"/>
      <c r="AI137" s="143">
        <f t="shared" si="44"/>
        <v>8850</v>
      </c>
      <c r="AJ137" s="143">
        <v>0</v>
      </c>
      <c r="AK137" s="144">
        <v>8850</v>
      </c>
      <c r="AL137" s="144"/>
      <c r="AM137" s="143">
        <v>3839.6695300000001</v>
      </c>
      <c r="AN137" s="143"/>
      <c r="AO137" s="143"/>
      <c r="AP137" s="143">
        <v>3839.6695300000001</v>
      </c>
      <c r="AQ137" s="143">
        <v>0</v>
      </c>
      <c r="AR137" s="143"/>
      <c r="AS137" s="144"/>
      <c r="AT137" s="144">
        <v>3839.6695300000001</v>
      </c>
      <c r="AU137" s="144"/>
      <c r="AV137" s="143">
        <f t="shared" si="45"/>
        <v>5000</v>
      </c>
      <c r="AW137" s="143"/>
      <c r="AX137" s="143"/>
      <c r="AY137" s="143">
        <f t="shared" si="46"/>
        <v>5000</v>
      </c>
      <c r="AZ137" s="143">
        <v>0</v>
      </c>
      <c r="BA137" s="144">
        <v>5000</v>
      </c>
      <c r="BB137" s="144"/>
      <c r="BC137" s="143">
        <v>0</v>
      </c>
      <c r="BD137" s="143"/>
      <c r="BE137" s="143"/>
      <c r="BF137" s="143">
        <v>0</v>
      </c>
      <c r="BG137" s="143">
        <v>0</v>
      </c>
      <c r="BH137" s="148">
        <v>0</v>
      </c>
      <c r="BI137" s="143"/>
      <c r="BJ137" s="148"/>
      <c r="BK137" s="148"/>
      <c r="BL137" s="148">
        <v>10.33047</v>
      </c>
      <c r="BM137" s="148"/>
      <c r="BN137" s="148"/>
      <c r="BO137" s="144">
        <v>10.33047</v>
      </c>
      <c r="BP137" s="148">
        <v>10.33047</v>
      </c>
      <c r="BQ137" s="148"/>
      <c r="BR137" s="148"/>
      <c r="BS137" s="144">
        <v>10.33047</v>
      </c>
      <c r="BT137" s="144">
        <v>93943</v>
      </c>
      <c r="BU137" s="144"/>
      <c r="BV137" s="144">
        <v>93943</v>
      </c>
      <c r="BW137" s="144"/>
      <c r="BX137" s="461"/>
      <c r="BY137" s="424"/>
    </row>
    <row r="138" spans="1:77" ht="46.15" outlineLevel="1">
      <c r="A138" s="420">
        <v>13</v>
      </c>
      <c r="B138" s="442" t="s">
        <v>2670</v>
      </c>
      <c r="C138" s="428" t="s">
        <v>2350</v>
      </c>
      <c r="D138" s="420" t="s">
        <v>2436</v>
      </c>
      <c r="E138" s="422" t="s">
        <v>49</v>
      </c>
      <c r="F138" s="420" t="s">
        <v>2560</v>
      </c>
      <c r="G138" s="150">
        <v>7894822</v>
      </c>
      <c r="H138" s="437" t="s">
        <v>2433</v>
      </c>
      <c r="I138" s="420" t="s">
        <v>2645</v>
      </c>
      <c r="J138" s="422">
        <v>2021</v>
      </c>
      <c r="K138" s="424"/>
      <c r="L138" s="420" t="s">
        <v>2671</v>
      </c>
      <c r="M138" s="149">
        <v>30232</v>
      </c>
      <c r="N138" s="424"/>
      <c r="O138" s="424"/>
      <c r="P138" s="149">
        <v>30232</v>
      </c>
      <c r="Q138" s="420"/>
      <c r="R138" s="437" t="s">
        <v>2433</v>
      </c>
      <c r="S138" s="422" t="s">
        <v>2591</v>
      </c>
      <c r="T138" s="420" t="s">
        <v>2436</v>
      </c>
      <c r="U138" s="143">
        <f t="shared" si="59"/>
        <v>0</v>
      </c>
      <c r="V138" s="421"/>
      <c r="W138" s="421"/>
      <c r="X138" s="421"/>
      <c r="Y138" s="143">
        <f t="shared" si="42"/>
        <v>20000</v>
      </c>
      <c r="Z138" s="143"/>
      <c r="AA138" s="143"/>
      <c r="AB138" s="143">
        <f t="shared" si="65"/>
        <v>20000</v>
      </c>
      <c r="AC138" s="143">
        <v>0</v>
      </c>
      <c r="AD138" s="144">
        <v>20000</v>
      </c>
      <c r="AE138" s="144"/>
      <c r="AF138" s="143">
        <f t="shared" si="43"/>
        <v>14718.612999999999</v>
      </c>
      <c r="AG138" s="143"/>
      <c r="AH138" s="143"/>
      <c r="AI138" s="143">
        <f t="shared" si="44"/>
        <v>14718.612999999999</v>
      </c>
      <c r="AJ138" s="143">
        <v>0</v>
      </c>
      <c r="AK138" s="144">
        <v>14718.612999999999</v>
      </c>
      <c r="AL138" s="144"/>
      <c r="AM138" s="143">
        <v>8766.5409849999996</v>
      </c>
      <c r="AN138" s="143"/>
      <c r="AO138" s="143"/>
      <c r="AP138" s="143">
        <v>8766.5409849999996</v>
      </c>
      <c r="AQ138" s="143">
        <v>0</v>
      </c>
      <c r="AR138" s="143"/>
      <c r="AS138" s="144"/>
      <c r="AT138" s="144">
        <v>8766.5409849999996</v>
      </c>
      <c r="AU138" s="144"/>
      <c r="AV138" s="143">
        <f t="shared" si="45"/>
        <v>4156</v>
      </c>
      <c r="AW138" s="143"/>
      <c r="AX138" s="143"/>
      <c r="AY138" s="143">
        <f t="shared" si="46"/>
        <v>4156</v>
      </c>
      <c r="AZ138" s="143">
        <v>0</v>
      </c>
      <c r="BA138" s="144">
        <v>4156</v>
      </c>
      <c r="BB138" s="144"/>
      <c r="BC138" s="143">
        <v>2442.317</v>
      </c>
      <c r="BD138" s="143"/>
      <c r="BE138" s="143"/>
      <c r="BF138" s="143">
        <v>2442.317</v>
      </c>
      <c r="BG138" s="143">
        <v>0</v>
      </c>
      <c r="BH138" s="148">
        <v>0</v>
      </c>
      <c r="BI138" s="143"/>
      <c r="BJ138" s="148">
        <v>2442.317</v>
      </c>
      <c r="BK138" s="148"/>
      <c r="BL138" s="148">
        <v>1002.453024</v>
      </c>
      <c r="BM138" s="148"/>
      <c r="BN138" s="148"/>
      <c r="BO138" s="149">
        <v>1002.453024</v>
      </c>
      <c r="BP138" s="148">
        <v>71.630073000000039</v>
      </c>
      <c r="BQ138" s="148"/>
      <c r="BR138" s="148"/>
      <c r="BS138" s="148">
        <v>71.630073000000039</v>
      </c>
      <c r="BT138" s="148">
        <v>15514</v>
      </c>
      <c r="BU138" s="148"/>
      <c r="BV138" s="148">
        <v>15514</v>
      </c>
      <c r="BW138" s="148"/>
      <c r="BX138" s="231"/>
      <c r="BY138" s="424"/>
    </row>
    <row r="139" spans="1:77" ht="46.15" outlineLevel="1">
      <c r="A139" s="420">
        <v>14</v>
      </c>
      <c r="B139" s="421" t="s">
        <v>2672</v>
      </c>
      <c r="C139" s="428" t="s">
        <v>2350</v>
      </c>
      <c r="D139" s="420" t="s">
        <v>2436</v>
      </c>
      <c r="E139" s="422" t="s">
        <v>10</v>
      </c>
      <c r="F139" s="422" t="s">
        <v>2460</v>
      </c>
      <c r="G139" s="150">
        <v>7895336</v>
      </c>
      <c r="H139" s="432" t="s">
        <v>2673</v>
      </c>
      <c r="I139" s="420">
        <v>2021</v>
      </c>
      <c r="J139" s="422">
        <v>2021</v>
      </c>
      <c r="K139" s="424"/>
      <c r="L139" s="420" t="s">
        <v>2674</v>
      </c>
      <c r="M139" s="142">
        <v>176396</v>
      </c>
      <c r="N139" s="424"/>
      <c r="O139" s="424"/>
      <c r="P139" s="142">
        <v>176396</v>
      </c>
      <c r="Q139" s="420"/>
      <c r="R139" s="432" t="s">
        <v>2673</v>
      </c>
      <c r="S139" s="422" t="s">
        <v>2591</v>
      </c>
      <c r="T139" s="420" t="s">
        <v>2436</v>
      </c>
      <c r="U139" s="143">
        <f t="shared" si="59"/>
        <v>0</v>
      </c>
      <c r="V139" s="421"/>
      <c r="W139" s="421"/>
      <c r="X139" s="421"/>
      <c r="Y139" s="143">
        <f t="shared" si="42"/>
        <v>176396</v>
      </c>
      <c r="Z139" s="143"/>
      <c r="AA139" s="143"/>
      <c r="AB139" s="143">
        <f t="shared" si="65"/>
        <v>176396</v>
      </c>
      <c r="AC139" s="143">
        <v>0</v>
      </c>
      <c r="AD139" s="144">
        <v>176396</v>
      </c>
      <c r="AE139" s="144"/>
      <c r="AF139" s="143">
        <f t="shared" si="43"/>
        <v>13487</v>
      </c>
      <c r="AG139" s="143"/>
      <c r="AH139" s="143"/>
      <c r="AI139" s="143">
        <f t="shared" si="44"/>
        <v>13487</v>
      </c>
      <c r="AJ139" s="143">
        <v>0</v>
      </c>
      <c r="AK139" s="144">
        <v>13487</v>
      </c>
      <c r="AL139" s="144"/>
      <c r="AM139" s="143">
        <v>12809.1103</v>
      </c>
      <c r="AN139" s="143"/>
      <c r="AO139" s="143"/>
      <c r="AP139" s="143">
        <v>12809.1103</v>
      </c>
      <c r="AQ139" s="143">
        <v>0</v>
      </c>
      <c r="AR139" s="144"/>
      <c r="AS139" s="144"/>
      <c r="AT139" s="144">
        <v>12809.1103</v>
      </c>
      <c r="AU139" s="144"/>
      <c r="AV139" s="143">
        <f t="shared" si="45"/>
        <v>40000</v>
      </c>
      <c r="AW139" s="143"/>
      <c r="AX139" s="143"/>
      <c r="AY139" s="143">
        <f t="shared" si="46"/>
        <v>40000</v>
      </c>
      <c r="AZ139" s="143">
        <v>0</v>
      </c>
      <c r="BA139" s="144">
        <v>40000</v>
      </c>
      <c r="BB139" s="144"/>
      <c r="BC139" s="143">
        <v>23334.523478999999</v>
      </c>
      <c r="BD139" s="143"/>
      <c r="BE139" s="143"/>
      <c r="BF139" s="143">
        <v>23334.523478999999</v>
      </c>
      <c r="BG139" s="143">
        <v>0</v>
      </c>
      <c r="BH139" s="148">
        <v>0</v>
      </c>
      <c r="BI139" s="143"/>
      <c r="BJ139" s="148">
        <v>23334.523478999999</v>
      </c>
      <c r="BK139" s="148"/>
      <c r="BL139" s="148"/>
      <c r="BM139" s="148"/>
      <c r="BN139" s="148"/>
      <c r="BO139" s="148"/>
      <c r="BP139" s="148"/>
      <c r="BQ139" s="148"/>
      <c r="BR139" s="148"/>
      <c r="BS139" s="148"/>
      <c r="BT139" s="148">
        <v>83200</v>
      </c>
      <c r="BU139" s="148"/>
      <c r="BV139" s="148">
        <v>83200</v>
      </c>
      <c r="BW139" s="148"/>
      <c r="BX139" s="231"/>
      <c r="BY139" s="424"/>
    </row>
    <row r="140" spans="1:77" ht="46.15" outlineLevel="1">
      <c r="A140" s="420">
        <v>15</v>
      </c>
      <c r="B140" s="421" t="s">
        <v>2675</v>
      </c>
      <c r="C140" s="428" t="s">
        <v>2395</v>
      </c>
      <c r="D140" s="420" t="s">
        <v>2436</v>
      </c>
      <c r="E140" s="422" t="s">
        <v>49</v>
      </c>
      <c r="F140" s="422" t="s">
        <v>125</v>
      </c>
      <c r="G140" s="142">
        <v>7910098</v>
      </c>
      <c r="H140" s="420" t="s">
        <v>2676</v>
      </c>
      <c r="I140" s="420" t="s">
        <v>891</v>
      </c>
      <c r="J140" s="420"/>
      <c r="K140" s="424"/>
      <c r="L140" s="436" t="s">
        <v>2677</v>
      </c>
      <c r="M140" s="146">
        <v>1122.721</v>
      </c>
      <c r="N140" s="424"/>
      <c r="O140" s="424"/>
      <c r="P140" s="424"/>
      <c r="Q140" s="420"/>
      <c r="R140" s="420" t="s">
        <v>2676</v>
      </c>
      <c r="S140" s="422" t="s">
        <v>2591</v>
      </c>
      <c r="T140" s="420" t="s">
        <v>2436</v>
      </c>
      <c r="U140" s="143">
        <f t="shared" si="59"/>
        <v>0</v>
      </c>
      <c r="V140" s="421"/>
      <c r="W140" s="421"/>
      <c r="X140" s="421"/>
      <c r="Y140" s="143">
        <f t="shared" si="42"/>
        <v>1060.069</v>
      </c>
      <c r="Z140" s="143"/>
      <c r="AA140" s="143"/>
      <c r="AB140" s="143">
        <f t="shared" si="65"/>
        <v>1060.069</v>
      </c>
      <c r="AC140" s="143">
        <v>0</v>
      </c>
      <c r="AD140" s="144"/>
      <c r="AE140" s="144">
        <v>1060.069</v>
      </c>
      <c r="AF140" s="143">
        <f t="shared" si="43"/>
        <v>1058</v>
      </c>
      <c r="AG140" s="143"/>
      <c r="AH140" s="143"/>
      <c r="AI140" s="143">
        <f t="shared" si="44"/>
        <v>1058</v>
      </c>
      <c r="AJ140" s="143">
        <v>0</v>
      </c>
      <c r="AK140" s="144"/>
      <c r="AL140" s="144">
        <v>1058</v>
      </c>
      <c r="AM140" s="143">
        <v>1057.0400000000002</v>
      </c>
      <c r="AN140" s="143"/>
      <c r="AO140" s="143"/>
      <c r="AP140" s="143">
        <v>1057.0400000000002</v>
      </c>
      <c r="AQ140" s="143">
        <v>0</v>
      </c>
      <c r="AR140" s="144"/>
      <c r="AS140" s="144"/>
      <c r="AT140" s="144"/>
      <c r="AU140" s="144">
        <v>1057.0400000000002</v>
      </c>
      <c r="AV140" s="143">
        <f t="shared" si="45"/>
        <v>0</v>
      </c>
      <c r="AW140" s="143"/>
      <c r="AX140" s="143"/>
      <c r="AY140" s="143">
        <f t="shared" si="46"/>
        <v>0</v>
      </c>
      <c r="AZ140" s="143">
        <v>0</v>
      </c>
      <c r="BA140" s="144"/>
      <c r="BB140" s="144"/>
      <c r="BC140" s="143">
        <v>0</v>
      </c>
      <c r="BD140" s="143"/>
      <c r="BE140" s="143"/>
      <c r="BF140" s="143">
        <v>0</v>
      </c>
      <c r="BG140" s="143">
        <v>0</v>
      </c>
      <c r="BH140" s="148">
        <v>0</v>
      </c>
      <c r="BI140" s="143"/>
      <c r="BJ140" s="148"/>
      <c r="BK140" s="148"/>
      <c r="BL140" s="148"/>
      <c r="BM140" s="148"/>
      <c r="BN140" s="148"/>
      <c r="BO140" s="148"/>
      <c r="BP140" s="148"/>
      <c r="BQ140" s="148"/>
      <c r="BR140" s="148"/>
      <c r="BS140" s="148"/>
      <c r="BT140" s="148"/>
      <c r="BU140" s="148"/>
      <c r="BV140" s="148"/>
      <c r="BW140" s="148"/>
      <c r="BX140" s="231"/>
      <c r="BY140" s="424"/>
    </row>
    <row r="141" spans="1:77" ht="46.15" outlineLevel="1">
      <c r="A141" s="420">
        <v>16</v>
      </c>
      <c r="B141" s="421" t="s">
        <v>2678</v>
      </c>
      <c r="C141" s="428" t="s">
        <v>2395</v>
      </c>
      <c r="D141" s="420" t="s">
        <v>2436</v>
      </c>
      <c r="E141" s="422" t="s">
        <v>49</v>
      </c>
      <c r="F141" s="422" t="s">
        <v>125</v>
      </c>
      <c r="G141" s="142">
        <v>7908292</v>
      </c>
      <c r="H141" s="420" t="s">
        <v>2679</v>
      </c>
      <c r="I141" s="420" t="s">
        <v>891</v>
      </c>
      <c r="J141" s="420"/>
      <c r="K141" s="424"/>
      <c r="L141" s="436" t="s">
        <v>2680</v>
      </c>
      <c r="M141" s="146">
        <v>3286</v>
      </c>
      <c r="N141" s="424"/>
      <c r="O141" s="424"/>
      <c r="P141" s="424"/>
      <c r="Q141" s="420"/>
      <c r="R141" s="420" t="s">
        <v>2679</v>
      </c>
      <c r="S141" s="422" t="s">
        <v>2591</v>
      </c>
      <c r="T141" s="420" t="s">
        <v>2436</v>
      </c>
      <c r="U141" s="143">
        <f t="shared" si="59"/>
        <v>0</v>
      </c>
      <c r="V141" s="421"/>
      <c r="W141" s="421"/>
      <c r="X141" s="421"/>
      <c r="Y141" s="143">
        <f t="shared" si="42"/>
        <v>3240</v>
      </c>
      <c r="Z141" s="143"/>
      <c r="AA141" s="143"/>
      <c r="AB141" s="143">
        <f t="shared" si="65"/>
        <v>3240</v>
      </c>
      <c r="AC141" s="143">
        <v>0</v>
      </c>
      <c r="AD141" s="144"/>
      <c r="AE141" s="144">
        <v>3240</v>
      </c>
      <c r="AF141" s="143">
        <f t="shared" si="43"/>
        <v>3240</v>
      </c>
      <c r="AG141" s="143"/>
      <c r="AH141" s="143"/>
      <c r="AI141" s="143">
        <f t="shared" si="44"/>
        <v>3240</v>
      </c>
      <c r="AJ141" s="143">
        <v>0</v>
      </c>
      <c r="AK141" s="144"/>
      <c r="AL141" s="144">
        <v>3240</v>
      </c>
      <c r="AM141" s="143">
        <v>3239.180527</v>
      </c>
      <c r="AN141" s="143"/>
      <c r="AO141" s="143"/>
      <c r="AP141" s="143">
        <v>3239.180527</v>
      </c>
      <c r="AQ141" s="143">
        <v>0</v>
      </c>
      <c r="AR141" s="144"/>
      <c r="AS141" s="144"/>
      <c r="AT141" s="144"/>
      <c r="AU141" s="144">
        <v>3239.180527</v>
      </c>
      <c r="AV141" s="143">
        <f t="shared" si="45"/>
        <v>0</v>
      </c>
      <c r="AW141" s="143"/>
      <c r="AX141" s="143"/>
      <c r="AY141" s="143">
        <f t="shared" si="46"/>
        <v>0</v>
      </c>
      <c r="AZ141" s="143">
        <v>0</v>
      </c>
      <c r="BA141" s="144"/>
      <c r="BB141" s="144"/>
      <c r="BC141" s="143">
        <v>0</v>
      </c>
      <c r="BD141" s="143"/>
      <c r="BE141" s="143"/>
      <c r="BF141" s="143">
        <v>0</v>
      </c>
      <c r="BG141" s="143">
        <v>0</v>
      </c>
      <c r="BH141" s="148">
        <v>0</v>
      </c>
      <c r="BI141" s="143"/>
      <c r="BJ141" s="148"/>
      <c r="BK141" s="148"/>
      <c r="BL141" s="148"/>
      <c r="BM141" s="148"/>
      <c r="BN141" s="148"/>
      <c r="BO141" s="148"/>
      <c r="BP141" s="148"/>
      <c r="BQ141" s="148"/>
      <c r="BR141" s="148"/>
      <c r="BS141" s="148"/>
      <c r="BT141" s="148"/>
      <c r="BU141" s="148"/>
      <c r="BV141" s="148"/>
      <c r="BW141" s="148"/>
      <c r="BX141" s="231"/>
      <c r="BY141" s="424"/>
    </row>
    <row r="142" spans="1:77" ht="30.75" outlineLevel="1">
      <c r="A142" s="420">
        <v>17</v>
      </c>
      <c r="B142" s="449" t="s">
        <v>2681</v>
      </c>
      <c r="C142" s="428" t="s">
        <v>2427</v>
      </c>
      <c r="D142" s="420" t="s">
        <v>2436</v>
      </c>
      <c r="E142" s="422" t="s">
        <v>49</v>
      </c>
      <c r="F142" s="422" t="s">
        <v>55</v>
      </c>
      <c r="G142" s="142">
        <v>7897743</v>
      </c>
      <c r="H142" s="420" t="s">
        <v>2682</v>
      </c>
      <c r="I142" s="420" t="s">
        <v>73</v>
      </c>
      <c r="J142" s="420"/>
      <c r="K142" s="424"/>
      <c r="L142" s="436" t="s">
        <v>2683</v>
      </c>
      <c r="M142" s="146">
        <v>5800</v>
      </c>
      <c r="N142" s="424"/>
      <c r="O142" s="424"/>
      <c r="P142" s="424"/>
      <c r="Q142" s="420"/>
      <c r="R142" s="420" t="s">
        <v>2684</v>
      </c>
      <c r="S142" s="422" t="s">
        <v>2591</v>
      </c>
      <c r="T142" s="420" t="s">
        <v>2436</v>
      </c>
      <c r="U142" s="143">
        <f t="shared" si="59"/>
        <v>0</v>
      </c>
      <c r="V142" s="421"/>
      <c r="W142" s="421"/>
      <c r="X142" s="421"/>
      <c r="Y142" s="143">
        <f t="shared" si="42"/>
        <v>5797</v>
      </c>
      <c r="Z142" s="143"/>
      <c r="AA142" s="143"/>
      <c r="AB142" s="143">
        <f t="shared" si="65"/>
        <v>5797</v>
      </c>
      <c r="AC142" s="143">
        <v>0</v>
      </c>
      <c r="AD142" s="144"/>
      <c r="AE142" s="144">
        <v>5797</v>
      </c>
      <c r="AF142" s="143">
        <f t="shared" si="43"/>
        <v>5797</v>
      </c>
      <c r="AG142" s="143"/>
      <c r="AH142" s="143"/>
      <c r="AI142" s="143">
        <f t="shared" si="44"/>
        <v>5797</v>
      </c>
      <c r="AJ142" s="143">
        <v>0</v>
      </c>
      <c r="AK142" s="144"/>
      <c r="AL142" s="144">
        <v>5797</v>
      </c>
      <c r="AM142" s="143">
        <v>5784.4505509999999</v>
      </c>
      <c r="AN142" s="143"/>
      <c r="AO142" s="143"/>
      <c r="AP142" s="143">
        <v>5784.4505509999999</v>
      </c>
      <c r="AQ142" s="143">
        <v>0</v>
      </c>
      <c r="AR142" s="144"/>
      <c r="AS142" s="144"/>
      <c r="AT142" s="144"/>
      <c r="AU142" s="144">
        <v>5784.4505509999999</v>
      </c>
      <c r="AV142" s="143">
        <f t="shared" si="45"/>
        <v>0</v>
      </c>
      <c r="AW142" s="143"/>
      <c r="AX142" s="143"/>
      <c r="AY142" s="143">
        <f t="shared" si="46"/>
        <v>0</v>
      </c>
      <c r="AZ142" s="143">
        <v>0</v>
      </c>
      <c r="BA142" s="144"/>
      <c r="BB142" s="144"/>
      <c r="BC142" s="143">
        <v>0</v>
      </c>
      <c r="BD142" s="143"/>
      <c r="BE142" s="143"/>
      <c r="BF142" s="143">
        <v>0</v>
      </c>
      <c r="BG142" s="143">
        <v>0</v>
      </c>
      <c r="BH142" s="148">
        <v>0</v>
      </c>
      <c r="BI142" s="143"/>
      <c r="BJ142" s="148"/>
      <c r="BK142" s="153"/>
      <c r="BL142" s="153"/>
      <c r="BM142" s="153"/>
      <c r="BN142" s="153"/>
      <c r="BO142" s="153"/>
      <c r="BP142" s="153"/>
      <c r="BQ142" s="153"/>
      <c r="BR142" s="153"/>
      <c r="BS142" s="153"/>
      <c r="BT142" s="153"/>
      <c r="BU142" s="153"/>
      <c r="BV142" s="153"/>
      <c r="BW142" s="153"/>
      <c r="BX142" s="232"/>
      <c r="BY142" s="426"/>
    </row>
    <row r="143" spans="1:77" ht="46.15" outlineLevel="1">
      <c r="A143" s="420">
        <v>18</v>
      </c>
      <c r="B143" s="421" t="s">
        <v>2685</v>
      </c>
      <c r="C143" s="428" t="s">
        <v>2350</v>
      </c>
      <c r="D143" s="420" t="s">
        <v>2436</v>
      </c>
      <c r="E143" s="422" t="s">
        <v>49</v>
      </c>
      <c r="F143" s="422" t="s">
        <v>55</v>
      </c>
      <c r="G143" s="150">
        <v>8025516</v>
      </c>
      <c r="H143" s="437" t="s">
        <v>2686</v>
      </c>
      <c r="I143" s="420" t="s">
        <v>76</v>
      </c>
      <c r="J143" s="422">
        <v>2022</v>
      </c>
      <c r="K143" s="424"/>
      <c r="L143" s="450" t="s">
        <v>2687</v>
      </c>
      <c r="M143" s="462">
        <v>450</v>
      </c>
      <c r="N143" s="424"/>
      <c r="O143" s="424"/>
      <c r="P143" s="424"/>
      <c r="Q143" s="420" t="s">
        <v>2688</v>
      </c>
      <c r="R143" s="437" t="s">
        <v>2686</v>
      </c>
      <c r="S143" s="422" t="s">
        <v>2591</v>
      </c>
      <c r="T143" s="420" t="s">
        <v>2436</v>
      </c>
      <c r="U143" s="143">
        <f t="shared" si="59"/>
        <v>0</v>
      </c>
      <c r="V143" s="421"/>
      <c r="W143" s="421"/>
      <c r="X143" s="421"/>
      <c r="Y143" s="143">
        <f t="shared" si="42"/>
        <v>450</v>
      </c>
      <c r="Z143" s="143"/>
      <c r="AA143" s="143"/>
      <c r="AB143" s="143">
        <f t="shared" si="65"/>
        <v>450</v>
      </c>
      <c r="AC143" s="143">
        <v>0</v>
      </c>
      <c r="AD143" s="144"/>
      <c r="AE143" s="144">
        <v>450</v>
      </c>
      <c r="AF143" s="143">
        <f t="shared" si="43"/>
        <v>421.27199999999999</v>
      </c>
      <c r="AG143" s="143"/>
      <c r="AH143" s="143"/>
      <c r="AI143" s="143">
        <f t="shared" si="44"/>
        <v>421.27199999999999</v>
      </c>
      <c r="AJ143" s="143">
        <v>0</v>
      </c>
      <c r="AK143" s="144"/>
      <c r="AL143" s="144">
        <v>421.27199999999999</v>
      </c>
      <c r="AM143" s="143">
        <v>421.27199999999999</v>
      </c>
      <c r="AN143" s="143"/>
      <c r="AO143" s="143"/>
      <c r="AP143" s="143">
        <v>421.27199999999999</v>
      </c>
      <c r="AQ143" s="143">
        <v>0</v>
      </c>
      <c r="AR143" s="144"/>
      <c r="AS143" s="144"/>
      <c r="AT143" s="144"/>
      <c r="AU143" s="144">
        <v>421.27199999999999</v>
      </c>
      <c r="AV143" s="143">
        <f t="shared" si="45"/>
        <v>0</v>
      </c>
      <c r="AW143" s="143"/>
      <c r="AX143" s="143"/>
      <c r="AY143" s="143">
        <f t="shared" si="46"/>
        <v>0</v>
      </c>
      <c r="AZ143" s="143">
        <v>0</v>
      </c>
      <c r="BA143" s="144"/>
      <c r="BB143" s="144"/>
      <c r="BC143" s="143">
        <v>0</v>
      </c>
      <c r="BD143" s="143"/>
      <c r="BE143" s="143"/>
      <c r="BF143" s="143">
        <v>0</v>
      </c>
      <c r="BG143" s="143">
        <v>0</v>
      </c>
      <c r="BH143" s="148">
        <v>0</v>
      </c>
      <c r="BI143" s="143"/>
      <c r="BJ143" s="148"/>
      <c r="BK143" s="153"/>
      <c r="BL143" s="153"/>
      <c r="BM143" s="153"/>
      <c r="BN143" s="153"/>
      <c r="BO143" s="153"/>
      <c r="BP143" s="153"/>
      <c r="BQ143" s="153"/>
      <c r="BR143" s="153"/>
      <c r="BS143" s="153"/>
      <c r="BT143" s="153">
        <v>0</v>
      </c>
      <c r="BU143" s="153"/>
      <c r="BV143" s="153">
        <v>0</v>
      </c>
      <c r="BW143" s="153"/>
      <c r="BX143" s="232"/>
      <c r="BY143" s="426"/>
    </row>
    <row r="144" spans="1:77" ht="92.25" outlineLevel="1">
      <c r="A144" s="420">
        <v>19</v>
      </c>
      <c r="B144" s="421" t="s">
        <v>2689</v>
      </c>
      <c r="C144" s="428" t="s">
        <v>2350</v>
      </c>
      <c r="D144" s="420" t="s">
        <v>2436</v>
      </c>
      <c r="E144" s="422" t="s">
        <v>49</v>
      </c>
      <c r="F144" s="420" t="s">
        <v>2690</v>
      </c>
      <c r="G144" s="248">
        <v>8098453</v>
      </c>
      <c r="H144" s="423" t="s">
        <v>2618</v>
      </c>
      <c r="I144" s="420" t="s">
        <v>84</v>
      </c>
      <c r="J144" s="422">
        <v>2024</v>
      </c>
      <c r="K144" s="424"/>
      <c r="L144" s="450" t="s">
        <v>2691</v>
      </c>
      <c r="M144" s="146">
        <v>4950</v>
      </c>
      <c r="N144" s="424"/>
      <c r="O144" s="424"/>
      <c r="P144" s="424"/>
      <c r="Q144" s="420"/>
      <c r="R144" s="423" t="s">
        <v>2692</v>
      </c>
      <c r="S144" s="422" t="s">
        <v>2591</v>
      </c>
      <c r="T144" s="420" t="s">
        <v>2436</v>
      </c>
      <c r="U144" s="143">
        <f t="shared" si="59"/>
        <v>0</v>
      </c>
      <c r="V144" s="421"/>
      <c r="W144" s="421"/>
      <c r="X144" s="421"/>
      <c r="Y144" s="143">
        <f t="shared" si="42"/>
        <v>4933.2800000000007</v>
      </c>
      <c r="Z144" s="143"/>
      <c r="AA144" s="143"/>
      <c r="AB144" s="143">
        <f t="shared" si="65"/>
        <v>4933.2800000000007</v>
      </c>
      <c r="AC144" s="143">
        <v>0</v>
      </c>
      <c r="AD144" s="144"/>
      <c r="AE144" s="144">
        <v>4933.2800000000007</v>
      </c>
      <c r="AF144" s="143">
        <f t="shared" si="43"/>
        <v>3033.2799999999997</v>
      </c>
      <c r="AG144" s="143"/>
      <c r="AH144" s="143"/>
      <c r="AI144" s="143">
        <f t="shared" si="44"/>
        <v>3033.2799999999997</v>
      </c>
      <c r="AJ144" s="143">
        <v>0</v>
      </c>
      <c r="AK144" s="144"/>
      <c r="AL144" s="144">
        <v>3033.2799999999997</v>
      </c>
      <c r="AM144" s="143">
        <v>3033.28</v>
      </c>
      <c r="AN144" s="143"/>
      <c r="AO144" s="143"/>
      <c r="AP144" s="143">
        <v>3033.28</v>
      </c>
      <c r="AQ144" s="143">
        <v>0</v>
      </c>
      <c r="AR144" s="144"/>
      <c r="AS144" s="144"/>
      <c r="AT144" s="144"/>
      <c r="AU144" s="144">
        <v>3033.28</v>
      </c>
      <c r="AV144" s="143">
        <f t="shared" si="45"/>
        <v>1900</v>
      </c>
      <c r="AW144" s="143"/>
      <c r="AX144" s="143"/>
      <c r="AY144" s="143">
        <f t="shared" si="46"/>
        <v>1900</v>
      </c>
      <c r="AZ144" s="143">
        <v>0</v>
      </c>
      <c r="BA144" s="144"/>
      <c r="BB144" s="144">
        <v>1900</v>
      </c>
      <c r="BC144" s="143">
        <v>1827.665</v>
      </c>
      <c r="BD144" s="143"/>
      <c r="BE144" s="143"/>
      <c r="BF144" s="143">
        <v>1827.665</v>
      </c>
      <c r="BG144" s="143">
        <v>0</v>
      </c>
      <c r="BH144" s="148">
        <v>0</v>
      </c>
      <c r="BI144" s="143"/>
      <c r="BJ144" s="148"/>
      <c r="BK144" s="143">
        <v>1827.665</v>
      </c>
      <c r="BL144" s="153"/>
      <c r="BM144" s="153"/>
      <c r="BN144" s="153"/>
      <c r="BO144" s="153"/>
      <c r="BP144" s="153"/>
      <c r="BQ144" s="153"/>
      <c r="BR144" s="153"/>
      <c r="BS144" s="153"/>
      <c r="BT144" s="153">
        <v>0</v>
      </c>
      <c r="BU144" s="153"/>
      <c r="BV144" s="153">
        <v>0</v>
      </c>
      <c r="BW144" s="153"/>
      <c r="BX144" s="232"/>
      <c r="BY144" s="426"/>
    </row>
    <row r="145" spans="1:77" ht="46.15" outlineLevel="1">
      <c r="A145" s="420">
        <v>20</v>
      </c>
      <c r="B145" s="435" t="s">
        <v>2693</v>
      </c>
      <c r="C145" s="428" t="s">
        <v>2350</v>
      </c>
      <c r="D145" s="420" t="s">
        <v>2436</v>
      </c>
      <c r="E145" s="422" t="s">
        <v>49</v>
      </c>
      <c r="F145" s="420" t="s">
        <v>2694</v>
      </c>
      <c r="G145" s="142">
        <v>7919921</v>
      </c>
      <c r="H145" s="420" t="s">
        <v>2433</v>
      </c>
      <c r="I145" s="420" t="s">
        <v>54</v>
      </c>
      <c r="J145" s="422">
        <v>2023</v>
      </c>
      <c r="K145" s="424"/>
      <c r="L145" s="436" t="s">
        <v>2695</v>
      </c>
      <c r="M145" s="146">
        <v>34022</v>
      </c>
      <c r="N145" s="424"/>
      <c r="O145" s="146">
        <v>32320</v>
      </c>
      <c r="P145" s="424"/>
      <c r="Q145" s="420" t="s">
        <v>2696</v>
      </c>
      <c r="R145" s="420" t="s">
        <v>2433</v>
      </c>
      <c r="S145" s="422" t="s">
        <v>2591</v>
      </c>
      <c r="T145" s="420" t="s">
        <v>2436</v>
      </c>
      <c r="U145" s="143">
        <f t="shared" si="59"/>
        <v>0</v>
      </c>
      <c r="V145" s="421"/>
      <c r="W145" s="421"/>
      <c r="X145" s="421"/>
      <c r="Y145" s="143">
        <f t="shared" si="42"/>
        <v>7693</v>
      </c>
      <c r="Z145" s="144"/>
      <c r="AA145" s="145"/>
      <c r="AB145" s="143">
        <f t="shared" si="65"/>
        <v>7693</v>
      </c>
      <c r="AC145" s="143">
        <v>7693</v>
      </c>
      <c r="AD145" s="144"/>
      <c r="AE145" s="144"/>
      <c r="AF145" s="143">
        <f t="shared" si="43"/>
        <v>6491</v>
      </c>
      <c r="AG145" s="144"/>
      <c r="AH145" s="145"/>
      <c r="AI145" s="143">
        <f t="shared" si="44"/>
        <v>6491</v>
      </c>
      <c r="AJ145" s="143">
        <v>6491</v>
      </c>
      <c r="AK145" s="144"/>
      <c r="AL145" s="144"/>
      <c r="AM145" s="143">
        <v>7410.6525670000001</v>
      </c>
      <c r="AN145" s="144"/>
      <c r="AO145" s="144"/>
      <c r="AP145" s="143">
        <v>7410.6525670000001</v>
      </c>
      <c r="AQ145" s="143">
        <v>7410.6525670000001</v>
      </c>
      <c r="AR145" s="144">
        <v>7410.6525670000001</v>
      </c>
      <c r="AS145" s="144"/>
      <c r="AT145" s="144"/>
      <c r="AU145" s="144"/>
      <c r="AV145" s="143">
        <f t="shared" si="45"/>
        <v>1202</v>
      </c>
      <c r="AW145" s="144"/>
      <c r="AX145" s="144"/>
      <c r="AY145" s="143">
        <f t="shared" si="46"/>
        <v>1202</v>
      </c>
      <c r="AZ145" s="143">
        <v>1202</v>
      </c>
      <c r="BA145" s="144"/>
      <c r="BB145" s="144"/>
      <c r="BC145" s="143">
        <v>0</v>
      </c>
      <c r="BD145" s="144"/>
      <c r="BE145" s="144"/>
      <c r="BF145" s="148"/>
      <c r="BG145" s="143">
        <v>1197.024467</v>
      </c>
      <c r="BH145" s="148">
        <v>1197.024467</v>
      </c>
      <c r="BI145" s="143"/>
      <c r="BJ145" s="148"/>
      <c r="BK145" s="153"/>
      <c r="BL145" s="148">
        <v>312.90480000000002</v>
      </c>
      <c r="BM145" s="148"/>
      <c r="BN145" s="148">
        <v>312.90480000000002</v>
      </c>
      <c r="BO145" s="148"/>
      <c r="BP145" s="148">
        <v>312.90480000000002</v>
      </c>
      <c r="BQ145" s="148"/>
      <c r="BR145" s="148">
        <v>312.90480000000002</v>
      </c>
      <c r="BS145" s="148"/>
      <c r="BT145" s="148">
        <v>26558</v>
      </c>
      <c r="BU145" s="148"/>
      <c r="BV145" s="148">
        <v>26558</v>
      </c>
      <c r="BW145" s="148"/>
      <c r="BX145" s="231"/>
      <c r="BY145" s="436"/>
    </row>
    <row r="146" spans="1:77" ht="30.75" outlineLevel="1">
      <c r="A146" s="420">
        <v>21</v>
      </c>
      <c r="B146" s="155" t="s">
        <v>2697</v>
      </c>
      <c r="C146" s="428" t="s">
        <v>2350</v>
      </c>
      <c r="D146" s="420" t="s">
        <v>2436</v>
      </c>
      <c r="E146" s="422" t="s">
        <v>49</v>
      </c>
      <c r="F146" s="422" t="s">
        <v>48</v>
      </c>
      <c r="G146" s="151">
        <v>7930647</v>
      </c>
      <c r="H146" s="420" t="s">
        <v>2433</v>
      </c>
      <c r="I146" s="420" t="s">
        <v>2502</v>
      </c>
      <c r="J146" s="420" t="s">
        <v>2503</v>
      </c>
      <c r="K146" s="424"/>
      <c r="L146" s="436" t="s">
        <v>2698</v>
      </c>
      <c r="M146" s="149">
        <v>90300</v>
      </c>
      <c r="N146" s="424"/>
      <c r="O146" s="424"/>
      <c r="P146" s="149">
        <v>60300</v>
      </c>
      <c r="Q146" s="420"/>
      <c r="R146" s="420" t="s">
        <v>2433</v>
      </c>
      <c r="S146" s="422" t="s">
        <v>2591</v>
      </c>
      <c r="T146" s="420" t="s">
        <v>2436</v>
      </c>
      <c r="U146" s="143">
        <f t="shared" si="59"/>
        <v>0</v>
      </c>
      <c r="V146" s="421"/>
      <c r="W146" s="421"/>
      <c r="X146" s="421"/>
      <c r="Y146" s="143">
        <f t="shared" si="42"/>
        <v>20000</v>
      </c>
      <c r="Z146" s="143"/>
      <c r="AA146" s="143"/>
      <c r="AB146" s="143">
        <f t="shared" si="65"/>
        <v>20000</v>
      </c>
      <c r="AC146" s="143">
        <v>0</v>
      </c>
      <c r="AD146" s="144">
        <v>20000</v>
      </c>
      <c r="AE146" s="144"/>
      <c r="AF146" s="143">
        <f t="shared" si="43"/>
        <v>5</v>
      </c>
      <c r="AG146" s="143"/>
      <c r="AH146" s="143"/>
      <c r="AI146" s="143">
        <f t="shared" si="44"/>
        <v>5</v>
      </c>
      <c r="AJ146" s="143">
        <v>0</v>
      </c>
      <c r="AK146" s="144">
        <v>5</v>
      </c>
      <c r="AL146" s="144"/>
      <c r="AM146" s="143">
        <v>4.6890000000000001</v>
      </c>
      <c r="AN146" s="143"/>
      <c r="AO146" s="143"/>
      <c r="AP146" s="143">
        <v>4.6890000000000001</v>
      </c>
      <c r="AQ146" s="143">
        <v>0</v>
      </c>
      <c r="AR146" s="143"/>
      <c r="AS146" s="144"/>
      <c r="AT146" s="144">
        <v>4.6890000000000001</v>
      </c>
      <c r="AU146" s="144"/>
      <c r="AV146" s="143">
        <f t="shared" si="45"/>
        <v>0</v>
      </c>
      <c r="AW146" s="143"/>
      <c r="AX146" s="143"/>
      <c r="AY146" s="143">
        <f t="shared" si="46"/>
        <v>0</v>
      </c>
      <c r="AZ146" s="143">
        <v>0</v>
      </c>
      <c r="BA146" s="144">
        <v>0</v>
      </c>
      <c r="BB146" s="144"/>
      <c r="BC146" s="143">
        <v>0</v>
      </c>
      <c r="BD146" s="143"/>
      <c r="BE146" s="143"/>
      <c r="BF146" s="143">
        <v>0</v>
      </c>
      <c r="BG146" s="143">
        <v>0</v>
      </c>
      <c r="BH146" s="148"/>
      <c r="BI146" s="148"/>
      <c r="BJ146" s="148"/>
      <c r="BK146" s="148"/>
      <c r="BL146" s="148"/>
      <c r="BM146" s="148"/>
      <c r="BN146" s="148"/>
      <c r="BO146" s="148"/>
      <c r="BP146" s="148"/>
      <c r="BQ146" s="148"/>
      <c r="BR146" s="148"/>
      <c r="BS146" s="148"/>
      <c r="BT146" s="148">
        <v>60000</v>
      </c>
      <c r="BU146" s="148"/>
      <c r="BV146" s="148">
        <v>60000</v>
      </c>
      <c r="BW146" s="148"/>
      <c r="BX146" s="231"/>
      <c r="BY146" s="424"/>
    </row>
    <row r="147" spans="1:77" ht="46.15" outlineLevel="1">
      <c r="A147" s="420">
        <v>22</v>
      </c>
      <c r="B147" s="421" t="s">
        <v>2699</v>
      </c>
      <c r="C147" s="428" t="s">
        <v>2350</v>
      </c>
      <c r="D147" s="420" t="s">
        <v>2436</v>
      </c>
      <c r="E147" s="422" t="s">
        <v>10</v>
      </c>
      <c r="F147" s="422" t="s">
        <v>125</v>
      </c>
      <c r="G147" s="150">
        <v>7894823</v>
      </c>
      <c r="H147" s="432" t="s">
        <v>2433</v>
      </c>
      <c r="I147" s="420" t="s">
        <v>2502</v>
      </c>
      <c r="J147" s="420"/>
      <c r="K147" s="424"/>
      <c r="L147" s="420" t="s">
        <v>2700</v>
      </c>
      <c r="M147" s="149">
        <v>424064</v>
      </c>
      <c r="N147" s="424"/>
      <c r="O147" s="424"/>
      <c r="P147" s="149">
        <v>424064</v>
      </c>
      <c r="Q147" s="420"/>
      <c r="R147" s="432" t="s">
        <v>2433</v>
      </c>
      <c r="S147" s="422" t="s">
        <v>2591</v>
      </c>
      <c r="T147" s="420" t="s">
        <v>2436</v>
      </c>
      <c r="U147" s="143">
        <f t="shared" si="59"/>
        <v>0</v>
      </c>
      <c r="V147" s="421"/>
      <c r="W147" s="421"/>
      <c r="X147" s="421"/>
      <c r="Y147" s="143">
        <f t="shared" si="42"/>
        <v>5000</v>
      </c>
      <c r="Z147" s="143"/>
      <c r="AA147" s="143"/>
      <c r="AB147" s="143">
        <f t="shared" si="65"/>
        <v>5000</v>
      </c>
      <c r="AC147" s="143">
        <v>0</v>
      </c>
      <c r="AD147" s="144">
        <v>5000</v>
      </c>
      <c r="AE147" s="144"/>
      <c r="AF147" s="143">
        <f t="shared" si="43"/>
        <v>3766</v>
      </c>
      <c r="AG147" s="143"/>
      <c r="AH147" s="143"/>
      <c r="AI147" s="143">
        <f t="shared" si="44"/>
        <v>3766</v>
      </c>
      <c r="AJ147" s="143">
        <v>0</v>
      </c>
      <c r="AK147" s="144">
        <v>3766</v>
      </c>
      <c r="AL147" s="144"/>
      <c r="AM147" s="143">
        <v>2765.88067</v>
      </c>
      <c r="AN147" s="143"/>
      <c r="AO147" s="143"/>
      <c r="AP147" s="143">
        <v>2765.88067</v>
      </c>
      <c r="AQ147" s="143">
        <v>0</v>
      </c>
      <c r="AR147" s="143"/>
      <c r="AS147" s="144"/>
      <c r="AT147" s="144">
        <v>2765.88067</v>
      </c>
      <c r="AU147" s="144"/>
      <c r="AV147" s="143">
        <f t="shared" si="45"/>
        <v>1000</v>
      </c>
      <c r="AW147" s="143"/>
      <c r="AX147" s="143"/>
      <c r="AY147" s="143">
        <f t="shared" si="46"/>
        <v>1000</v>
      </c>
      <c r="AZ147" s="143">
        <v>0</v>
      </c>
      <c r="BA147" s="144">
        <v>1000</v>
      </c>
      <c r="BB147" s="144"/>
      <c r="BC147" s="143">
        <v>0</v>
      </c>
      <c r="BD147" s="143"/>
      <c r="BE147" s="143"/>
      <c r="BF147" s="143">
        <v>0</v>
      </c>
      <c r="BG147" s="143">
        <v>0</v>
      </c>
      <c r="BH147" s="148"/>
      <c r="BI147" s="148"/>
      <c r="BJ147" s="148"/>
      <c r="BK147" s="148"/>
      <c r="BL147" s="148"/>
      <c r="BM147" s="148"/>
      <c r="BN147" s="148"/>
      <c r="BO147" s="148"/>
      <c r="BP147" s="148"/>
      <c r="BQ147" s="148"/>
      <c r="BR147" s="148"/>
      <c r="BS147" s="148"/>
      <c r="BT147" s="148">
        <v>400000</v>
      </c>
      <c r="BU147" s="148"/>
      <c r="BV147" s="148">
        <v>400000</v>
      </c>
      <c r="BW147" s="148"/>
      <c r="BX147" s="231"/>
      <c r="BY147" s="424"/>
    </row>
    <row r="148" spans="1:77" s="457" customFormat="1" ht="43.5" customHeight="1" outlineLevel="1">
      <c r="A148" s="430" t="s">
        <v>45</v>
      </c>
      <c r="B148" s="456" t="s">
        <v>2513</v>
      </c>
      <c r="C148" s="418"/>
      <c r="D148" s="418"/>
      <c r="E148" s="418"/>
      <c r="F148" s="418"/>
      <c r="G148" s="418"/>
      <c r="H148" s="419">
        <f>SUM(H162:H164)</f>
        <v>0</v>
      </c>
      <c r="I148" s="418"/>
      <c r="J148" s="419"/>
      <c r="K148" s="419"/>
      <c r="L148" s="419"/>
      <c r="M148" s="419">
        <f>SUM(M149:M161)</f>
        <v>2118004.165</v>
      </c>
      <c r="N148" s="419">
        <f t="shared" ref="N148:BY148" si="66">SUM(N149:N161)</f>
        <v>0</v>
      </c>
      <c r="O148" s="419">
        <f t="shared" si="66"/>
        <v>12621</v>
      </c>
      <c r="P148" s="419">
        <f t="shared" si="66"/>
        <v>2072072.165</v>
      </c>
      <c r="Q148" s="419">
        <f t="shared" si="66"/>
        <v>0</v>
      </c>
      <c r="R148" s="419">
        <f t="shared" si="66"/>
        <v>0</v>
      </c>
      <c r="S148" s="419">
        <f t="shared" si="66"/>
        <v>0</v>
      </c>
      <c r="T148" s="419">
        <f t="shared" si="66"/>
        <v>0</v>
      </c>
      <c r="U148" s="419">
        <f t="shared" si="66"/>
        <v>0</v>
      </c>
      <c r="V148" s="419">
        <f t="shared" si="66"/>
        <v>0</v>
      </c>
      <c r="W148" s="419">
        <f t="shared" si="66"/>
        <v>0</v>
      </c>
      <c r="X148" s="419">
        <f t="shared" si="66"/>
        <v>0</v>
      </c>
      <c r="Y148" s="419">
        <f t="shared" si="66"/>
        <v>14670</v>
      </c>
      <c r="Z148" s="419">
        <f t="shared" si="66"/>
        <v>0</v>
      </c>
      <c r="AA148" s="419">
        <f t="shared" si="66"/>
        <v>0</v>
      </c>
      <c r="AB148" s="419">
        <f t="shared" si="66"/>
        <v>14670</v>
      </c>
      <c r="AC148" s="419">
        <f t="shared" si="66"/>
        <v>0</v>
      </c>
      <c r="AD148" s="419">
        <f t="shared" si="66"/>
        <v>14670</v>
      </c>
      <c r="AE148" s="419">
        <f t="shared" si="66"/>
        <v>0</v>
      </c>
      <c r="AF148" s="419">
        <f t="shared" si="66"/>
        <v>0</v>
      </c>
      <c r="AG148" s="419">
        <f t="shared" si="66"/>
        <v>0</v>
      </c>
      <c r="AH148" s="419">
        <f t="shared" si="66"/>
        <v>0</v>
      </c>
      <c r="AI148" s="419">
        <f t="shared" si="66"/>
        <v>0</v>
      </c>
      <c r="AJ148" s="419">
        <f t="shared" si="66"/>
        <v>0</v>
      </c>
      <c r="AK148" s="419">
        <f t="shared" si="66"/>
        <v>0</v>
      </c>
      <c r="AL148" s="419">
        <f t="shared" si="66"/>
        <v>0</v>
      </c>
      <c r="AM148" s="419">
        <f t="shared" si="66"/>
        <v>0</v>
      </c>
      <c r="AN148" s="419">
        <f t="shared" si="66"/>
        <v>0</v>
      </c>
      <c r="AO148" s="419">
        <f t="shared" si="66"/>
        <v>0</v>
      </c>
      <c r="AP148" s="419">
        <f t="shared" si="66"/>
        <v>0</v>
      </c>
      <c r="AQ148" s="419">
        <f t="shared" si="66"/>
        <v>0</v>
      </c>
      <c r="AR148" s="419">
        <f t="shared" si="66"/>
        <v>0</v>
      </c>
      <c r="AS148" s="419">
        <f t="shared" si="66"/>
        <v>0</v>
      </c>
      <c r="AT148" s="419">
        <f t="shared" si="66"/>
        <v>0</v>
      </c>
      <c r="AU148" s="419">
        <f t="shared" si="66"/>
        <v>0</v>
      </c>
      <c r="AV148" s="419">
        <f t="shared" si="66"/>
        <v>0</v>
      </c>
      <c r="AW148" s="419">
        <f t="shared" si="66"/>
        <v>0</v>
      </c>
      <c r="AX148" s="419">
        <f t="shared" si="66"/>
        <v>0</v>
      </c>
      <c r="AY148" s="419">
        <f t="shared" si="66"/>
        <v>0</v>
      </c>
      <c r="AZ148" s="419">
        <f t="shared" si="66"/>
        <v>0</v>
      </c>
      <c r="BA148" s="419">
        <f t="shared" si="66"/>
        <v>0</v>
      </c>
      <c r="BB148" s="419">
        <f t="shared" si="66"/>
        <v>0</v>
      </c>
      <c r="BC148" s="419">
        <f t="shared" si="66"/>
        <v>0</v>
      </c>
      <c r="BD148" s="419">
        <f t="shared" si="66"/>
        <v>0</v>
      </c>
      <c r="BE148" s="419">
        <f t="shared" si="66"/>
        <v>0</v>
      </c>
      <c r="BF148" s="419">
        <f t="shared" si="66"/>
        <v>0</v>
      </c>
      <c r="BG148" s="419">
        <f t="shared" si="66"/>
        <v>0</v>
      </c>
      <c r="BH148" s="419">
        <f t="shared" si="66"/>
        <v>0</v>
      </c>
      <c r="BI148" s="419">
        <f t="shared" si="66"/>
        <v>0</v>
      </c>
      <c r="BJ148" s="419">
        <f t="shared" si="66"/>
        <v>0</v>
      </c>
      <c r="BK148" s="419">
        <f t="shared" si="66"/>
        <v>0</v>
      </c>
      <c r="BL148" s="419">
        <f t="shared" si="66"/>
        <v>0</v>
      </c>
      <c r="BM148" s="419">
        <f t="shared" si="66"/>
        <v>0</v>
      </c>
      <c r="BN148" s="419">
        <f t="shared" si="66"/>
        <v>0</v>
      </c>
      <c r="BO148" s="419">
        <f t="shared" si="66"/>
        <v>0</v>
      </c>
      <c r="BP148" s="419">
        <f t="shared" si="66"/>
        <v>0</v>
      </c>
      <c r="BQ148" s="419">
        <f t="shared" si="66"/>
        <v>0</v>
      </c>
      <c r="BR148" s="419">
        <f t="shared" si="66"/>
        <v>0</v>
      </c>
      <c r="BS148" s="419">
        <f t="shared" si="66"/>
        <v>0</v>
      </c>
      <c r="BT148" s="419">
        <f t="shared" si="66"/>
        <v>0</v>
      </c>
      <c r="BU148" s="419">
        <f t="shared" si="66"/>
        <v>0</v>
      </c>
      <c r="BV148" s="419">
        <f t="shared" si="66"/>
        <v>0</v>
      </c>
      <c r="BW148" s="419">
        <f t="shared" si="66"/>
        <v>0</v>
      </c>
      <c r="BX148" s="454"/>
      <c r="BY148" s="419">
        <f t="shared" si="66"/>
        <v>0</v>
      </c>
    </row>
    <row r="149" spans="1:77" ht="30.75" outlineLevel="1">
      <c r="A149" s="420">
        <v>1</v>
      </c>
      <c r="B149" s="421" t="s">
        <v>2701</v>
      </c>
      <c r="C149" s="420" t="s">
        <v>2350</v>
      </c>
      <c r="D149" s="420" t="s">
        <v>2436</v>
      </c>
      <c r="E149" s="422" t="s">
        <v>49</v>
      </c>
      <c r="F149" s="431" t="s">
        <v>48</v>
      </c>
      <c r="G149" s="150">
        <v>7930650</v>
      </c>
      <c r="H149" s="437" t="s">
        <v>2618</v>
      </c>
      <c r="I149" s="420" t="s">
        <v>2502</v>
      </c>
      <c r="J149" s="431" t="s">
        <v>2503</v>
      </c>
      <c r="K149" s="424"/>
      <c r="L149" s="420" t="s">
        <v>2702</v>
      </c>
      <c r="M149" s="149">
        <v>5089</v>
      </c>
      <c r="N149" s="424"/>
      <c r="O149" s="424"/>
      <c r="P149" s="149"/>
      <c r="Q149" s="420"/>
      <c r="R149" s="437" t="s">
        <v>2618</v>
      </c>
      <c r="S149" s="422" t="s">
        <v>2591</v>
      </c>
      <c r="T149" s="420" t="s">
        <v>2436</v>
      </c>
      <c r="U149" s="143">
        <f t="shared" ref="U149:U161" si="67">V149+W149+X149</f>
        <v>0</v>
      </c>
      <c r="V149" s="421"/>
      <c r="W149" s="421"/>
      <c r="X149" s="421"/>
      <c r="Y149" s="143">
        <f t="shared" ref="Y149:Y161" si="68">SUM(Z149:AB149)</f>
        <v>4835</v>
      </c>
      <c r="Z149" s="143"/>
      <c r="AA149" s="143"/>
      <c r="AB149" s="143">
        <f t="shared" ref="AB149:AB161" si="69">AC149+AD149+AE149</f>
        <v>4835</v>
      </c>
      <c r="AC149" s="143">
        <v>0</v>
      </c>
      <c r="AD149" s="144">
        <v>4835</v>
      </c>
      <c r="AE149" s="144"/>
      <c r="AF149" s="143">
        <f t="shared" ref="AF149:AF161" si="70">SUM(AG149:AI149)</f>
        <v>0</v>
      </c>
      <c r="AG149" s="143"/>
      <c r="AH149" s="143"/>
      <c r="AI149" s="143">
        <f t="shared" ref="AI149:AI161" si="71">SUM(AJ149:AL149)</f>
        <v>0</v>
      </c>
      <c r="AJ149" s="143">
        <v>0</v>
      </c>
      <c r="AK149" s="144">
        <v>0</v>
      </c>
      <c r="AL149" s="144"/>
      <c r="AM149" s="143">
        <v>0</v>
      </c>
      <c r="AN149" s="143"/>
      <c r="AO149" s="143"/>
      <c r="AP149" s="143">
        <v>0</v>
      </c>
      <c r="AQ149" s="143">
        <v>0</v>
      </c>
      <c r="AR149" s="143"/>
      <c r="AS149" s="144"/>
      <c r="AT149" s="144">
        <v>0</v>
      </c>
      <c r="AU149" s="144"/>
      <c r="AV149" s="143">
        <f t="shared" ref="AV149:AV161" si="72">SUM(AW149:AY149)</f>
        <v>0</v>
      </c>
      <c r="AW149" s="143"/>
      <c r="AX149" s="143"/>
      <c r="AY149" s="143">
        <f t="shared" ref="AY149:AY161" si="73">SUM(AZ149:BB149)</f>
        <v>0</v>
      </c>
      <c r="AZ149" s="143">
        <v>0</v>
      </c>
      <c r="BA149" s="144">
        <v>0</v>
      </c>
      <c r="BB149" s="144"/>
      <c r="BC149" s="143">
        <v>0</v>
      </c>
      <c r="BD149" s="143"/>
      <c r="BE149" s="143"/>
      <c r="BF149" s="143">
        <v>0</v>
      </c>
      <c r="BG149" s="143">
        <v>0</v>
      </c>
      <c r="BH149" s="148">
        <v>0</v>
      </c>
      <c r="BI149" s="143"/>
      <c r="BJ149" s="148"/>
      <c r="BK149" s="148"/>
      <c r="BL149" s="148"/>
      <c r="BM149" s="148"/>
      <c r="BN149" s="148"/>
      <c r="BO149" s="148"/>
      <c r="BP149" s="148"/>
      <c r="BQ149" s="148"/>
      <c r="BR149" s="148"/>
      <c r="BS149" s="148"/>
      <c r="BT149" s="459"/>
      <c r="BU149" s="148"/>
      <c r="BV149" s="459"/>
      <c r="BW149" s="148"/>
      <c r="BX149" s="231"/>
      <c r="BY149" s="424"/>
    </row>
    <row r="150" spans="1:77" ht="30.75" outlineLevel="1">
      <c r="A150" s="420">
        <v>2</v>
      </c>
      <c r="B150" s="449" t="s">
        <v>2703</v>
      </c>
      <c r="C150" s="420" t="s">
        <v>2350</v>
      </c>
      <c r="D150" s="420" t="s">
        <v>2436</v>
      </c>
      <c r="E150" s="422" t="s">
        <v>49</v>
      </c>
      <c r="F150" s="422" t="s">
        <v>48</v>
      </c>
      <c r="G150" s="151"/>
      <c r="H150" s="437" t="s">
        <v>2433</v>
      </c>
      <c r="I150" s="420" t="s">
        <v>2502</v>
      </c>
      <c r="J150" s="420" t="s">
        <v>2503</v>
      </c>
      <c r="K150" s="424"/>
      <c r="L150" s="420" t="s">
        <v>2704</v>
      </c>
      <c r="M150" s="448">
        <v>1193</v>
      </c>
      <c r="N150" s="424"/>
      <c r="O150" s="424"/>
      <c r="P150" s="448">
        <v>1193</v>
      </c>
      <c r="Q150" s="420"/>
      <c r="R150" s="437" t="s">
        <v>2433</v>
      </c>
      <c r="S150" s="422" t="s">
        <v>2591</v>
      </c>
      <c r="T150" s="420" t="s">
        <v>2436</v>
      </c>
      <c r="U150" s="143">
        <f t="shared" si="67"/>
        <v>0</v>
      </c>
      <c r="V150" s="421"/>
      <c r="W150" s="421"/>
      <c r="X150" s="421"/>
      <c r="Y150" s="143">
        <f t="shared" si="68"/>
        <v>1193</v>
      </c>
      <c r="Z150" s="143"/>
      <c r="AA150" s="143"/>
      <c r="AB150" s="143">
        <f t="shared" si="69"/>
        <v>1193</v>
      </c>
      <c r="AC150" s="143">
        <v>0</v>
      </c>
      <c r="AD150" s="144">
        <v>1193</v>
      </c>
      <c r="AE150" s="144"/>
      <c r="AF150" s="143">
        <f t="shared" si="70"/>
        <v>0</v>
      </c>
      <c r="AG150" s="143"/>
      <c r="AH150" s="143"/>
      <c r="AI150" s="143">
        <f t="shared" si="71"/>
        <v>0</v>
      </c>
      <c r="AJ150" s="143">
        <v>0</v>
      </c>
      <c r="AK150" s="144">
        <v>0</v>
      </c>
      <c r="AL150" s="144"/>
      <c r="AM150" s="143">
        <v>0</v>
      </c>
      <c r="AN150" s="143"/>
      <c r="AO150" s="143"/>
      <c r="AP150" s="143">
        <v>0</v>
      </c>
      <c r="AQ150" s="143">
        <v>0</v>
      </c>
      <c r="AR150" s="143"/>
      <c r="AS150" s="144"/>
      <c r="AT150" s="144">
        <v>0</v>
      </c>
      <c r="AU150" s="144"/>
      <c r="AV150" s="143">
        <f t="shared" si="72"/>
        <v>0</v>
      </c>
      <c r="AW150" s="143"/>
      <c r="AX150" s="143"/>
      <c r="AY150" s="143">
        <f t="shared" si="73"/>
        <v>0</v>
      </c>
      <c r="AZ150" s="143">
        <v>0</v>
      </c>
      <c r="BA150" s="144">
        <v>0</v>
      </c>
      <c r="BB150" s="144"/>
      <c r="BC150" s="143">
        <v>0</v>
      </c>
      <c r="BD150" s="143"/>
      <c r="BE150" s="143"/>
      <c r="BF150" s="143">
        <v>0</v>
      </c>
      <c r="BG150" s="143">
        <v>0</v>
      </c>
      <c r="BH150" s="148">
        <v>0</v>
      </c>
      <c r="BI150" s="143"/>
      <c r="BJ150" s="148"/>
      <c r="BK150" s="148"/>
      <c r="BL150" s="148"/>
      <c r="BM150" s="148"/>
      <c r="BN150" s="148"/>
      <c r="BO150" s="148"/>
      <c r="BP150" s="148"/>
      <c r="BQ150" s="148"/>
      <c r="BR150" s="148"/>
      <c r="BS150" s="148"/>
      <c r="BT150" s="148"/>
      <c r="BU150" s="148"/>
      <c r="BV150" s="148"/>
      <c r="BW150" s="148"/>
      <c r="BX150" s="231"/>
      <c r="BY150" s="424"/>
    </row>
    <row r="151" spans="1:77" ht="46.15" outlineLevel="1">
      <c r="A151" s="420">
        <v>3</v>
      </c>
      <c r="B151" s="435" t="s">
        <v>2705</v>
      </c>
      <c r="C151" s="428" t="s">
        <v>2350</v>
      </c>
      <c r="D151" s="420" t="s">
        <v>2436</v>
      </c>
      <c r="E151" s="422" t="s">
        <v>49</v>
      </c>
      <c r="F151" s="420" t="s">
        <v>2694</v>
      </c>
      <c r="G151" s="151">
        <v>7918928</v>
      </c>
      <c r="H151" s="423" t="s">
        <v>2618</v>
      </c>
      <c r="I151" s="420" t="s">
        <v>2706</v>
      </c>
      <c r="J151" s="420" t="s">
        <v>2503</v>
      </c>
      <c r="K151" s="424"/>
      <c r="L151" s="436" t="s">
        <v>2707</v>
      </c>
      <c r="M151" s="150">
        <v>12621</v>
      </c>
      <c r="N151" s="424"/>
      <c r="O151" s="150">
        <v>12621</v>
      </c>
      <c r="P151" s="424"/>
      <c r="Q151" s="420"/>
      <c r="R151" s="420" t="s">
        <v>2708</v>
      </c>
      <c r="S151" s="422" t="s">
        <v>2591</v>
      </c>
      <c r="T151" s="420" t="s">
        <v>2436</v>
      </c>
      <c r="U151" s="143">
        <f t="shared" si="67"/>
        <v>0</v>
      </c>
      <c r="V151" s="421"/>
      <c r="W151" s="421"/>
      <c r="X151" s="421"/>
      <c r="Y151" s="143">
        <f t="shared" si="68"/>
        <v>0</v>
      </c>
      <c r="Z151" s="144"/>
      <c r="AA151" s="145"/>
      <c r="AB151" s="143">
        <f t="shared" si="69"/>
        <v>0</v>
      </c>
      <c r="AC151" s="143">
        <v>0</v>
      </c>
      <c r="AD151" s="144"/>
      <c r="AE151" s="144"/>
      <c r="AF151" s="143">
        <f t="shared" si="70"/>
        <v>0</v>
      </c>
      <c r="AG151" s="144"/>
      <c r="AH151" s="145"/>
      <c r="AI151" s="143">
        <f t="shared" si="71"/>
        <v>0</v>
      </c>
      <c r="AJ151" s="143">
        <v>0</v>
      </c>
      <c r="AK151" s="144"/>
      <c r="AL151" s="144"/>
      <c r="AM151" s="143">
        <v>0</v>
      </c>
      <c r="AN151" s="144"/>
      <c r="AO151" s="144">
        <v>0</v>
      </c>
      <c r="AP151" s="143">
        <v>0</v>
      </c>
      <c r="AQ151" s="143">
        <v>0</v>
      </c>
      <c r="AR151" s="144"/>
      <c r="AS151" s="144"/>
      <c r="AT151" s="144"/>
      <c r="AU151" s="144"/>
      <c r="AV151" s="143">
        <f t="shared" si="72"/>
        <v>0</v>
      </c>
      <c r="AW151" s="144"/>
      <c r="AX151" s="144"/>
      <c r="AY151" s="143">
        <f t="shared" si="73"/>
        <v>0</v>
      </c>
      <c r="AZ151" s="143">
        <v>0</v>
      </c>
      <c r="BA151" s="144"/>
      <c r="BB151" s="144"/>
      <c r="BC151" s="143">
        <v>0</v>
      </c>
      <c r="BD151" s="144"/>
      <c r="BE151" s="144"/>
      <c r="BF151" s="148"/>
      <c r="BG151" s="143">
        <v>0</v>
      </c>
      <c r="BH151" s="148">
        <v>0</v>
      </c>
      <c r="BI151" s="143"/>
      <c r="BJ151" s="148"/>
      <c r="BK151" s="153"/>
      <c r="BL151" s="153">
        <v>0</v>
      </c>
      <c r="BM151" s="153"/>
      <c r="BN151" s="153"/>
      <c r="BO151" s="153"/>
      <c r="BP151" s="153">
        <v>0</v>
      </c>
      <c r="BQ151" s="153"/>
      <c r="BR151" s="153"/>
      <c r="BS151" s="153"/>
      <c r="BT151" s="463"/>
      <c r="BU151" s="153"/>
      <c r="BV151" s="463"/>
      <c r="BW151" s="153"/>
      <c r="BX151" s="232"/>
      <c r="BY151" s="436"/>
    </row>
    <row r="152" spans="1:77" ht="45.75" customHeight="1" outlineLevel="1">
      <c r="A152" s="420">
        <v>4</v>
      </c>
      <c r="B152" s="435" t="s">
        <v>2709</v>
      </c>
      <c r="C152" s="428" t="s">
        <v>2350</v>
      </c>
      <c r="D152" s="420" t="s">
        <v>2436</v>
      </c>
      <c r="E152" s="420" t="s">
        <v>49</v>
      </c>
      <c r="F152" s="431" t="s">
        <v>2500</v>
      </c>
      <c r="G152" s="143">
        <v>7918934</v>
      </c>
      <c r="H152" s="420" t="s">
        <v>2433</v>
      </c>
      <c r="I152" s="420" t="s">
        <v>2502</v>
      </c>
      <c r="J152" s="420" t="s">
        <v>2503</v>
      </c>
      <c r="K152" s="422"/>
      <c r="L152" s="436" t="s">
        <v>2710</v>
      </c>
      <c r="M152" s="145">
        <v>2667</v>
      </c>
      <c r="N152" s="422"/>
      <c r="O152" s="422"/>
      <c r="P152" s="145">
        <v>2667</v>
      </c>
      <c r="Q152" s="420"/>
      <c r="R152" s="420" t="s">
        <v>2433</v>
      </c>
      <c r="S152" s="422" t="s">
        <v>2591</v>
      </c>
      <c r="T152" s="420" t="s">
        <v>2436</v>
      </c>
      <c r="U152" s="143">
        <f t="shared" si="67"/>
        <v>0</v>
      </c>
      <c r="V152" s="420"/>
      <c r="W152" s="420"/>
      <c r="X152" s="420"/>
      <c r="Y152" s="143">
        <f t="shared" si="68"/>
        <v>0</v>
      </c>
      <c r="Z152" s="143"/>
      <c r="AA152" s="143"/>
      <c r="AB152" s="143">
        <f t="shared" si="69"/>
        <v>0</v>
      </c>
      <c r="AC152" s="143">
        <v>0</v>
      </c>
      <c r="AD152" s="143"/>
      <c r="AE152" s="143"/>
      <c r="AF152" s="143">
        <f t="shared" si="70"/>
        <v>0</v>
      </c>
      <c r="AG152" s="143"/>
      <c r="AH152" s="143"/>
      <c r="AI152" s="143">
        <f t="shared" si="71"/>
        <v>0</v>
      </c>
      <c r="AJ152" s="143">
        <v>0</v>
      </c>
      <c r="AK152" s="143"/>
      <c r="AL152" s="143"/>
      <c r="AM152" s="143">
        <v>0</v>
      </c>
      <c r="AN152" s="143"/>
      <c r="AO152" s="143"/>
      <c r="AP152" s="143">
        <v>0</v>
      </c>
      <c r="AQ152" s="143">
        <v>0</v>
      </c>
      <c r="AR152" s="143">
        <v>0</v>
      </c>
      <c r="AS152" s="143"/>
      <c r="AT152" s="143"/>
      <c r="AU152" s="143"/>
      <c r="AV152" s="143">
        <f t="shared" si="72"/>
        <v>0</v>
      </c>
      <c r="AW152" s="143"/>
      <c r="AX152" s="143"/>
      <c r="AY152" s="143">
        <f t="shared" si="73"/>
        <v>0</v>
      </c>
      <c r="AZ152" s="143">
        <v>0</v>
      </c>
      <c r="BA152" s="143"/>
      <c r="BB152" s="143"/>
      <c r="BC152" s="143">
        <v>0</v>
      </c>
      <c r="BD152" s="143"/>
      <c r="BE152" s="143"/>
      <c r="BF152" s="143">
        <v>0</v>
      </c>
      <c r="BG152" s="143">
        <v>0</v>
      </c>
      <c r="BH152" s="143">
        <v>0</v>
      </c>
      <c r="BI152" s="143"/>
      <c r="BJ152" s="143"/>
      <c r="BK152" s="143"/>
      <c r="BL152" s="143"/>
      <c r="BM152" s="143"/>
      <c r="BN152" s="143"/>
      <c r="BO152" s="143"/>
      <c r="BP152" s="143"/>
      <c r="BQ152" s="143"/>
      <c r="BR152" s="143"/>
      <c r="BS152" s="143"/>
      <c r="BT152" s="143"/>
      <c r="BU152" s="143"/>
      <c r="BV152" s="143"/>
      <c r="BW152" s="143"/>
      <c r="BX152" s="230"/>
      <c r="BY152" s="433"/>
    </row>
    <row r="153" spans="1:77" ht="30.75" outlineLevel="1">
      <c r="A153" s="420">
        <v>5</v>
      </c>
      <c r="B153" s="435" t="s">
        <v>2711</v>
      </c>
      <c r="C153" s="428" t="s">
        <v>2350</v>
      </c>
      <c r="D153" s="420" t="s">
        <v>2436</v>
      </c>
      <c r="E153" s="420" t="s">
        <v>49</v>
      </c>
      <c r="F153" s="431" t="s">
        <v>2500</v>
      </c>
      <c r="G153" s="143">
        <v>7919919</v>
      </c>
      <c r="H153" s="420" t="s">
        <v>2433</v>
      </c>
      <c r="I153" s="420" t="s">
        <v>2502</v>
      </c>
      <c r="J153" s="420" t="s">
        <v>2503</v>
      </c>
      <c r="K153" s="422"/>
      <c r="L153" s="436" t="s">
        <v>2712</v>
      </c>
      <c r="M153" s="145">
        <v>3007</v>
      </c>
      <c r="N153" s="422"/>
      <c r="O153" s="422"/>
      <c r="P153" s="145">
        <v>3007</v>
      </c>
      <c r="Q153" s="420"/>
      <c r="R153" s="420" t="s">
        <v>2433</v>
      </c>
      <c r="S153" s="422" t="s">
        <v>2591</v>
      </c>
      <c r="T153" s="420" t="s">
        <v>2436</v>
      </c>
      <c r="U153" s="143">
        <f t="shared" si="67"/>
        <v>0</v>
      </c>
      <c r="V153" s="420"/>
      <c r="W153" s="420"/>
      <c r="X153" s="420"/>
      <c r="Y153" s="143">
        <f t="shared" si="68"/>
        <v>0</v>
      </c>
      <c r="Z153" s="143"/>
      <c r="AA153" s="143"/>
      <c r="AB153" s="143">
        <f t="shared" si="69"/>
        <v>0</v>
      </c>
      <c r="AC153" s="143">
        <v>0</v>
      </c>
      <c r="AD153" s="143"/>
      <c r="AE153" s="143"/>
      <c r="AF153" s="143">
        <f t="shared" si="70"/>
        <v>0</v>
      </c>
      <c r="AG153" s="143"/>
      <c r="AH153" s="143"/>
      <c r="AI153" s="143">
        <f t="shared" si="71"/>
        <v>0</v>
      </c>
      <c r="AJ153" s="143">
        <v>0</v>
      </c>
      <c r="AK153" s="143"/>
      <c r="AL153" s="143"/>
      <c r="AM153" s="143">
        <v>0</v>
      </c>
      <c r="AN153" s="143"/>
      <c r="AO153" s="143"/>
      <c r="AP153" s="143">
        <v>0</v>
      </c>
      <c r="AQ153" s="143">
        <v>0</v>
      </c>
      <c r="AR153" s="143">
        <v>0</v>
      </c>
      <c r="AS153" s="143"/>
      <c r="AT153" s="143"/>
      <c r="AU153" s="143"/>
      <c r="AV153" s="143">
        <f t="shared" si="72"/>
        <v>0</v>
      </c>
      <c r="AW153" s="143"/>
      <c r="AX153" s="143"/>
      <c r="AY153" s="143">
        <f t="shared" si="73"/>
        <v>0</v>
      </c>
      <c r="AZ153" s="143">
        <v>0</v>
      </c>
      <c r="BA153" s="143"/>
      <c r="BB153" s="143"/>
      <c r="BC153" s="143">
        <v>0</v>
      </c>
      <c r="BD153" s="143"/>
      <c r="BE153" s="143"/>
      <c r="BF153" s="143">
        <v>0</v>
      </c>
      <c r="BG153" s="143">
        <v>0</v>
      </c>
      <c r="BH153" s="143">
        <v>0</v>
      </c>
      <c r="BI153" s="143"/>
      <c r="BJ153" s="143"/>
      <c r="BK153" s="143"/>
      <c r="BL153" s="143"/>
      <c r="BM153" s="143"/>
      <c r="BN153" s="143"/>
      <c r="BO153" s="143"/>
      <c r="BP153" s="143"/>
      <c r="BQ153" s="143"/>
      <c r="BR153" s="143"/>
      <c r="BS153" s="143"/>
      <c r="BT153" s="143"/>
      <c r="BU153" s="143"/>
      <c r="BV153" s="143"/>
      <c r="BW153" s="143"/>
      <c r="BX153" s="230"/>
      <c r="BY153" s="433"/>
    </row>
    <row r="154" spans="1:77" ht="30.75" outlineLevel="1">
      <c r="A154" s="420">
        <v>6</v>
      </c>
      <c r="B154" s="435" t="s">
        <v>2713</v>
      </c>
      <c r="C154" s="428" t="s">
        <v>2350</v>
      </c>
      <c r="D154" s="420" t="s">
        <v>2436</v>
      </c>
      <c r="E154" s="420" t="s">
        <v>49</v>
      </c>
      <c r="F154" s="431" t="s">
        <v>2500</v>
      </c>
      <c r="G154" s="142"/>
      <c r="H154" s="420" t="s">
        <v>2433</v>
      </c>
      <c r="I154" s="420" t="s">
        <v>2502</v>
      </c>
      <c r="J154" s="420" t="s">
        <v>2503</v>
      </c>
      <c r="K154" s="422"/>
      <c r="L154" s="436" t="s">
        <v>2714</v>
      </c>
      <c r="M154" s="146">
        <v>7042</v>
      </c>
      <c r="N154" s="422"/>
      <c r="O154" s="422"/>
      <c r="P154" s="146">
        <v>7042</v>
      </c>
      <c r="Q154" s="420"/>
      <c r="R154" s="420" t="s">
        <v>2433</v>
      </c>
      <c r="S154" s="422" t="s">
        <v>2591</v>
      </c>
      <c r="T154" s="420" t="s">
        <v>2436</v>
      </c>
      <c r="U154" s="143">
        <f t="shared" si="67"/>
        <v>0</v>
      </c>
      <c r="V154" s="420"/>
      <c r="W154" s="420"/>
      <c r="X154" s="420"/>
      <c r="Y154" s="143">
        <f t="shared" si="68"/>
        <v>7042</v>
      </c>
      <c r="Z154" s="143"/>
      <c r="AA154" s="143"/>
      <c r="AB154" s="143">
        <f t="shared" si="69"/>
        <v>7042</v>
      </c>
      <c r="AC154" s="143">
        <v>0</v>
      </c>
      <c r="AD154" s="143">
        <v>7042</v>
      </c>
      <c r="AE154" s="143"/>
      <c r="AF154" s="143">
        <f t="shared" si="70"/>
        <v>0</v>
      </c>
      <c r="AG154" s="143"/>
      <c r="AH154" s="143"/>
      <c r="AI154" s="143">
        <f t="shared" si="71"/>
        <v>0</v>
      </c>
      <c r="AJ154" s="143">
        <v>0</v>
      </c>
      <c r="AK154" s="143">
        <v>0</v>
      </c>
      <c r="AL154" s="143"/>
      <c r="AM154" s="143">
        <v>0</v>
      </c>
      <c r="AN154" s="143"/>
      <c r="AO154" s="143"/>
      <c r="AP154" s="143">
        <v>0</v>
      </c>
      <c r="AQ154" s="143">
        <v>0</v>
      </c>
      <c r="AR154" s="143"/>
      <c r="AS154" s="143"/>
      <c r="AT154" s="143">
        <v>0</v>
      </c>
      <c r="AU154" s="143"/>
      <c r="AV154" s="143">
        <f t="shared" si="72"/>
        <v>0</v>
      </c>
      <c r="AW154" s="143"/>
      <c r="AX154" s="143"/>
      <c r="AY154" s="143">
        <f t="shared" si="73"/>
        <v>0</v>
      </c>
      <c r="AZ154" s="143">
        <v>0</v>
      </c>
      <c r="BA154" s="143">
        <v>0</v>
      </c>
      <c r="BB154" s="143"/>
      <c r="BC154" s="143">
        <v>0</v>
      </c>
      <c r="BD154" s="143"/>
      <c r="BE154" s="143"/>
      <c r="BF154" s="143">
        <v>0</v>
      </c>
      <c r="BG154" s="143">
        <v>0</v>
      </c>
      <c r="BH154" s="143"/>
      <c r="BI154" s="143"/>
      <c r="BJ154" s="143"/>
      <c r="BK154" s="143"/>
      <c r="BL154" s="143"/>
      <c r="BM154" s="143"/>
      <c r="BN154" s="143"/>
      <c r="BO154" s="143"/>
      <c r="BP154" s="143"/>
      <c r="BQ154" s="143"/>
      <c r="BR154" s="143"/>
      <c r="BS154" s="143"/>
      <c r="BT154" s="143"/>
      <c r="BU154" s="143"/>
      <c r="BV154" s="143"/>
      <c r="BW154" s="143"/>
      <c r="BX154" s="230"/>
      <c r="BY154" s="433"/>
    </row>
    <row r="155" spans="1:77" ht="30.75" outlineLevel="1">
      <c r="A155" s="420">
        <v>7</v>
      </c>
      <c r="B155" s="435" t="s">
        <v>2715</v>
      </c>
      <c r="C155" s="428" t="s">
        <v>2350</v>
      </c>
      <c r="D155" s="420" t="s">
        <v>2436</v>
      </c>
      <c r="E155" s="420" t="s">
        <v>49</v>
      </c>
      <c r="F155" s="431" t="s">
        <v>2500</v>
      </c>
      <c r="G155" s="142"/>
      <c r="H155" s="420" t="s">
        <v>2433</v>
      </c>
      <c r="I155" s="420" t="s">
        <v>2502</v>
      </c>
      <c r="J155" s="420" t="s">
        <v>2503</v>
      </c>
      <c r="K155" s="422"/>
      <c r="L155" s="436" t="s">
        <v>2716</v>
      </c>
      <c r="M155" s="146">
        <v>10231.165000000001</v>
      </c>
      <c r="N155" s="422"/>
      <c r="O155" s="422"/>
      <c r="P155" s="146">
        <v>10231.165000000001</v>
      </c>
      <c r="Q155" s="420"/>
      <c r="R155" s="420" t="s">
        <v>2433</v>
      </c>
      <c r="S155" s="422" t="s">
        <v>2591</v>
      </c>
      <c r="T155" s="420" t="s">
        <v>2436</v>
      </c>
      <c r="U155" s="143">
        <f t="shared" si="67"/>
        <v>0</v>
      </c>
      <c r="V155" s="420"/>
      <c r="W155" s="420"/>
      <c r="X155" s="420"/>
      <c r="Y155" s="143">
        <f t="shared" si="68"/>
        <v>0</v>
      </c>
      <c r="Z155" s="143"/>
      <c r="AA155" s="143"/>
      <c r="AB155" s="143">
        <f t="shared" si="69"/>
        <v>0</v>
      </c>
      <c r="AC155" s="143">
        <v>0</v>
      </c>
      <c r="AD155" s="143">
        <v>0</v>
      </c>
      <c r="AE155" s="143"/>
      <c r="AF155" s="143">
        <f t="shared" si="70"/>
        <v>0</v>
      </c>
      <c r="AG155" s="143"/>
      <c r="AH155" s="143"/>
      <c r="AI155" s="143">
        <f t="shared" si="71"/>
        <v>0</v>
      </c>
      <c r="AJ155" s="143">
        <v>0</v>
      </c>
      <c r="AK155" s="143">
        <v>0</v>
      </c>
      <c r="AL155" s="143"/>
      <c r="AM155" s="143">
        <v>0</v>
      </c>
      <c r="AN155" s="143"/>
      <c r="AO155" s="143"/>
      <c r="AP155" s="143">
        <v>0</v>
      </c>
      <c r="AQ155" s="143">
        <v>0</v>
      </c>
      <c r="AR155" s="143"/>
      <c r="AS155" s="143"/>
      <c r="AT155" s="143">
        <v>0</v>
      </c>
      <c r="AU155" s="143"/>
      <c r="AV155" s="143">
        <f t="shared" si="72"/>
        <v>0</v>
      </c>
      <c r="AW155" s="143"/>
      <c r="AX155" s="143"/>
      <c r="AY155" s="143">
        <f t="shared" si="73"/>
        <v>0</v>
      </c>
      <c r="AZ155" s="143">
        <v>0</v>
      </c>
      <c r="BA155" s="143">
        <v>0</v>
      </c>
      <c r="BB155" s="143"/>
      <c r="BC155" s="143">
        <v>0</v>
      </c>
      <c r="BD155" s="143"/>
      <c r="BE155" s="143"/>
      <c r="BF155" s="143">
        <v>0</v>
      </c>
      <c r="BG155" s="143">
        <v>0</v>
      </c>
      <c r="BH155" s="143"/>
      <c r="BI155" s="143"/>
      <c r="BJ155" s="143"/>
      <c r="BK155" s="143"/>
      <c r="BL155" s="143"/>
      <c r="BM155" s="143"/>
      <c r="BN155" s="143"/>
      <c r="BO155" s="143"/>
      <c r="BP155" s="143"/>
      <c r="BQ155" s="143"/>
      <c r="BR155" s="143"/>
      <c r="BS155" s="143"/>
      <c r="BT155" s="143"/>
      <c r="BU155" s="143"/>
      <c r="BV155" s="143"/>
      <c r="BW155" s="143"/>
      <c r="BX155" s="230"/>
      <c r="BY155" s="433"/>
    </row>
    <row r="156" spans="1:77" ht="46.15" outlineLevel="1">
      <c r="A156" s="420">
        <v>8</v>
      </c>
      <c r="B156" s="421" t="s">
        <v>2717</v>
      </c>
      <c r="C156" s="420" t="s">
        <v>2350</v>
      </c>
      <c r="D156" s="420" t="s">
        <v>2436</v>
      </c>
      <c r="E156" s="422" t="s">
        <v>49</v>
      </c>
      <c r="F156" s="422" t="s">
        <v>55</v>
      </c>
      <c r="G156" s="151">
        <v>7918935</v>
      </c>
      <c r="H156" s="437" t="s">
        <v>2618</v>
      </c>
      <c r="I156" s="420" t="s">
        <v>2502</v>
      </c>
      <c r="J156" s="420" t="s">
        <v>2503</v>
      </c>
      <c r="K156" s="424"/>
      <c r="L156" s="436" t="s">
        <v>2718</v>
      </c>
      <c r="M156" s="440">
        <v>14960</v>
      </c>
      <c r="N156" s="424"/>
      <c r="O156" s="424"/>
      <c r="P156" s="440">
        <v>14960</v>
      </c>
      <c r="Q156" s="420"/>
      <c r="R156" s="437" t="s">
        <v>2618</v>
      </c>
      <c r="S156" s="422" t="s">
        <v>2591</v>
      </c>
      <c r="T156" s="420" t="s">
        <v>2436</v>
      </c>
      <c r="U156" s="143">
        <f t="shared" si="67"/>
        <v>0</v>
      </c>
      <c r="V156" s="421"/>
      <c r="W156" s="421"/>
      <c r="X156" s="421"/>
      <c r="Y156" s="143">
        <f t="shared" si="68"/>
        <v>1000</v>
      </c>
      <c r="Z156" s="143"/>
      <c r="AA156" s="143"/>
      <c r="AB156" s="143">
        <f t="shared" si="69"/>
        <v>1000</v>
      </c>
      <c r="AC156" s="143">
        <v>0</v>
      </c>
      <c r="AD156" s="144">
        <v>1000</v>
      </c>
      <c r="AE156" s="144"/>
      <c r="AF156" s="143">
        <f t="shared" si="70"/>
        <v>0</v>
      </c>
      <c r="AG156" s="143"/>
      <c r="AH156" s="143"/>
      <c r="AI156" s="143">
        <f t="shared" si="71"/>
        <v>0</v>
      </c>
      <c r="AJ156" s="143">
        <v>0</v>
      </c>
      <c r="AK156" s="144">
        <v>0</v>
      </c>
      <c r="AL156" s="144"/>
      <c r="AM156" s="143">
        <v>0</v>
      </c>
      <c r="AN156" s="143"/>
      <c r="AO156" s="143"/>
      <c r="AP156" s="143">
        <v>0</v>
      </c>
      <c r="AQ156" s="143">
        <v>0</v>
      </c>
      <c r="AR156" s="143"/>
      <c r="AS156" s="144"/>
      <c r="AT156" s="144">
        <v>0</v>
      </c>
      <c r="AU156" s="144"/>
      <c r="AV156" s="143">
        <f t="shared" si="72"/>
        <v>0</v>
      </c>
      <c r="AW156" s="143"/>
      <c r="AX156" s="143"/>
      <c r="AY156" s="143">
        <f t="shared" si="73"/>
        <v>0</v>
      </c>
      <c r="AZ156" s="143">
        <v>0</v>
      </c>
      <c r="BA156" s="144">
        <v>0</v>
      </c>
      <c r="BB156" s="144"/>
      <c r="BC156" s="143">
        <v>0</v>
      </c>
      <c r="BD156" s="143"/>
      <c r="BE156" s="143"/>
      <c r="BF156" s="143">
        <v>0</v>
      </c>
      <c r="BG156" s="143">
        <v>0</v>
      </c>
      <c r="BH156" s="148"/>
      <c r="BI156" s="148"/>
      <c r="BJ156" s="148"/>
      <c r="BK156" s="148"/>
      <c r="BL156" s="148"/>
      <c r="BM156" s="148"/>
      <c r="BN156" s="148"/>
      <c r="BO156" s="148"/>
      <c r="BP156" s="148"/>
      <c r="BQ156" s="148"/>
      <c r="BR156" s="148"/>
      <c r="BS156" s="148"/>
      <c r="BT156" s="148"/>
      <c r="BU156" s="148"/>
      <c r="BV156" s="148"/>
      <c r="BW156" s="148"/>
      <c r="BX156" s="231"/>
      <c r="BY156" s="424"/>
    </row>
    <row r="157" spans="1:77" ht="30.75" outlineLevel="1">
      <c r="A157" s="420">
        <v>9</v>
      </c>
      <c r="B157" s="421" t="s">
        <v>2719</v>
      </c>
      <c r="C157" s="420" t="s">
        <v>2720</v>
      </c>
      <c r="D157" s="420" t="s">
        <v>2436</v>
      </c>
      <c r="E157" s="422" t="s">
        <v>49</v>
      </c>
      <c r="F157" s="422" t="s">
        <v>125</v>
      </c>
      <c r="G157" s="151"/>
      <c r="H157" s="437" t="s">
        <v>2618</v>
      </c>
      <c r="I157" s="420" t="s">
        <v>2706</v>
      </c>
      <c r="J157" s="420"/>
      <c r="K157" s="424"/>
      <c r="L157" s="420" t="s">
        <v>2721</v>
      </c>
      <c r="M157" s="453">
        <v>900</v>
      </c>
      <c r="N157" s="424"/>
      <c r="O157" s="424"/>
      <c r="P157" s="421">
        <v>600</v>
      </c>
      <c r="Q157" s="420"/>
      <c r="R157" s="437" t="s">
        <v>2618</v>
      </c>
      <c r="S157" s="422" t="s">
        <v>2591</v>
      </c>
      <c r="T157" s="420" t="s">
        <v>2436</v>
      </c>
      <c r="U157" s="143">
        <f t="shared" si="67"/>
        <v>0</v>
      </c>
      <c r="V157" s="421"/>
      <c r="W157" s="421"/>
      <c r="X157" s="421"/>
      <c r="Y157" s="143">
        <f t="shared" si="68"/>
        <v>600</v>
      </c>
      <c r="Z157" s="143"/>
      <c r="AA157" s="143"/>
      <c r="AB157" s="143">
        <f t="shared" si="69"/>
        <v>600</v>
      </c>
      <c r="AC157" s="143">
        <v>0</v>
      </c>
      <c r="AD157" s="144">
        <v>600</v>
      </c>
      <c r="AE157" s="144"/>
      <c r="AF157" s="143">
        <f t="shared" si="70"/>
        <v>0</v>
      </c>
      <c r="AG157" s="143"/>
      <c r="AH157" s="143"/>
      <c r="AI157" s="143">
        <f t="shared" si="71"/>
        <v>0</v>
      </c>
      <c r="AJ157" s="143">
        <v>0</v>
      </c>
      <c r="AK157" s="144">
        <v>0</v>
      </c>
      <c r="AL157" s="144"/>
      <c r="AM157" s="143">
        <v>0</v>
      </c>
      <c r="AN157" s="143"/>
      <c r="AO157" s="143"/>
      <c r="AP157" s="143">
        <v>0</v>
      </c>
      <c r="AQ157" s="143">
        <v>0</v>
      </c>
      <c r="AR157" s="143"/>
      <c r="AS157" s="144"/>
      <c r="AT157" s="144">
        <v>0</v>
      </c>
      <c r="AU157" s="144"/>
      <c r="AV157" s="143">
        <f t="shared" si="72"/>
        <v>0</v>
      </c>
      <c r="AW157" s="143"/>
      <c r="AX157" s="143"/>
      <c r="AY157" s="143">
        <f t="shared" si="73"/>
        <v>0</v>
      </c>
      <c r="AZ157" s="143">
        <v>0</v>
      </c>
      <c r="BA157" s="144">
        <v>0</v>
      </c>
      <c r="BB157" s="144"/>
      <c r="BC157" s="143">
        <v>0</v>
      </c>
      <c r="BD157" s="143"/>
      <c r="BE157" s="143"/>
      <c r="BF157" s="143">
        <v>0</v>
      </c>
      <c r="BG157" s="143">
        <v>0</v>
      </c>
      <c r="BH157" s="148"/>
      <c r="BI157" s="148"/>
      <c r="BJ157" s="148"/>
      <c r="BK157" s="148"/>
      <c r="BL157" s="148"/>
      <c r="BM157" s="148"/>
      <c r="BN157" s="148"/>
      <c r="BO157" s="148"/>
      <c r="BP157" s="148"/>
      <c r="BQ157" s="148"/>
      <c r="BR157" s="148"/>
      <c r="BS157" s="148"/>
      <c r="BT157" s="148"/>
      <c r="BU157" s="148"/>
      <c r="BV157" s="148"/>
      <c r="BW157" s="148"/>
      <c r="BX157" s="231"/>
      <c r="BY157" s="424"/>
    </row>
    <row r="158" spans="1:77" ht="30.75" outlineLevel="1">
      <c r="A158" s="420">
        <v>10</v>
      </c>
      <c r="B158" s="421" t="s">
        <v>2722</v>
      </c>
      <c r="C158" s="428" t="s">
        <v>2350</v>
      </c>
      <c r="D158" s="420" t="s">
        <v>2436</v>
      </c>
      <c r="E158" s="422" t="s">
        <v>10</v>
      </c>
      <c r="F158" s="422" t="s">
        <v>125</v>
      </c>
      <c r="G158" s="150">
        <v>7897128</v>
      </c>
      <c r="H158" s="420" t="s">
        <v>2607</v>
      </c>
      <c r="I158" s="420" t="s">
        <v>2706</v>
      </c>
      <c r="J158" s="420"/>
      <c r="K158" s="424"/>
      <c r="L158" s="420" t="s">
        <v>2723</v>
      </c>
      <c r="M158" s="149">
        <v>279212</v>
      </c>
      <c r="N158" s="424"/>
      <c r="O158" s="424"/>
      <c r="P158" s="149">
        <v>251290</v>
      </c>
      <c r="Q158" s="420"/>
      <c r="R158" s="420" t="s">
        <v>2607</v>
      </c>
      <c r="S158" s="422" t="s">
        <v>2591</v>
      </c>
      <c r="T158" s="420" t="s">
        <v>2436</v>
      </c>
      <c r="U158" s="143">
        <f t="shared" si="67"/>
        <v>0</v>
      </c>
      <c r="V158" s="421"/>
      <c r="W158" s="421"/>
      <c r="X158" s="421"/>
      <c r="Y158" s="143">
        <f t="shared" si="68"/>
        <v>0</v>
      </c>
      <c r="Z158" s="143"/>
      <c r="AA158" s="143"/>
      <c r="AB158" s="143">
        <f t="shared" si="69"/>
        <v>0</v>
      </c>
      <c r="AC158" s="143">
        <v>0</v>
      </c>
      <c r="AD158" s="144">
        <v>0</v>
      </c>
      <c r="AE158" s="144"/>
      <c r="AF158" s="143">
        <f t="shared" si="70"/>
        <v>0</v>
      </c>
      <c r="AG158" s="143"/>
      <c r="AH158" s="143"/>
      <c r="AI158" s="143">
        <f t="shared" si="71"/>
        <v>0</v>
      </c>
      <c r="AJ158" s="143">
        <v>0</v>
      </c>
      <c r="AK158" s="144">
        <v>0</v>
      </c>
      <c r="AL158" s="144"/>
      <c r="AM158" s="143">
        <v>0</v>
      </c>
      <c r="AN158" s="143"/>
      <c r="AO158" s="143"/>
      <c r="AP158" s="143">
        <v>0</v>
      </c>
      <c r="AQ158" s="143">
        <v>0</v>
      </c>
      <c r="AR158" s="143"/>
      <c r="AS158" s="144"/>
      <c r="AT158" s="144">
        <v>0</v>
      </c>
      <c r="AU158" s="144"/>
      <c r="AV158" s="143">
        <f t="shared" si="72"/>
        <v>0</v>
      </c>
      <c r="AW158" s="143"/>
      <c r="AX158" s="143"/>
      <c r="AY158" s="143">
        <f t="shared" si="73"/>
        <v>0</v>
      </c>
      <c r="AZ158" s="143">
        <v>0</v>
      </c>
      <c r="BA158" s="144">
        <v>0</v>
      </c>
      <c r="BB158" s="144"/>
      <c r="BC158" s="143">
        <v>0</v>
      </c>
      <c r="BD158" s="143"/>
      <c r="BE158" s="143"/>
      <c r="BF158" s="143">
        <v>0</v>
      </c>
      <c r="BG158" s="143">
        <v>0</v>
      </c>
      <c r="BH158" s="148"/>
      <c r="BI158" s="148"/>
      <c r="BJ158" s="148"/>
      <c r="BK158" s="148"/>
      <c r="BL158" s="148"/>
      <c r="BM158" s="148"/>
      <c r="BN158" s="148"/>
      <c r="BO158" s="148"/>
      <c r="BP158" s="148"/>
      <c r="BQ158" s="148"/>
      <c r="BR158" s="148"/>
      <c r="BS158" s="148"/>
      <c r="BT158" s="148"/>
      <c r="BU158" s="148"/>
      <c r="BV158" s="148"/>
      <c r="BW158" s="148"/>
      <c r="BX158" s="231"/>
      <c r="BY158" s="424"/>
    </row>
    <row r="159" spans="1:77" ht="76.900000000000006" outlineLevel="1">
      <c r="A159" s="420">
        <v>11</v>
      </c>
      <c r="B159" s="435" t="s">
        <v>2724</v>
      </c>
      <c r="C159" s="428" t="s">
        <v>2350</v>
      </c>
      <c r="D159" s="420" t="s">
        <v>2436</v>
      </c>
      <c r="E159" s="422" t="s">
        <v>10</v>
      </c>
      <c r="F159" s="422" t="s">
        <v>2500</v>
      </c>
      <c r="G159" s="150"/>
      <c r="H159" s="423" t="s">
        <v>2618</v>
      </c>
      <c r="I159" s="420" t="s">
        <v>2502</v>
      </c>
      <c r="J159" s="420" t="s">
        <v>2503</v>
      </c>
      <c r="K159" s="424"/>
      <c r="L159" s="420" t="s">
        <v>2725</v>
      </c>
      <c r="M159" s="146">
        <v>217203</v>
      </c>
      <c r="N159" s="424"/>
      <c r="O159" s="424"/>
      <c r="P159" s="149">
        <v>217203</v>
      </c>
      <c r="Q159" s="420"/>
      <c r="R159" s="423" t="s">
        <v>2618</v>
      </c>
      <c r="S159" s="422" t="s">
        <v>2591</v>
      </c>
      <c r="T159" s="420" t="s">
        <v>2436</v>
      </c>
      <c r="U159" s="143">
        <f t="shared" si="67"/>
        <v>0</v>
      </c>
      <c r="V159" s="421"/>
      <c r="W159" s="421"/>
      <c r="X159" s="421"/>
      <c r="Y159" s="143">
        <f t="shared" si="68"/>
        <v>0</v>
      </c>
      <c r="Z159" s="143"/>
      <c r="AA159" s="143"/>
      <c r="AB159" s="143">
        <f t="shared" si="69"/>
        <v>0</v>
      </c>
      <c r="AC159" s="143">
        <v>0</v>
      </c>
      <c r="AD159" s="144">
        <v>0</v>
      </c>
      <c r="AE159" s="144"/>
      <c r="AF159" s="143">
        <f t="shared" si="70"/>
        <v>0</v>
      </c>
      <c r="AG159" s="143"/>
      <c r="AH159" s="143"/>
      <c r="AI159" s="143">
        <f t="shared" si="71"/>
        <v>0</v>
      </c>
      <c r="AJ159" s="143">
        <v>0</v>
      </c>
      <c r="AK159" s="144">
        <v>0</v>
      </c>
      <c r="AL159" s="144"/>
      <c r="AM159" s="143">
        <v>0</v>
      </c>
      <c r="AN159" s="143"/>
      <c r="AO159" s="143"/>
      <c r="AP159" s="143">
        <v>0</v>
      </c>
      <c r="AQ159" s="143">
        <v>0</v>
      </c>
      <c r="AR159" s="143"/>
      <c r="AS159" s="144"/>
      <c r="AT159" s="144">
        <v>0</v>
      </c>
      <c r="AU159" s="144"/>
      <c r="AV159" s="143">
        <f t="shared" si="72"/>
        <v>0</v>
      </c>
      <c r="AW159" s="143"/>
      <c r="AX159" s="143"/>
      <c r="AY159" s="143">
        <f t="shared" si="73"/>
        <v>0</v>
      </c>
      <c r="AZ159" s="143">
        <v>0</v>
      </c>
      <c r="BA159" s="144">
        <v>0</v>
      </c>
      <c r="BB159" s="144"/>
      <c r="BC159" s="143">
        <v>0</v>
      </c>
      <c r="BD159" s="143"/>
      <c r="BE159" s="143"/>
      <c r="BF159" s="143">
        <v>0</v>
      </c>
      <c r="BG159" s="143">
        <v>0</v>
      </c>
      <c r="BH159" s="148"/>
      <c r="BI159" s="148"/>
      <c r="BJ159" s="148"/>
      <c r="BK159" s="148"/>
      <c r="BL159" s="148"/>
      <c r="BM159" s="148"/>
      <c r="BN159" s="148"/>
      <c r="BO159" s="148"/>
      <c r="BP159" s="148"/>
      <c r="BQ159" s="148"/>
      <c r="BR159" s="148"/>
      <c r="BS159" s="148"/>
      <c r="BT159" s="148"/>
      <c r="BU159" s="148"/>
      <c r="BV159" s="148"/>
      <c r="BW159" s="148"/>
      <c r="BX159" s="231"/>
      <c r="BY159" s="424"/>
    </row>
    <row r="160" spans="1:77" ht="61.5" outlineLevel="1">
      <c r="A160" s="420">
        <v>12</v>
      </c>
      <c r="B160" s="435" t="s">
        <v>2726</v>
      </c>
      <c r="C160" s="428" t="s">
        <v>2350</v>
      </c>
      <c r="D160" s="420" t="s">
        <v>2436</v>
      </c>
      <c r="E160" s="422"/>
      <c r="F160" s="422" t="s">
        <v>125</v>
      </c>
      <c r="G160" s="150"/>
      <c r="H160" s="423" t="s">
        <v>2607</v>
      </c>
      <c r="I160" s="420" t="s">
        <v>2706</v>
      </c>
      <c r="J160" s="420"/>
      <c r="K160" s="424"/>
      <c r="L160" s="420" t="s">
        <v>2727</v>
      </c>
      <c r="M160" s="146">
        <v>1499940</v>
      </c>
      <c r="N160" s="424"/>
      <c r="O160" s="424"/>
      <c r="P160" s="149">
        <v>1499940</v>
      </c>
      <c r="Q160" s="420"/>
      <c r="R160" s="423" t="s">
        <v>2607</v>
      </c>
      <c r="S160" s="422" t="s">
        <v>2591</v>
      </c>
      <c r="T160" s="420" t="s">
        <v>2436</v>
      </c>
      <c r="U160" s="143">
        <f t="shared" si="67"/>
        <v>0</v>
      </c>
      <c r="V160" s="421"/>
      <c r="W160" s="421"/>
      <c r="X160" s="421"/>
      <c r="Y160" s="143">
        <f t="shared" si="68"/>
        <v>0</v>
      </c>
      <c r="Z160" s="143"/>
      <c r="AA160" s="143"/>
      <c r="AB160" s="143">
        <f t="shared" si="69"/>
        <v>0</v>
      </c>
      <c r="AC160" s="143">
        <v>0</v>
      </c>
      <c r="AD160" s="144">
        <v>0</v>
      </c>
      <c r="AE160" s="144"/>
      <c r="AF160" s="143">
        <f t="shared" si="70"/>
        <v>0</v>
      </c>
      <c r="AG160" s="143"/>
      <c r="AH160" s="143"/>
      <c r="AI160" s="143">
        <f t="shared" si="71"/>
        <v>0</v>
      </c>
      <c r="AJ160" s="143">
        <v>0</v>
      </c>
      <c r="AK160" s="144">
        <v>0</v>
      </c>
      <c r="AL160" s="144"/>
      <c r="AM160" s="143">
        <v>0</v>
      </c>
      <c r="AN160" s="143"/>
      <c r="AO160" s="143"/>
      <c r="AP160" s="143">
        <v>0</v>
      </c>
      <c r="AQ160" s="143">
        <v>0</v>
      </c>
      <c r="AR160" s="143"/>
      <c r="AS160" s="144"/>
      <c r="AT160" s="144">
        <v>0</v>
      </c>
      <c r="AU160" s="144"/>
      <c r="AV160" s="143">
        <f t="shared" si="72"/>
        <v>0</v>
      </c>
      <c r="AW160" s="143"/>
      <c r="AX160" s="143"/>
      <c r="AY160" s="143">
        <f t="shared" si="73"/>
        <v>0</v>
      </c>
      <c r="AZ160" s="143">
        <v>0</v>
      </c>
      <c r="BA160" s="144">
        <v>0</v>
      </c>
      <c r="BB160" s="144"/>
      <c r="BC160" s="143">
        <v>0</v>
      </c>
      <c r="BD160" s="143"/>
      <c r="BE160" s="143"/>
      <c r="BF160" s="143">
        <v>0</v>
      </c>
      <c r="BG160" s="143">
        <v>0</v>
      </c>
      <c r="BH160" s="148"/>
      <c r="BI160" s="148"/>
      <c r="BJ160" s="148"/>
      <c r="BK160" s="148"/>
      <c r="BL160" s="148"/>
      <c r="BM160" s="148"/>
      <c r="BN160" s="148"/>
      <c r="BO160" s="148"/>
      <c r="BP160" s="148"/>
      <c r="BQ160" s="148"/>
      <c r="BR160" s="148"/>
      <c r="BS160" s="148"/>
      <c r="BT160" s="148"/>
      <c r="BU160" s="148"/>
      <c r="BV160" s="148"/>
      <c r="BW160" s="148"/>
      <c r="BX160" s="231"/>
      <c r="BY160" s="424"/>
    </row>
    <row r="161" spans="1:77" ht="34.5" customHeight="1" outlineLevel="1">
      <c r="A161" s="420">
        <v>13</v>
      </c>
      <c r="B161" s="435" t="s">
        <v>2728</v>
      </c>
      <c r="C161" s="428" t="s">
        <v>2350</v>
      </c>
      <c r="D161" s="420" t="s">
        <v>2436</v>
      </c>
      <c r="E161" s="422"/>
      <c r="F161" s="422" t="s">
        <v>125</v>
      </c>
      <c r="G161" s="150"/>
      <c r="H161" s="423" t="s">
        <v>2708</v>
      </c>
      <c r="I161" s="420" t="s">
        <v>2706</v>
      </c>
      <c r="J161" s="420"/>
      <c r="K161" s="424"/>
      <c r="L161" s="420" t="s">
        <v>2729</v>
      </c>
      <c r="M161" s="146">
        <v>63939</v>
      </c>
      <c r="N161" s="424"/>
      <c r="O161" s="424"/>
      <c r="P161" s="146">
        <v>63939</v>
      </c>
      <c r="Q161" s="420"/>
      <c r="R161" s="423" t="s">
        <v>2708</v>
      </c>
      <c r="S161" s="422" t="s">
        <v>2591</v>
      </c>
      <c r="T161" s="420" t="s">
        <v>2436</v>
      </c>
      <c r="U161" s="143">
        <f t="shared" si="67"/>
        <v>0</v>
      </c>
      <c r="V161" s="421"/>
      <c r="W161" s="421"/>
      <c r="X161" s="421"/>
      <c r="Y161" s="143">
        <f t="shared" si="68"/>
        <v>0</v>
      </c>
      <c r="Z161" s="143"/>
      <c r="AA161" s="143"/>
      <c r="AB161" s="143">
        <f t="shared" si="69"/>
        <v>0</v>
      </c>
      <c r="AC161" s="143">
        <v>0</v>
      </c>
      <c r="AD161" s="144">
        <v>0</v>
      </c>
      <c r="AE161" s="144"/>
      <c r="AF161" s="143">
        <f t="shared" si="70"/>
        <v>0</v>
      </c>
      <c r="AG161" s="143"/>
      <c r="AH161" s="143"/>
      <c r="AI161" s="143">
        <f t="shared" si="71"/>
        <v>0</v>
      </c>
      <c r="AJ161" s="143">
        <v>0</v>
      </c>
      <c r="AK161" s="144">
        <v>0</v>
      </c>
      <c r="AL161" s="144"/>
      <c r="AM161" s="143">
        <v>0</v>
      </c>
      <c r="AN161" s="143"/>
      <c r="AO161" s="143"/>
      <c r="AP161" s="143">
        <v>0</v>
      </c>
      <c r="AQ161" s="143">
        <v>0</v>
      </c>
      <c r="AR161" s="143"/>
      <c r="AS161" s="144"/>
      <c r="AT161" s="144">
        <v>0</v>
      </c>
      <c r="AU161" s="144"/>
      <c r="AV161" s="143">
        <f t="shared" si="72"/>
        <v>0</v>
      </c>
      <c r="AW161" s="143"/>
      <c r="AX161" s="143"/>
      <c r="AY161" s="143">
        <f t="shared" si="73"/>
        <v>0</v>
      </c>
      <c r="AZ161" s="143">
        <v>0</v>
      </c>
      <c r="BA161" s="144">
        <v>0</v>
      </c>
      <c r="BB161" s="144"/>
      <c r="BC161" s="143">
        <v>0</v>
      </c>
      <c r="BD161" s="143"/>
      <c r="BE161" s="143"/>
      <c r="BF161" s="143">
        <v>0</v>
      </c>
      <c r="BG161" s="143">
        <v>0</v>
      </c>
      <c r="BH161" s="148"/>
      <c r="BI161" s="148"/>
      <c r="BJ161" s="148"/>
      <c r="BK161" s="148"/>
      <c r="BL161" s="148"/>
      <c r="BM161" s="148"/>
      <c r="BN161" s="148"/>
      <c r="BO161" s="148"/>
      <c r="BP161" s="148"/>
      <c r="BQ161" s="148"/>
      <c r="BR161" s="148"/>
      <c r="BS161" s="148"/>
      <c r="BT161" s="148"/>
      <c r="BU161" s="148"/>
      <c r="BV161" s="148"/>
      <c r="BW161" s="148"/>
      <c r="BX161" s="231"/>
      <c r="BY161" s="424"/>
    </row>
    <row r="162" spans="1:77" s="417" customFormat="1" ht="28.5" customHeight="1">
      <c r="A162" s="418" t="s">
        <v>59</v>
      </c>
      <c r="B162" s="418" t="s">
        <v>2730</v>
      </c>
      <c r="C162" s="418"/>
      <c r="D162" s="418"/>
      <c r="E162" s="418"/>
      <c r="F162" s="418"/>
      <c r="G162" s="418"/>
      <c r="H162" s="419">
        <f t="shared" ref="H162" si="74">H163+H167</f>
        <v>0</v>
      </c>
      <c r="I162" s="418"/>
      <c r="J162" s="419"/>
      <c r="K162" s="419"/>
      <c r="L162" s="419"/>
      <c r="M162" s="419">
        <f>M163+M167+M203</f>
        <v>531943.31000000006</v>
      </c>
      <c r="N162" s="419">
        <f t="shared" ref="N162:BY162" si="75">N163+N167+N203</f>
        <v>0</v>
      </c>
      <c r="O162" s="419">
        <f t="shared" si="75"/>
        <v>5730</v>
      </c>
      <c r="P162" s="419">
        <f t="shared" si="75"/>
        <v>461628.08500000002</v>
      </c>
      <c r="Q162" s="419">
        <f t="shared" si="75"/>
        <v>0</v>
      </c>
      <c r="R162" s="419">
        <f t="shared" si="75"/>
        <v>0</v>
      </c>
      <c r="S162" s="419">
        <f t="shared" si="75"/>
        <v>0</v>
      </c>
      <c r="T162" s="419">
        <f t="shared" si="75"/>
        <v>0</v>
      </c>
      <c r="U162" s="419">
        <f t="shared" si="75"/>
        <v>0</v>
      </c>
      <c r="V162" s="419">
        <f t="shared" si="75"/>
        <v>0</v>
      </c>
      <c r="W162" s="419">
        <f t="shared" si="75"/>
        <v>0</v>
      </c>
      <c r="X162" s="419">
        <f t="shared" si="75"/>
        <v>0</v>
      </c>
      <c r="Y162" s="419">
        <f t="shared" si="75"/>
        <v>296660.65100000001</v>
      </c>
      <c r="Z162" s="419">
        <f t="shared" si="75"/>
        <v>0</v>
      </c>
      <c r="AA162" s="419">
        <f t="shared" si="75"/>
        <v>0</v>
      </c>
      <c r="AB162" s="419">
        <f t="shared" si="75"/>
        <v>296660.65100000001</v>
      </c>
      <c r="AC162" s="419">
        <f t="shared" si="75"/>
        <v>69750</v>
      </c>
      <c r="AD162" s="419">
        <f t="shared" si="75"/>
        <v>213726</v>
      </c>
      <c r="AE162" s="419">
        <f t="shared" si="75"/>
        <v>13184.651</v>
      </c>
      <c r="AF162" s="419">
        <f t="shared" si="75"/>
        <v>196975.53700000004</v>
      </c>
      <c r="AG162" s="419">
        <f t="shared" si="75"/>
        <v>0</v>
      </c>
      <c r="AH162" s="419">
        <f t="shared" si="75"/>
        <v>0</v>
      </c>
      <c r="AI162" s="419">
        <f t="shared" si="75"/>
        <v>196975.53700000004</v>
      </c>
      <c r="AJ162" s="419">
        <f t="shared" si="75"/>
        <v>59154.620999999999</v>
      </c>
      <c r="AK162" s="419">
        <f t="shared" si="75"/>
        <v>119754.91600000001</v>
      </c>
      <c r="AL162" s="419">
        <f t="shared" si="75"/>
        <v>18066</v>
      </c>
      <c r="AM162" s="419">
        <f t="shared" si="75"/>
        <v>166028.502576</v>
      </c>
      <c r="AN162" s="419">
        <f t="shared" si="75"/>
        <v>0</v>
      </c>
      <c r="AO162" s="419">
        <f t="shared" si="75"/>
        <v>9433.6561000000002</v>
      </c>
      <c r="AP162" s="419">
        <f t="shared" si="75"/>
        <v>156594.84647600001</v>
      </c>
      <c r="AQ162" s="419">
        <f t="shared" si="75"/>
        <v>53429.798179000012</v>
      </c>
      <c r="AR162" s="419">
        <f t="shared" si="75"/>
        <v>53429.798179000012</v>
      </c>
      <c r="AS162" s="419">
        <f t="shared" si="75"/>
        <v>0</v>
      </c>
      <c r="AT162" s="419">
        <f t="shared" si="75"/>
        <v>94767.682816999994</v>
      </c>
      <c r="AU162" s="419">
        <f t="shared" si="75"/>
        <v>8397.3654800000004</v>
      </c>
      <c r="AV162" s="419">
        <f t="shared" si="75"/>
        <v>39655.650999999998</v>
      </c>
      <c r="AW162" s="419">
        <f t="shared" si="75"/>
        <v>0</v>
      </c>
      <c r="AX162" s="419">
        <f t="shared" si="75"/>
        <v>0</v>
      </c>
      <c r="AY162" s="419">
        <f t="shared" si="75"/>
        <v>39655.650999999998</v>
      </c>
      <c r="AZ162" s="419">
        <f t="shared" si="75"/>
        <v>13042</v>
      </c>
      <c r="BA162" s="419">
        <f t="shared" si="75"/>
        <v>23407</v>
      </c>
      <c r="BB162" s="419">
        <f t="shared" si="75"/>
        <v>3206.6509999999998</v>
      </c>
      <c r="BC162" s="419">
        <f t="shared" si="75"/>
        <v>15376.052877</v>
      </c>
      <c r="BD162" s="419">
        <f t="shared" si="75"/>
        <v>0</v>
      </c>
      <c r="BE162" s="419">
        <f t="shared" si="75"/>
        <v>0</v>
      </c>
      <c r="BF162" s="419">
        <f t="shared" si="75"/>
        <v>15376.052877</v>
      </c>
      <c r="BG162" s="419">
        <f t="shared" si="75"/>
        <v>12779.176600000001</v>
      </c>
      <c r="BH162" s="419">
        <f t="shared" si="75"/>
        <v>12779.176600000001</v>
      </c>
      <c r="BI162" s="419">
        <f t="shared" si="75"/>
        <v>0</v>
      </c>
      <c r="BJ162" s="419">
        <f t="shared" si="75"/>
        <v>2390.225277</v>
      </c>
      <c r="BK162" s="419">
        <f t="shared" si="75"/>
        <v>3206.6509999999998</v>
      </c>
      <c r="BL162" s="419">
        <f t="shared" si="75"/>
        <v>2516.158504</v>
      </c>
      <c r="BM162" s="419">
        <f t="shared" si="75"/>
        <v>0</v>
      </c>
      <c r="BN162" s="419">
        <f t="shared" si="75"/>
        <v>0</v>
      </c>
      <c r="BO162" s="419">
        <f t="shared" si="75"/>
        <v>2516.158504</v>
      </c>
      <c r="BP162" s="419">
        <f t="shared" si="75"/>
        <v>1628.237496</v>
      </c>
      <c r="BQ162" s="419">
        <f t="shared" si="75"/>
        <v>0</v>
      </c>
      <c r="BR162" s="419">
        <f t="shared" si="75"/>
        <v>0</v>
      </c>
      <c r="BS162" s="419">
        <f t="shared" si="75"/>
        <v>1628.237496</v>
      </c>
      <c r="BT162" s="419">
        <f t="shared" si="75"/>
        <v>171965</v>
      </c>
      <c r="BU162" s="419">
        <f t="shared" si="75"/>
        <v>0</v>
      </c>
      <c r="BV162" s="419">
        <f t="shared" si="75"/>
        <v>171965</v>
      </c>
      <c r="BW162" s="419">
        <f t="shared" si="75"/>
        <v>0</v>
      </c>
      <c r="BX162" s="419">
        <f t="shared" si="75"/>
        <v>335</v>
      </c>
      <c r="BY162" s="419">
        <f t="shared" si="75"/>
        <v>0</v>
      </c>
    </row>
    <row r="163" spans="1:77" s="457" customFormat="1" ht="46.5" customHeight="1" outlineLevel="1">
      <c r="A163" s="430" t="s">
        <v>45</v>
      </c>
      <c r="B163" s="456" t="s">
        <v>1910</v>
      </c>
      <c r="C163" s="418"/>
      <c r="D163" s="418"/>
      <c r="E163" s="418"/>
      <c r="F163" s="418"/>
      <c r="G163" s="418"/>
      <c r="H163" s="419">
        <f t="shared" ref="H163" si="76">SUM(H164:H166)</f>
        <v>0</v>
      </c>
      <c r="I163" s="418"/>
      <c r="J163" s="419"/>
      <c r="K163" s="419"/>
      <c r="L163" s="419"/>
      <c r="M163" s="419">
        <f>SUM(M164:M166)</f>
        <v>0</v>
      </c>
      <c r="N163" s="419">
        <f t="shared" ref="N163:BY163" si="77">SUM(N164:N166)</f>
        <v>0</v>
      </c>
      <c r="O163" s="419">
        <f t="shared" si="77"/>
        <v>0</v>
      </c>
      <c r="P163" s="419">
        <f t="shared" si="77"/>
        <v>0</v>
      </c>
      <c r="Q163" s="419">
        <f t="shared" si="77"/>
        <v>0</v>
      </c>
      <c r="R163" s="419">
        <f t="shared" si="77"/>
        <v>0</v>
      </c>
      <c r="S163" s="419">
        <f t="shared" si="77"/>
        <v>0</v>
      </c>
      <c r="T163" s="419">
        <f t="shared" si="77"/>
        <v>0</v>
      </c>
      <c r="U163" s="419">
        <f t="shared" si="77"/>
        <v>0</v>
      </c>
      <c r="V163" s="419">
        <f t="shared" si="77"/>
        <v>0</v>
      </c>
      <c r="W163" s="419">
        <f t="shared" si="77"/>
        <v>0</v>
      </c>
      <c r="X163" s="419">
        <f t="shared" si="77"/>
        <v>0</v>
      </c>
      <c r="Y163" s="419">
        <f t="shared" si="77"/>
        <v>5884.6509999999998</v>
      </c>
      <c r="Z163" s="419">
        <f t="shared" si="77"/>
        <v>0</v>
      </c>
      <c r="AA163" s="419">
        <f t="shared" si="77"/>
        <v>0</v>
      </c>
      <c r="AB163" s="419">
        <f t="shared" si="77"/>
        <v>5884.6509999999998</v>
      </c>
      <c r="AC163" s="419">
        <f t="shared" si="77"/>
        <v>0</v>
      </c>
      <c r="AD163" s="419">
        <f t="shared" si="77"/>
        <v>0</v>
      </c>
      <c r="AE163" s="419">
        <f t="shared" si="77"/>
        <v>5884.6509999999998</v>
      </c>
      <c r="AF163" s="419">
        <f t="shared" si="77"/>
        <v>2678</v>
      </c>
      <c r="AG163" s="419">
        <f t="shared" si="77"/>
        <v>0</v>
      </c>
      <c r="AH163" s="419">
        <f t="shared" si="77"/>
        <v>0</v>
      </c>
      <c r="AI163" s="419">
        <f t="shared" si="77"/>
        <v>2678</v>
      </c>
      <c r="AJ163" s="419">
        <f t="shared" si="77"/>
        <v>0</v>
      </c>
      <c r="AK163" s="419">
        <f t="shared" si="77"/>
        <v>0</v>
      </c>
      <c r="AL163" s="419">
        <f t="shared" si="77"/>
        <v>2678</v>
      </c>
      <c r="AM163" s="419">
        <f t="shared" si="77"/>
        <v>2677.9920000000002</v>
      </c>
      <c r="AN163" s="419">
        <f t="shared" si="77"/>
        <v>0</v>
      </c>
      <c r="AO163" s="419">
        <f t="shared" si="77"/>
        <v>0</v>
      </c>
      <c r="AP163" s="419">
        <f t="shared" si="77"/>
        <v>2677.9920000000002</v>
      </c>
      <c r="AQ163" s="419">
        <f t="shared" si="77"/>
        <v>0</v>
      </c>
      <c r="AR163" s="419">
        <f t="shared" si="77"/>
        <v>0</v>
      </c>
      <c r="AS163" s="419">
        <f t="shared" si="77"/>
        <v>0</v>
      </c>
      <c r="AT163" s="419">
        <f t="shared" si="77"/>
        <v>0</v>
      </c>
      <c r="AU163" s="419">
        <f t="shared" si="77"/>
        <v>2677.9920000000002</v>
      </c>
      <c r="AV163" s="419">
        <f t="shared" si="77"/>
        <v>3206.6509999999998</v>
      </c>
      <c r="AW163" s="419">
        <f t="shared" si="77"/>
        <v>0</v>
      </c>
      <c r="AX163" s="419">
        <f t="shared" si="77"/>
        <v>0</v>
      </c>
      <c r="AY163" s="419">
        <f t="shared" si="77"/>
        <v>3206.6509999999998</v>
      </c>
      <c r="AZ163" s="419">
        <f t="shared" si="77"/>
        <v>0</v>
      </c>
      <c r="BA163" s="419">
        <f t="shared" si="77"/>
        <v>0</v>
      </c>
      <c r="BB163" s="419">
        <f t="shared" si="77"/>
        <v>3206.6509999999998</v>
      </c>
      <c r="BC163" s="419">
        <f t="shared" si="77"/>
        <v>3206.6509999999998</v>
      </c>
      <c r="BD163" s="419">
        <f t="shared" si="77"/>
        <v>0</v>
      </c>
      <c r="BE163" s="419">
        <f t="shared" si="77"/>
        <v>0</v>
      </c>
      <c r="BF163" s="419">
        <f t="shared" si="77"/>
        <v>3206.6509999999998</v>
      </c>
      <c r="BG163" s="419">
        <f t="shared" si="77"/>
        <v>0</v>
      </c>
      <c r="BH163" s="419">
        <f t="shared" si="77"/>
        <v>0</v>
      </c>
      <c r="BI163" s="419">
        <f t="shared" si="77"/>
        <v>0</v>
      </c>
      <c r="BJ163" s="419">
        <f t="shared" si="77"/>
        <v>0</v>
      </c>
      <c r="BK163" s="419">
        <f t="shared" si="77"/>
        <v>3206.6509999999998</v>
      </c>
      <c r="BL163" s="419">
        <f t="shared" si="77"/>
        <v>0</v>
      </c>
      <c r="BM163" s="419">
        <f t="shared" si="77"/>
        <v>0</v>
      </c>
      <c r="BN163" s="419">
        <f t="shared" si="77"/>
        <v>0</v>
      </c>
      <c r="BO163" s="419">
        <f t="shared" si="77"/>
        <v>0</v>
      </c>
      <c r="BP163" s="419">
        <f t="shared" si="77"/>
        <v>0</v>
      </c>
      <c r="BQ163" s="419">
        <f t="shared" si="77"/>
        <v>0</v>
      </c>
      <c r="BR163" s="419">
        <f t="shared" si="77"/>
        <v>0</v>
      </c>
      <c r="BS163" s="419">
        <f t="shared" si="77"/>
        <v>0</v>
      </c>
      <c r="BT163" s="419">
        <f t="shared" si="77"/>
        <v>0</v>
      </c>
      <c r="BU163" s="419">
        <f t="shared" si="77"/>
        <v>0</v>
      </c>
      <c r="BV163" s="419">
        <f t="shared" si="77"/>
        <v>0</v>
      </c>
      <c r="BW163" s="419">
        <f t="shared" si="77"/>
        <v>0</v>
      </c>
      <c r="BX163" s="419">
        <f t="shared" si="77"/>
        <v>0</v>
      </c>
      <c r="BY163" s="419">
        <f t="shared" si="77"/>
        <v>0</v>
      </c>
    </row>
    <row r="164" spans="1:77" ht="66.75" customHeight="1" outlineLevel="1">
      <c r="A164" s="420">
        <v>1</v>
      </c>
      <c r="B164" s="435" t="s">
        <v>2731</v>
      </c>
      <c r="C164" s="428" t="s">
        <v>2350</v>
      </c>
      <c r="D164" s="420" t="s">
        <v>2732</v>
      </c>
      <c r="E164" s="420" t="s">
        <v>49</v>
      </c>
      <c r="F164" s="431" t="s">
        <v>82</v>
      </c>
      <c r="G164" s="150">
        <v>7568774</v>
      </c>
      <c r="H164" s="437" t="s">
        <v>2733</v>
      </c>
      <c r="I164" s="431" t="s">
        <v>3677</v>
      </c>
      <c r="J164" s="431" t="s">
        <v>2503</v>
      </c>
      <c r="K164" s="424"/>
      <c r="L164" s="436" t="s">
        <v>2734</v>
      </c>
      <c r="M164" s="146"/>
      <c r="N164" s="424"/>
      <c r="O164" s="424"/>
      <c r="P164" s="424"/>
      <c r="Q164" s="420" t="s">
        <v>2735</v>
      </c>
      <c r="R164" s="437" t="s">
        <v>2733</v>
      </c>
      <c r="S164" s="420" t="s">
        <v>2730</v>
      </c>
      <c r="T164" s="421" t="s">
        <v>2732</v>
      </c>
      <c r="U164" s="143">
        <f t="shared" ref="U164:U202" si="78">V164+W164+X164</f>
        <v>0</v>
      </c>
      <c r="V164" s="421"/>
      <c r="W164" s="421"/>
      <c r="X164" s="421"/>
      <c r="Y164" s="143">
        <f t="shared" ref="Y164:Y216" si="79">SUM(Z164:AB164)</f>
        <v>209</v>
      </c>
      <c r="Z164" s="143"/>
      <c r="AA164" s="143"/>
      <c r="AB164" s="143">
        <f>AC164+AD164+AE164</f>
        <v>209</v>
      </c>
      <c r="AC164" s="143">
        <v>0</v>
      </c>
      <c r="AD164" s="144"/>
      <c r="AE164" s="144">
        <v>209</v>
      </c>
      <c r="AF164" s="143">
        <f t="shared" ref="AF164:AF216" si="80">SUM(AG164:AI164)</f>
        <v>209</v>
      </c>
      <c r="AG164" s="143"/>
      <c r="AH164" s="143"/>
      <c r="AI164" s="143">
        <f t="shared" ref="AI164:AI216" si="81">SUM(AJ164:AL164)</f>
        <v>209</v>
      </c>
      <c r="AJ164" s="143">
        <v>0</v>
      </c>
      <c r="AK164" s="144"/>
      <c r="AL164" s="144">
        <v>209</v>
      </c>
      <c r="AM164" s="143">
        <v>208.99199999999999</v>
      </c>
      <c r="AN164" s="143"/>
      <c r="AO164" s="143"/>
      <c r="AP164" s="143">
        <v>208.99199999999999</v>
      </c>
      <c r="AQ164" s="143">
        <v>0</v>
      </c>
      <c r="AR164" s="144"/>
      <c r="AS164" s="144"/>
      <c r="AT164" s="144"/>
      <c r="AU164" s="144">
        <v>208.99199999999999</v>
      </c>
      <c r="AV164" s="143">
        <f t="shared" ref="AV164:AV216" si="82">SUM(AW164:AY164)</f>
        <v>0</v>
      </c>
      <c r="AW164" s="143"/>
      <c r="AX164" s="143"/>
      <c r="AY164" s="143">
        <f t="shared" ref="AY164:AY216" si="83">SUM(AZ164:BB164)</f>
        <v>0</v>
      </c>
      <c r="AZ164" s="143">
        <v>0</v>
      </c>
      <c r="BA164" s="144"/>
      <c r="BB164" s="144"/>
      <c r="BC164" s="143">
        <v>0</v>
      </c>
      <c r="BD164" s="143"/>
      <c r="BE164" s="143"/>
      <c r="BF164" s="143">
        <v>0</v>
      </c>
      <c r="BG164" s="143">
        <v>0</v>
      </c>
      <c r="BH164" s="148"/>
      <c r="BI164" s="148"/>
      <c r="BJ164" s="148"/>
      <c r="BK164" s="153"/>
      <c r="BL164" s="153"/>
      <c r="BM164" s="153"/>
      <c r="BN164" s="153"/>
      <c r="BO164" s="153"/>
      <c r="BP164" s="153"/>
      <c r="BQ164" s="153"/>
      <c r="BR164" s="153"/>
      <c r="BS164" s="153"/>
      <c r="BT164" s="153">
        <v>0</v>
      </c>
      <c r="BU164" s="153">
        <v>0</v>
      </c>
      <c r="BV164" s="153">
        <v>0</v>
      </c>
      <c r="BW164" s="153">
        <v>0</v>
      </c>
      <c r="BX164" s="232"/>
      <c r="BY164" s="426"/>
    </row>
    <row r="165" spans="1:77" ht="36" customHeight="1" outlineLevel="1">
      <c r="A165" s="420">
        <v>2</v>
      </c>
      <c r="B165" s="435" t="s">
        <v>2736</v>
      </c>
      <c r="C165" s="428" t="s">
        <v>2350</v>
      </c>
      <c r="D165" s="420" t="s">
        <v>2732</v>
      </c>
      <c r="E165" s="420" t="s">
        <v>49</v>
      </c>
      <c r="F165" s="431" t="s">
        <v>82</v>
      </c>
      <c r="G165" s="150">
        <v>7539875</v>
      </c>
      <c r="H165" s="420" t="s">
        <v>2730</v>
      </c>
      <c r="I165" s="431" t="s">
        <v>3677</v>
      </c>
      <c r="J165" s="431" t="s">
        <v>2503</v>
      </c>
      <c r="K165" s="424"/>
      <c r="L165" s="436" t="s">
        <v>2737</v>
      </c>
      <c r="M165" s="146"/>
      <c r="N165" s="424"/>
      <c r="O165" s="424"/>
      <c r="P165" s="424"/>
      <c r="Q165" s="420" t="s">
        <v>2738</v>
      </c>
      <c r="R165" s="420" t="s">
        <v>2730</v>
      </c>
      <c r="S165" s="420" t="s">
        <v>2730</v>
      </c>
      <c r="T165" s="421" t="s">
        <v>2732</v>
      </c>
      <c r="U165" s="143">
        <f t="shared" si="78"/>
        <v>0</v>
      </c>
      <c r="V165" s="421"/>
      <c r="W165" s="421"/>
      <c r="X165" s="421"/>
      <c r="Y165" s="143">
        <f t="shared" si="79"/>
        <v>366</v>
      </c>
      <c r="Z165" s="143"/>
      <c r="AA165" s="143"/>
      <c r="AB165" s="143">
        <f>AC165+AD165+AE165</f>
        <v>366</v>
      </c>
      <c r="AC165" s="143">
        <v>0</v>
      </c>
      <c r="AD165" s="144"/>
      <c r="AE165" s="144">
        <v>366</v>
      </c>
      <c r="AF165" s="143">
        <f t="shared" si="80"/>
        <v>366</v>
      </c>
      <c r="AG165" s="143"/>
      <c r="AH165" s="143"/>
      <c r="AI165" s="143">
        <f t="shared" si="81"/>
        <v>366</v>
      </c>
      <c r="AJ165" s="143">
        <v>0</v>
      </c>
      <c r="AK165" s="144"/>
      <c r="AL165" s="144">
        <v>366</v>
      </c>
      <c r="AM165" s="143">
        <v>366</v>
      </c>
      <c r="AN165" s="143"/>
      <c r="AO165" s="143"/>
      <c r="AP165" s="143">
        <v>366</v>
      </c>
      <c r="AQ165" s="143">
        <v>0</v>
      </c>
      <c r="AR165" s="144"/>
      <c r="AS165" s="144"/>
      <c r="AT165" s="144"/>
      <c r="AU165" s="144">
        <v>366</v>
      </c>
      <c r="AV165" s="143">
        <f t="shared" si="82"/>
        <v>0</v>
      </c>
      <c r="AW165" s="143"/>
      <c r="AX165" s="143"/>
      <c r="AY165" s="143">
        <f t="shared" si="83"/>
        <v>0</v>
      </c>
      <c r="AZ165" s="143">
        <v>0</v>
      </c>
      <c r="BA165" s="144"/>
      <c r="BB165" s="144"/>
      <c r="BC165" s="143">
        <v>0</v>
      </c>
      <c r="BD165" s="143"/>
      <c r="BE165" s="143"/>
      <c r="BF165" s="143">
        <v>0</v>
      </c>
      <c r="BG165" s="143">
        <v>0</v>
      </c>
      <c r="BH165" s="148"/>
      <c r="BI165" s="148"/>
      <c r="BJ165" s="148"/>
      <c r="BK165" s="153"/>
      <c r="BL165" s="153"/>
      <c r="BM165" s="153"/>
      <c r="BN165" s="153"/>
      <c r="BO165" s="153"/>
      <c r="BP165" s="153"/>
      <c r="BQ165" s="153"/>
      <c r="BR165" s="153"/>
      <c r="BS165" s="153"/>
      <c r="BT165" s="153">
        <v>0</v>
      </c>
      <c r="BU165" s="153">
        <v>0</v>
      </c>
      <c r="BV165" s="153">
        <v>0</v>
      </c>
      <c r="BW165" s="153">
        <v>0</v>
      </c>
      <c r="BX165" s="232"/>
      <c r="BY165" s="426"/>
    </row>
    <row r="166" spans="1:77" ht="36.75" customHeight="1" outlineLevel="1">
      <c r="A166" s="420">
        <v>3</v>
      </c>
      <c r="B166" s="435" t="s">
        <v>2739</v>
      </c>
      <c r="C166" s="428" t="s">
        <v>2350</v>
      </c>
      <c r="D166" s="420" t="s">
        <v>2732</v>
      </c>
      <c r="E166" s="420" t="s">
        <v>49</v>
      </c>
      <c r="F166" s="422" t="s">
        <v>48</v>
      </c>
      <c r="G166" s="150">
        <v>7438659</v>
      </c>
      <c r="H166" s="437" t="s">
        <v>2733</v>
      </c>
      <c r="I166" s="420" t="s">
        <v>2740</v>
      </c>
      <c r="J166" s="422">
        <v>2014</v>
      </c>
      <c r="K166" s="424"/>
      <c r="L166" s="436" t="s">
        <v>2741</v>
      </c>
      <c r="M166" s="146"/>
      <c r="N166" s="424"/>
      <c r="O166" s="424"/>
      <c r="P166" s="424"/>
      <c r="Q166" s="420" t="s">
        <v>2742</v>
      </c>
      <c r="R166" s="437" t="s">
        <v>2733</v>
      </c>
      <c r="S166" s="420" t="s">
        <v>2730</v>
      </c>
      <c r="T166" s="421" t="s">
        <v>2732</v>
      </c>
      <c r="U166" s="143">
        <f t="shared" si="78"/>
        <v>0</v>
      </c>
      <c r="V166" s="421"/>
      <c r="W166" s="421"/>
      <c r="X166" s="421"/>
      <c r="Y166" s="143">
        <f t="shared" si="79"/>
        <v>5309.6509999999998</v>
      </c>
      <c r="Z166" s="143"/>
      <c r="AA166" s="143"/>
      <c r="AB166" s="143">
        <f>AC166+AD166+AE166</f>
        <v>5309.6509999999998</v>
      </c>
      <c r="AC166" s="143">
        <v>0</v>
      </c>
      <c r="AD166" s="144"/>
      <c r="AE166" s="144">
        <v>5309.6509999999998</v>
      </c>
      <c r="AF166" s="143">
        <f t="shared" si="80"/>
        <v>2103</v>
      </c>
      <c r="AG166" s="143"/>
      <c r="AH166" s="143"/>
      <c r="AI166" s="143">
        <f t="shared" si="81"/>
        <v>2103</v>
      </c>
      <c r="AJ166" s="143">
        <v>0</v>
      </c>
      <c r="AK166" s="144"/>
      <c r="AL166" s="144">
        <v>2103</v>
      </c>
      <c r="AM166" s="143">
        <v>2103</v>
      </c>
      <c r="AN166" s="143"/>
      <c r="AO166" s="143"/>
      <c r="AP166" s="143">
        <v>2103</v>
      </c>
      <c r="AQ166" s="143">
        <v>0</v>
      </c>
      <c r="AR166" s="144"/>
      <c r="AS166" s="144"/>
      <c r="AT166" s="144"/>
      <c r="AU166" s="144">
        <v>2103</v>
      </c>
      <c r="AV166" s="143">
        <f t="shared" si="82"/>
        <v>3206.6509999999998</v>
      </c>
      <c r="AW166" s="143"/>
      <c r="AX166" s="143"/>
      <c r="AY166" s="143">
        <f t="shared" si="83"/>
        <v>3206.6509999999998</v>
      </c>
      <c r="AZ166" s="143">
        <v>0</v>
      </c>
      <c r="BA166" s="144"/>
      <c r="BB166" s="144">
        <v>3206.6509999999998</v>
      </c>
      <c r="BC166" s="143">
        <v>3206.6509999999998</v>
      </c>
      <c r="BD166" s="143"/>
      <c r="BE166" s="143"/>
      <c r="BF166" s="143">
        <v>3206.6509999999998</v>
      </c>
      <c r="BG166" s="143">
        <v>0</v>
      </c>
      <c r="BH166" s="148"/>
      <c r="BI166" s="148"/>
      <c r="BJ166" s="148"/>
      <c r="BK166" s="143">
        <v>3206.6509999999998</v>
      </c>
      <c r="BL166" s="153"/>
      <c r="BM166" s="153"/>
      <c r="BN166" s="153"/>
      <c r="BO166" s="153"/>
      <c r="BP166" s="153"/>
      <c r="BQ166" s="153"/>
      <c r="BR166" s="153"/>
      <c r="BS166" s="153"/>
      <c r="BT166" s="153">
        <v>0</v>
      </c>
      <c r="BU166" s="153">
        <v>0</v>
      </c>
      <c r="BV166" s="153">
        <v>0</v>
      </c>
      <c r="BW166" s="153">
        <v>0</v>
      </c>
      <c r="BX166" s="232"/>
      <c r="BY166" s="426"/>
    </row>
    <row r="167" spans="1:77" s="457" customFormat="1" ht="46.5" customHeight="1" outlineLevel="1">
      <c r="A167" s="430" t="s">
        <v>45</v>
      </c>
      <c r="B167" s="456" t="s">
        <v>51</v>
      </c>
      <c r="C167" s="418"/>
      <c r="D167" s="418"/>
      <c r="E167" s="418"/>
      <c r="F167" s="418"/>
      <c r="G167" s="418"/>
      <c r="H167" s="419">
        <f>SUM(H168:H213)</f>
        <v>0</v>
      </c>
      <c r="I167" s="418"/>
      <c r="J167" s="419"/>
      <c r="K167" s="419"/>
      <c r="L167" s="419"/>
      <c r="M167" s="419">
        <f>SUM(M168:M202)</f>
        <v>410293.31</v>
      </c>
      <c r="N167" s="419">
        <f t="shared" ref="N167:BY167" si="84">SUM(N168:N202)</f>
        <v>0</v>
      </c>
      <c r="O167" s="419">
        <f t="shared" si="84"/>
        <v>5730</v>
      </c>
      <c r="P167" s="419">
        <f t="shared" si="84"/>
        <v>361654.08500000002</v>
      </c>
      <c r="Q167" s="419">
        <f t="shared" si="84"/>
        <v>0</v>
      </c>
      <c r="R167" s="419">
        <f t="shared" si="84"/>
        <v>0</v>
      </c>
      <c r="S167" s="419">
        <f t="shared" si="84"/>
        <v>0</v>
      </c>
      <c r="T167" s="419">
        <f t="shared" si="84"/>
        <v>0</v>
      </c>
      <c r="U167" s="419">
        <f t="shared" si="84"/>
        <v>0</v>
      </c>
      <c r="V167" s="419">
        <f t="shared" si="84"/>
        <v>0</v>
      </c>
      <c r="W167" s="419">
        <f t="shared" si="84"/>
        <v>0</v>
      </c>
      <c r="X167" s="419">
        <f t="shared" si="84"/>
        <v>0</v>
      </c>
      <c r="Y167" s="419">
        <f t="shared" si="84"/>
        <v>245671</v>
      </c>
      <c r="Z167" s="419">
        <f t="shared" si="84"/>
        <v>0</v>
      </c>
      <c r="AA167" s="419">
        <f t="shared" si="84"/>
        <v>0</v>
      </c>
      <c r="AB167" s="419">
        <f t="shared" si="84"/>
        <v>245671</v>
      </c>
      <c r="AC167" s="419">
        <f t="shared" si="84"/>
        <v>69750</v>
      </c>
      <c r="AD167" s="419">
        <f t="shared" si="84"/>
        <v>168621</v>
      </c>
      <c r="AE167" s="419">
        <f t="shared" si="84"/>
        <v>7300</v>
      </c>
      <c r="AF167" s="419">
        <f t="shared" si="84"/>
        <v>194297.53700000004</v>
      </c>
      <c r="AG167" s="419">
        <f t="shared" si="84"/>
        <v>0</v>
      </c>
      <c r="AH167" s="419">
        <f t="shared" si="84"/>
        <v>0</v>
      </c>
      <c r="AI167" s="419">
        <f t="shared" si="84"/>
        <v>194297.53700000004</v>
      </c>
      <c r="AJ167" s="419">
        <f t="shared" si="84"/>
        <v>59154.620999999999</v>
      </c>
      <c r="AK167" s="419">
        <f t="shared" si="84"/>
        <v>119754.91600000001</v>
      </c>
      <c r="AL167" s="419">
        <f t="shared" si="84"/>
        <v>15388</v>
      </c>
      <c r="AM167" s="419">
        <f t="shared" si="84"/>
        <v>163350.510576</v>
      </c>
      <c r="AN167" s="419">
        <f t="shared" si="84"/>
        <v>0</v>
      </c>
      <c r="AO167" s="419">
        <f t="shared" si="84"/>
        <v>9433.6561000000002</v>
      </c>
      <c r="AP167" s="419">
        <f t="shared" si="84"/>
        <v>153916.85447600001</v>
      </c>
      <c r="AQ167" s="419">
        <f t="shared" si="84"/>
        <v>53429.798179000012</v>
      </c>
      <c r="AR167" s="419">
        <f t="shared" si="84"/>
        <v>53429.798179000012</v>
      </c>
      <c r="AS167" s="419">
        <f t="shared" si="84"/>
        <v>0</v>
      </c>
      <c r="AT167" s="419">
        <f t="shared" si="84"/>
        <v>94767.682816999994</v>
      </c>
      <c r="AU167" s="419">
        <f t="shared" si="84"/>
        <v>5719.3734800000002</v>
      </c>
      <c r="AV167" s="419">
        <f t="shared" si="84"/>
        <v>36449</v>
      </c>
      <c r="AW167" s="419">
        <f t="shared" si="84"/>
        <v>0</v>
      </c>
      <c r="AX167" s="419">
        <f t="shared" si="84"/>
        <v>0</v>
      </c>
      <c r="AY167" s="419">
        <f t="shared" si="84"/>
        <v>36449</v>
      </c>
      <c r="AZ167" s="419">
        <f t="shared" si="84"/>
        <v>13042</v>
      </c>
      <c r="BA167" s="419">
        <f t="shared" si="84"/>
        <v>23407</v>
      </c>
      <c r="BB167" s="419">
        <f t="shared" si="84"/>
        <v>0</v>
      </c>
      <c r="BC167" s="419">
        <f t="shared" si="84"/>
        <v>12169.401877</v>
      </c>
      <c r="BD167" s="419">
        <f t="shared" si="84"/>
        <v>0</v>
      </c>
      <c r="BE167" s="419">
        <f t="shared" si="84"/>
        <v>0</v>
      </c>
      <c r="BF167" s="419">
        <f t="shared" si="84"/>
        <v>12169.401877</v>
      </c>
      <c r="BG167" s="419">
        <f t="shared" si="84"/>
        <v>12779.176600000001</v>
      </c>
      <c r="BH167" s="419">
        <f t="shared" si="84"/>
        <v>12779.176600000001</v>
      </c>
      <c r="BI167" s="419">
        <f t="shared" si="84"/>
        <v>0</v>
      </c>
      <c r="BJ167" s="419">
        <f t="shared" si="84"/>
        <v>2390.225277</v>
      </c>
      <c r="BK167" s="419">
        <f t="shared" si="84"/>
        <v>0</v>
      </c>
      <c r="BL167" s="419">
        <f t="shared" si="84"/>
        <v>2516.158504</v>
      </c>
      <c r="BM167" s="419">
        <f t="shared" si="84"/>
        <v>0</v>
      </c>
      <c r="BN167" s="419">
        <f t="shared" si="84"/>
        <v>0</v>
      </c>
      <c r="BO167" s="419">
        <f t="shared" si="84"/>
        <v>2516.158504</v>
      </c>
      <c r="BP167" s="419">
        <f t="shared" si="84"/>
        <v>1628.237496</v>
      </c>
      <c r="BQ167" s="419">
        <f t="shared" si="84"/>
        <v>0</v>
      </c>
      <c r="BR167" s="419">
        <f t="shared" si="84"/>
        <v>0</v>
      </c>
      <c r="BS167" s="419">
        <f t="shared" si="84"/>
        <v>1628.237496</v>
      </c>
      <c r="BT167" s="419">
        <f t="shared" si="84"/>
        <v>171965</v>
      </c>
      <c r="BU167" s="419">
        <f t="shared" si="84"/>
        <v>0</v>
      </c>
      <c r="BV167" s="419">
        <f t="shared" si="84"/>
        <v>171965</v>
      </c>
      <c r="BW167" s="419">
        <f t="shared" si="84"/>
        <v>0</v>
      </c>
      <c r="BX167" s="419">
        <f t="shared" si="84"/>
        <v>335</v>
      </c>
      <c r="BY167" s="419">
        <f t="shared" si="84"/>
        <v>0</v>
      </c>
    </row>
    <row r="168" spans="1:77" ht="39" customHeight="1" outlineLevel="1">
      <c r="A168" s="420">
        <v>1</v>
      </c>
      <c r="B168" s="421" t="s">
        <v>2743</v>
      </c>
      <c r="C168" s="428" t="s">
        <v>2341</v>
      </c>
      <c r="D168" s="420" t="s">
        <v>2732</v>
      </c>
      <c r="E168" s="420" t="s">
        <v>49</v>
      </c>
      <c r="F168" s="431" t="s">
        <v>55</v>
      </c>
      <c r="G168" s="143">
        <v>7884027</v>
      </c>
      <c r="H168" s="432" t="s">
        <v>2744</v>
      </c>
      <c r="I168" s="420" t="s">
        <v>73</v>
      </c>
      <c r="J168" s="422">
        <v>2021</v>
      </c>
      <c r="K168" s="422"/>
      <c r="L168" s="420" t="s">
        <v>2745</v>
      </c>
      <c r="M168" s="144">
        <v>11400</v>
      </c>
      <c r="N168" s="422"/>
      <c r="O168" s="422"/>
      <c r="P168" s="144">
        <v>11400</v>
      </c>
      <c r="Q168" s="420" t="s">
        <v>2746</v>
      </c>
      <c r="R168" s="432" t="s">
        <v>2744</v>
      </c>
      <c r="S168" s="420" t="s">
        <v>2730</v>
      </c>
      <c r="T168" s="421" t="s">
        <v>2732</v>
      </c>
      <c r="U168" s="143">
        <f t="shared" si="78"/>
        <v>0</v>
      </c>
      <c r="V168" s="420"/>
      <c r="W168" s="420"/>
      <c r="X168" s="420"/>
      <c r="Y168" s="143">
        <f t="shared" si="79"/>
        <v>10620</v>
      </c>
      <c r="Z168" s="143"/>
      <c r="AA168" s="145"/>
      <c r="AB168" s="143">
        <f t="shared" ref="AB168:AB202" si="85">AC168+AD168+AE168</f>
        <v>10620</v>
      </c>
      <c r="AC168" s="143">
        <v>10620</v>
      </c>
      <c r="AD168" s="143"/>
      <c r="AE168" s="143"/>
      <c r="AF168" s="143">
        <f t="shared" si="80"/>
        <v>10619.620999999999</v>
      </c>
      <c r="AG168" s="143"/>
      <c r="AH168" s="145"/>
      <c r="AI168" s="143">
        <f t="shared" si="81"/>
        <v>10619.620999999999</v>
      </c>
      <c r="AJ168" s="143">
        <v>10619.620999999999</v>
      </c>
      <c r="AK168" s="143"/>
      <c r="AL168" s="143"/>
      <c r="AM168" s="143">
        <v>10619.620999999999</v>
      </c>
      <c r="AN168" s="143"/>
      <c r="AO168" s="144"/>
      <c r="AP168" s="143">
        <v>10619.620999999999</v>
      </c>
      <c r="AQ168" s="143">
        <v>10619.620999999999</v>
      </c>
      <c r="AR168" s="143">
        <v>10619.620999999999</v>
      </c>
      <c r="AS168" s="143"/>
      <c r="AT168" s="143"/>
      <c r="AU168" s="143"/>
      <c r="AV168" s="143">
        <f t="shared" si="82"/>
        <v>0</v>
      </c>
      <c r="AW168" s="143"/>
      <c r="AX168" s="143"/>
      <c r="AY168" s="143">
        <f t="shared" si="83"/>
        <v>0</v>
      </c>
      <c r="AZ168" s="143">
        <v>0</v>
      </c>
      <c r="BA168" s="143"/>
      <c r="BB168" s="143"/>
      <c r="BC168" s="143">
        <v>0</v>
      </c>
      <c r="BD168" s="143"/>
      <c r="BE168" s="143"/>
      <c r="BF168" s="143">
        <v>0</v>
      </c>
      <c r="BG168" s="143">
        <v>0</v>
      </c>
      <c r="BH168" s="143">
        <v>0</v>
      </c>
      <c r="BI168" s="143"/>
      <c r="BJ168" s="143"/>
      <c r="BK168" s="143"/>
      <c r="BL168" s="143"/>
      <c r="BM168" s="143"/>
      <c r="BN168" s="143"/>
      <c r="BO168" s="143"/>
      <c r="BP168" s="143"/>
      <c r="BQ168" s="143"/>
      <c r="BR168" s="143"/>
      <c r="BS168" s="143"/>
      <c r="BT168" s="143"/>
      <c r="BU168" s="143"/>
      <c r="BV168" s="143"/>
      <c r="BW168" s="143"/>
      <c r="BX168" s="230"/>
      <c r="BY168" s="433"/>
    </row>
    <row r="169" spans="1:77" ht="61.5" outlineLevel="1">
      <c r="A169" s="420">
        <v>2</v>
      </c>
      <c r="B169" s="442" t="s">
        <v>2747</v>
      </c>
      <c r="C169" s="428" t="s">
        <v>2748</v>
      </c>
      <c r="D169" s="420" t="s">
        <v>2732</v>
      </c>
      <c r="E169" s="420" t="s">
        <v>49</v>
      </c>
      <c r="F169" s="431" t="s">
        <v>125</v>
      </c>
      <c r="G169" s="143"/>
      <c r="H169" s="437" t="s">
        <v>2744</v>
      </c>
      <c r="I169" s="420" t="s">
        <v>891</v>
      </c>
      <c r="J169" s="420"/>
      <c r="K169" s="422"/>
      <c r="L169" s="436" t="s">
        <v>2749</v>
      </c>
      <c r="M169" s="148">
        <v>4821</v>
      </c>
      <c r="N169" s="422"/>
      <c r="O169" s="422"/>
      <c r="P169" s="148">
        <v>4012</v>
      </c>
      <c r="Q169" s="420"/>
      <c r="R169" s="437" t="s">
        <v>2744</v>
      </c>
      <c r="S169" s="420" t="s">
        <v>2730</v>
      </c>
      <c r="T169" s="421" t="s">
        <v>2732</v>
      </c>
      <c r="U169" s="143">
        <f t="shared" si="78"/>
        <v>0</v>
      </c>
      <c r="V169" s="420"/>
      <c r="W169" s="420"/>
      <c r="X169" s="420"/>
      <c r="Y169" s="143">
        <f t="shared" si="79"/>
        <v>3556</v>
      </c>
      <c r="Z169" s="143"/>
      <c r="AA169" s="143"/>
      <c r="AB169" s="143">
        <f t="shared" si="85"/>
        <v>3556</v>
      </c>
      <c r="AC169" s="143">
        <v>3556</v>
      </c>
      <c r="AD169" s="143"/>
      <c r="AE169" s="143"/>
      <c r="AF169" s="143">
        <f t="shared" si="80"/>
        <v>3556</v>
      </c>
      <c r="AG169" s="143"/>
      <c r="AH169" s="143"/>
      <c r="AI169" s="143">
        <f t="shared" si="81"/>
        <v>3556</v>
      </c>
      <c r="AJ169" s="143">
        <v>3556</v>
      </c>
      <c r="AK169" s="143"/>
      <c r="AL169" s="143"/>
      <c r="AM169" s="143">
        <v>3458.397997</v>
      </c>
      <c r="AN169" s="143"/>
      <c r="AO169" s="143"/>
      <c r="AP169" s="143">
        <v>3458.397997</v>
      </c>
      <c r="AQ169" s="143">
        <v>3458.397997</v>
      </c>
      <c r="AR169" s="143">
        <v>3458.397997</v>
      </c>
      <c r="AS169" s="143"/>
      <c r="AT169" s="143"/>
      <c r="AU169" s="143"/>
      <c r="AV169" s="143">
        <f t="shared" si="82"/>
        <v>0</v>
      </c>
      <c r="AW169" s="143"/>
      <c r="AX169" s="143"/>
      <c r="AY169" s="143">
        <f t="shared" si="83"/>
        <v>0</v>
      </c>
      <c r="AZ169" s="143">
        <v>0</v>
      </c>
      <c r="BA169" s="143"/>
      <c r="BB169" s="143"/>
      <c r="BC169" s="143">
        <v>0</v>
      </c>
      <c r="BD169" s="143"/>
      <c r="BE169" s="143"/>
      <c r="BF169" s="143">
        <v>0</v>
      </c>
      <c r="BG169" s="143">
        <v>0</v>
      </c>
      <c r="BH169" s="143">
        <v>0</v>
      </c>
      <c r="BI169" s="143"/>
      <c r="BJ169" s="143"/>
      <c r="BK169" s="143"/>
      <c r="BL169" s="143"/>
      <c r="BM169" s="143"/>
      <c r="BN169" s="143"/>
      <c r="BO169" s="143"/>
      <c r="BP169" s="143"/>
      <c r="BQ169" s="143"/>
      <c r="BR169" s="143"/>
      <c r="BS169" s="143"/>
      <c r="BT169" s="143"/>
      <c r="BU169" s="143"/>
      <c r="BV169" s="143"/>
      <c r="BW169" s="143"/>
      <c r="BX169" s="230"/>
      <c r="BY169" s="433"/>
    </row>
    <row r="170" spans="1:77" ht="81.75" customHeight="1" outlineLevel="1">
      <c r="A170" s="420">
        <v>3</v>
      </c>
      <c r="B170" s="435" t="s">
        <v>2750</v>
      </c>
      <c r="C170" s="428" t="s">
        <v>2341</v>
      </c>
      <c r="D170" s="420" t="s">
        <v>2732</v>
      </c>
      <c r="E170" s="420" t="s">
        <v>49</v>
      </c>
      <c r="F170" s="431" t="s">
        <v>55</v>
      </c>
      <c r="G170" s="143">
        <v>7920781</v>
      </c>
      <c r="H170" s="420" t="s">
        <v>2751</v>
      </c>
      <c r="I170" s="420" t="s">
        <v>52</v>
      </c>
      <c r="J170" s="422">
        <v>2022</v>
      </c>
      <c r="K170" s="422"/>
      <c r="L170" s="420" t="s">
        <v>2752</v>
      </c>
      <c r="M170" s="148">
        <v>14990</v>
      </c>
      <c r="N170" s="422"/>
      <c r="O170" s="422"/>
      <c r="P170" s="148">
        <v>14990</v>
      </c>
      <c r="Q170" s="420"/>
      <c r="R170" s="420" t="s">
        <v>2751</v>
      </c>
      <c r="S170" s="420" t="s">
        <v>2730</v>
      </c>
      <c r="T170" s="421" t="s">
        <v>2732</v>
      </c>
      <c r="U170" s="143">
        <f t="shared" si="78"/>
        <v>0</v>
      </c>
      <c r="V170" s="420"/>
      <c r="W170" s="420"/>
      <c r="X170" s="420"/>
      <c r="Y170" s="143">
        <f t="shared" si="79"/>
        <v>14640</v>
      </c>
      <c r="Z170" s="143"/>
      <c r="AA170" s="145"/>
      <c r="AB170" s="143">
        <f t="shared" si="85"/>
        <v>14640</v>
      </c>
      <c r="AC170" s="143">
        <v>14640</v>
      </c>
      <c r="AD170" s="143"/>
      <c r="AE170" s="143"/>
      <c r="AF170" s="143">
        <f t="shared" si="80"/>
        <v>12499</v>
      </c>
      <c r="AG170" s="143"/>
      <c r="AH170" s="143"/>
      <c r="AI170" s="143">
        <f t="shared" si="81"/>
        <v>12499</v>
      </c>
      <c r="AJ170" s="143">
        <v>12499</v>
      </c>
      <c r="AK170" s="143"/>
      <c r="AL170" s="143"/>
      <c r="AM170" s="143">
        <v>7047.2170999999998</v>
      </c>
      <c r="AN170" s="143"/>
      <c r="AO170" s="143"/>
      <c r="AP170" s="143">
        <v>7047.2170999999998</v>
      </c>
      <c r="AQ170" s="143">
        <v>7047.2170999999998</v>
      </c>
      <c r="AR170" s="143">
        <v>7047.2170999999998</v>
      </c>
      <c r="AS170" s="143"/>
      <c r="AT170" s="143"/>
      <c r="AU170" s="143"/>
      <c r="AV170" s="143">
        <f t="shared" si="82"/>
        <v>5401</v>
      </c>
      <c r="AW170" s="143"/>
      <c r="AX170" s="144"/>
      <c r="AY170" s="143">
        <f t="shared" si="83"/>
        <v>5401</v>
      </c>
      <c r="AZ170" s="143">
        <v>5401</v>
      </c>
      <c r="BA170" s="143"/>
      <c r="BB170" s="143"/>
      <c r="BC170" s="143">
        <v>5138.5830000000005</v>
      </c>
      <c r="BD170" s="143"/>
      <c r="BE170" s="144"/>
      <c r="BF170" s="143">
        <v>5138.5830000000005</v>
      </c>
      <c r="BG170" s="143">
        <v>5138.5830000000005</v>
      </c>
      <c r="BH170" s="143">
        <v>5138.5830000000005</v>
      </c>
      <c r="BI170" s="143"/>
      <c r="BJ170" s="143"/>
      <c r="BK170" s="143"/>
      <c r="BL170" s="143">
        <v>1549.288</v>
      </c>
      <c r="BM170" s="143"/>
      <c r="BN170" s="143"/>
      <c r="BO170" s="143">
        <v>1549.288</v>
      </c>
      <c r="BP170" s="143">
        <v>1549.288</v>
      </c>
      <c r="BQ170" s="143"/>
      <c r="BR170" s="143"/>
      <c r="BS170" s="143">
        <v>1549.288</v>
      </c>
      <c r="BT170" s="143"/>
      <c r="BU170" s="143"/>
      <c r="BV170" s="143"/>
      <c r="BW170" s="143"/>
      <c r="BX170" s="230"/>
      <c r="BY170" s="155"/>
    </row>
    <row r="171" spans="1:77" ht="34.5" customHeight="1" outlineLevel="1">
      <c r="A171" s="420">
        <v>4</v>
      </c>
      <c r="B171" s="435" t="s">
        <v>2753</v>
      </c>
      <c r="C171" s="428" t="s">
        <v>2341</v>
      </c>
      <c r="D171" s="420" t="s">
        <v>2732</v>
      </c>
      <c r="E171" s="420" t="s">
        <v>49</v>
      </c>
      <c r="F171" s="431" t="s">
        <v>55</v>
      </c>
      <c r="G171" s="143">
        <v>7920780</v>
      </c>
      <c r="H171" s="420" t="s">
        <v>2751</v>
      </c>
      <c r="I171" s="420" t="s">
        <v>76</v>
      </c>
      <c r="J171" s="422">
        <v>2022</v>
      </c>
      <c r="K171" s="422"/>
      <c r="L171" s="420" t="s">
        <v>2754</v>
      </c>
      <c r="M171" s="148">
        <v>8200</v>
      </c>
      <c r="N171" s="422"/>
      <c r="O171" s="422"/>
      <c r="P171" s="148">
        <v>8200</v>
      </c>
      <c r="Q171" s="420" t="s">
        <v>2755</v>
      </c>
      <c r="R171" s="420" t="s">
        <v>2751</v>
      </c>
      <c r="S171" s="420" t="s">
        <v>2730</v>
      </c>
      <c r="T171" s="421" t="s">
        <v>2732</v>
      </c>
      <c r="U171" s="143">
        <f t="shared" si="78"/>
        <v>0</v>
      </c>
      <c r="V171" s="420"/>
      <c r="W171" s="420"/>
      <c r="X171" s="420"/>
      <c r="Y171" s="143">
        <f t="shared" si="79"/>
        <v>8075</v>
      </c>
      <c r="Z171" s="143"/>
      <c r="AA171" s="143"/>
      <c r="AB171" s="143">
        <f t="shared" si="85"/>
        <v>8075</v>
      </c>
      <c r="AC171" s="143">
        <v>8075</v>
      </c>
      <c r="AD171" s="143"/>
      <c r="AE171" s="143"/>
      <c r="AF171" s="143">
        <f t="shared" si="80"/>
        <v>8069</v>
      </c>
      <c r="AG171" s="143"/>
      <c r="AH171" s="143"/>
      <c r="AI171" s="143">
        <f t="shared" si="81"/>
        <v>8069</v>
      </c>
      <c r="AJ171" s="143">
        <v>8069</v>
      </c>
      <c r="AK171" s="143"/>
      <c r="AL171" s="143"/>
      <c r="AM171" s="143">
        <v>8067.2960000000003</v>
      </c>
      <c r="AN171" s="143"/>
      <c r="AO171" s="143"/>
      <c r="AP171" s="143">
        <v>8067.2960000000003</v>
      </c>
      <c r="AQ171" s="143">
        <v>8067.2960000000003</v>
      </c>
      <c r="AR171" s="143">
        <v>8067.2960000000003</v>
      </c>
      <c r="AS171" s="143"/>
      <c r="AT171" s="143"/>
      <c r="AU171" s="143"/>
      <c r="AV171" s="143">
        <f t="shared" si="82"/>
        <v>0</v>
      </c>
      <c r="AW171" s="143"/>
      <c r="AX171" s="143"/>
      <c r="AY171" s="143">
        <f t="shared" si="83"/>
        <v>0</v>
      </c>
      <c r="AZ171" s="143">
        <v>0</v>
      </c>
      <c r="BA171" s="143"/>
      <c r="BB171" s="143"/>
      <c r="BC171" s="143">
        <v>0</v>
      </c>
      <c r="BD171" s="143"/>
      <c r="BE171" s="143"/>
      <c r="BF171" s="143">
        <v>0</v>
      </c>
      <c r="BG171" s="143">
        <v>0</v>
      </c>
      <c r="BH171" s="143">
        <v>0</v>
      </c>
      <c r="BI171" s="143"/>
      <c r="BJ171" s="143"/>
      <c r="BK171" s="143"/>
      <c r="BL171" s="143"/>
      <c r="BM171" s="143"/>
      <c r="BN171" s="143"/>
      <c r="BO171" s="143"/>
      <c r="BP171" s="143"/>
      <c r="BQ171" s="143"/>
      <c r="BR171" s="143"/>
      <c r="BS171" s="143"/>
      <c r="BT171" s="143"/>
      <c r="BU171" s="143"/>
      <c r="BV171" s="143"/>
      <c r="BW171" s="143"/>
      <c r="BX171" s="230"/>
      <c r="BY171" s="433"/>
    </row>
    <row r="172" spans="1:77" ht="46.15" outlineLevel="1">
      <c r="A172" s="420">
        <v>5</v>
      </c>
      <c r="B172" s="435" t="s">
        <v>2756</v>
      </c>
      <c r="C172" s="428" t="s">
        <v>2757</v>
      </c>
      <c r="D172" s="420" t="s">
        <v>2732</v>
      </c>
      <c r="E172" s="420" t="s">
        <v>49</v>
      </c>
      <c r="F172" s="431" t="s">
        <v>125</v>
      </c>
      <c r="G172" s="143"/>
      <c r="H172" s="420" t="s">
        <v>2744</v>
      </c>
      <c r="I172" s="420" t="s">
        <v>54</v>
      </c>
      <c r="J172" s="420"/>
      <c r="K172" s="422"/>
      <c r="L172" s="420" t="s">
        <v>2758</v>
      </c>
      <c r="M172" s="145">
        <v>4321</v>
      </c>
      <c r="N172" s="422"/>
      <c r="O172" s="422"/>
      <c r="P172" s="145">
        <v>4321</v>
      </c>
      <c r="Q172" s="420"/>
      <c r="R172" s="420" t="s">
        <v>2744</v>
      </c>
      <c r="S172" s="420" t="s">
        <v>2730</v>
      </c>
      <c r="T172" s="421" t="s">
        <v>2732</v>
      </c>
      <c r="U172" s="143">
        <f t="shared" si="78"/>
        <v>0</v>
      </c>
      <c r="V172" s="420"/>
      <c r="W172" s="420"/>
      <c r="X172" s="420"/>
      <c r="Y172" s="143">
        <f t="shared" si="79"/>
        <v>2285</v>
      </c>
      <c r="Z172" s="143"/>
      <c r="AA172" s="143"/>
      <c r="AB172" s="143">
        <f t="shared" si="85"/>
        <v>2285</v>
      </c>
      <c r="AC172" s="143">
        <v>2285</v>
      </c>
      <c r="AD172" s="143"/>
      <c r="AE172" s="143"/>
      <c r="AF172" s="143">
        <f t="shared" si="80"/>
        <v>1500</v>
      </c>
      <c r="AG172" s="143"/>
      <c r="AH172" s="143"/>
      <c r="AI172" s="143">
        <f t="shared" si="81"/>
        <v>1500</v>
      </c>
      <c r="AJ172" s="143">
        <v>1500</v>
      </c>
      <c r="AK172" s="143"/>
      <c r="AL172" s="143"/>
      <c r="AM172" s="143">
        <v>1344.8160820000001</v>
      </c>
      <c r="AN172" s="143"/>
      <c r="AO172" s="143"/>
      <c r="AP172" s="143">
        <v>1344.8160820000001</v>
      </c>
      <c r="AQ172" s="143">
        <v>1344.8160820000001</v>
      </c>
      <c r="AR172" s="143">
        <v>1344.8160820000001</v>
      </c>
      <c r="AS172" s="143"/>
      <c r="AT172" s="143"/>
      <c r="AU172" s="143"/>
      <c r="AV172" s="143">
        <f t="shared" si="82"/>
        <v>0</v>
      </c>
      <c r="AW172" s="143"/>
      <c r="AX172" s="143"/>
      <c r="AY172" s="143">
        <f t="shared" si="83"/>
        <v>0</v>
      </c>
      <c r="AZ172" s="143">
        <v>0</v>
      </c>
      <c r="BA172" s="143"/>
      <c r="BB172" s="143"/>
      <c r="BC172" s="143">
        <v>0</v>
      </c>
      <c r="BD172" s="143"/>
      <c r="BE172" s="143"/>
      <c r="BF172" s="143">
        <v>0</v>
      </c>
      <c r="BG172" s="143">
        <v>0</v>
      </c>
      <c r="BH172" s="143">
        <v>0</v>
      </c>
      <c r="BI172" s="143"/>
      <c r="BJ172" s="143"/>
      <c r="BK172" s="143"/>
      <c r="BL172" s="143"/>
      <c r="BM172" s="143"/>
      <c r="BN172" s="143"/>
      <c r="BO172" s="143"/>
      <c r="BP172" s="143"/>
      <c r="BQ172" s="143"/>
      <c r="BR172" s="143"/>
      <c r="BS172" s="143"/>
      <c r="BT172" s="143"/>
      <c r="BU172" s="143"/>
      <c r="BV172" s="143"/>
      <c r="BW172" s="143"/>
      <c r="BX172" s="230"/>
      <c r="BY172" s="433"/>
    </row>
    <row r="173" spans="1:77" ht="46.15" outlineLevel="1">
      <c r="A173" s="420">
        <v>6</v>
      </c>
      <c r="B173" s="435" t="s">
        <v>2759</v>
      </c>
      <c r="C173" s="428" t="s">
        <v>2446</v>
      </c>
      <c r="D173" s="420" t="s">
        <v>2760</v>
      </c>
      <c r="E173" s="420" t="s">
        <v>49</v>
      </c>
      <c r="F173" s="431" t="s">
        <v>55</v>
      </c>
      <c r="G173" s="143">
        <v>7963351</v>
      </c>
      <c r="H173" s="420" t="s">
        <v>2761</v>
      </c>
      <c r="I173" s="420" t="s">
        <v>906</v>
      </c>
      <c r="J173" s="420"/>
      <c r="K173" s="422"/>
      <c r="L173" s="420" t="s">
        <v>2762</v>
      </c>
      <c r="M173" s="145">
        <v>1500</v>
      </c>
      <c r="N173" s="422"/>
      <c r="O173" s="422"/>
      <c r="P173" s="145">
        <v>1400</v>
      </c>
      <c r="Q173" s="420"/>
      <c r="R173" s="420" t="s">
        <v>2761</v>
      </c>
      <c r="S173" s="420" t="s">
        <v>2730</v>
      </c>
      <c r="T173" s="421" t="s">
        <v>2732</v>
      </c>
      <c r="U173" s="143">
        <f t="shared" si="78"/>
        <v>0</v>
      </c>
      <c r="V173" s="420"/>
      <c r="W173" s="420"/>
      <c r="X173" s="420"/>
      <c r="Y173" s="143">
        <f t="shared" si="79"/>
        <v>1404</v>
      </c>
      <c r="Z173" s="143"/>
      <c r="AA173" s="143"/>
      <c r="AB173" s="143">
        <f t="shared" si="85"/>
        <v>1404</v>
      </c>
      <c r="AC173" s="143">
        <v>0</v>
      </c>
      <c r="AD173" s="143">
        <v>4</v>
      </c>
      <c r="AE173" s="143">
        <v>1400</v>
      </c>
      <c r="AF173" s="143">
        <f t="shared" si="80"/>
        <v>1404</v>
      </c>
      <c r="AG173" s="143"/>
      <c r="AH173" s="143"/>
      <c r="AI173" s="143">
        <f t="shared" si="81"/>
        <v>1404</v>
      </c>
      <c r="AJ173" s="143">
        <v>0</v>
      </c>
      <c r="AK173" s="143">
        <v>4</v>
      </c>
      <c r="AL173" s="143">
        <v>1400</v>
      </c>
      <c r="AM173" s="143">
        <v>1400.0040000000001</v>
      </c>
      <c r="AN173" s="143"/>
      <c r="AO173" s="143"/>
      <c r="AP173" s="143">
        <v>1400.0040000000001</v>
      </c>
      <c r="AQ173" s="143">
        <v>0</v>
      </c>
      <c r="AR173" s="143"/>
      <c r="AS173" s="143"/>
      <c r="AT173" s="143">
        <v>0</v>
      </c>
      <c r="AU173" s="143">
        <v>1400.0040000000001</v>
      </c>
      <c r="AV173" s="143">
        <f t="shared" si="82"/>
        <v>0</v>
      </c>
      <c r="AW173" s="143"/>
      <c r="AX173" s="143"/>
      <c r="AY173" s="143">
        <f t="shared" si="83"/>
        <v>0</v>
      </c>
      <c r="AZ173" s="143">
        <v>0</v>
      </c>
      <c r="BA173" s="143">
        <v>0</v>
      </c>
      <c r="BB173" s="143"/>
      <c r="BC173" s="143">
        <v>0</v>
      </c>
      <c r="BD173" s="143"/>
      <c r="BE173" s="143"/>
      <c r="BF173" s="143">
        <v>0</v>
      </c>
      <c r="BG173" s="143">
        <v>0</v>
      </c>
      <c r="BH173" s="143">
        <v>0</v>
      </c>
      <c r="BI173" s="143"/>
      <c r="BJ173" s="143"/>
      <c r="BK173" s="143"/>
      <c r="BL173" s="143"/>
      <c r="BM173" s="143"/>
      <c r="BN173" s="143"/>
      <c r="BO173" s="143"/>
      <c r="BP173" s="143"/>
      <c r="BQ173" s="143"/>
      <c r="BR173" s="143"/>
      <c r="BS173" s="143"/>
      <c r="BT173" s="143"/>
      <c r="BU173" s="143"/>
      <c r="BV173" s="143"/>
      <c r="BW173" s="143"/>
      <c r="BX173" s="230"/>
      <c r="BY173" s="433"/>
    </row>
    <row r="174" spans="1:77" ht="46.15" outlineLevel="1">
      <c r="A174" s="420">
        <v>7</v>
      </c>
      <c r="B174" s="435" t="s">
        <v>2763</v>
      </c>
      <c r="C174" s="428" t="s">
        <v>2350</v>
      </c>
      <c r="D174" s="420" t="s">
        <v>2732</v>
      </c>
      <c r="E174" s="420" t="s">
        <v>49</v>
      </c>
      <c r="F174" s="431" t="s">
        <v>2343</v>
      </c>
      <c r="G174" s="147">
        <v>7920778</v>
      </c>
      <c r="H174" s="420" t="s">
        <v>2751</v>
      </c>
      <c r="I174" s="420" t="s">
        <v>76</v>
      </c>
      <c r="J174" s="422">
        <v>2022</v>
      </c>
      <c r="K174" s="422"/>
      <c r="L174" s="420" t="s">
        <v>2764</v>
      </c>
      <c r="M174" s="145">
        <v>20300</v>
      </c>
      <c r="N174" s="422"/>
      <c r="O174" s="422"/>
      <c r="P174" s="145">
        <v>19285</v>
      </c>
      <c r="Q174" s="420" t="s">
        <v>2765</v>
      </c>
      <c r="R174" s="420" t="s">
        <v>2751</v>
      </c>
      <c r="S174" s="420" t="s">
        <v>2730</v>
      </c>
      <c r="T174" s="421" t="s">
        <v>2732</v>
      </c>
      <c r="U174" s="143">
        <f t="shared" si="78"/>
        <v>0</v>
      </c>
      <c r="V174" s="420"/>
      <c r="W174" s="420"/>
      <c r="X174" s="420"/>
      <c r="Y174" s="143">
        <f t="shared" si="79"/>
        <v>18947</v>
      </c>
      <c r="Z174" s="143"/>
      <c r="AA174" s="145"/>
      <c r="AB174" s="143">
        <f t="shared" si="85"/>
        <v>18947</v>
      </c>
      <c r="AC174" s="143">
        <v>9731</v>
      </c>
      <c r="AD174" s="144">
        <v>9216</v>
      </c>
      <c r="AE174" s="143"/>
      <c r="AF174" s="143">
        <f t="shared" si="80"/>
        <v>18947</v>
      </c>
      <c r="AG174" s="143"/>
      <c r="AH174" s="145"/>
      <c r="AI174" s="143">
        <f t="shared" si="81"/>
        <v>18947</v>
      </c>
      <c r="AJ174" s="143">
        <v>9731</v>
      </c>
      <c r="AK174" s="144">
        <v>6258</v>
      </c>
      <c r="AL174" s="145">
        <v>2958</v>
      </c>
      <c r="AM174" s="143">
        <v>18935.325400000002</v>
      </c>
      <c r="AN174" s="143"/>
      <c r="AO174" s="144">
        <v>2946.3254000000002</v>
      </c>
      <c r="AP174" s="143">
        <v>15989</v>
      </c>
      <c r="AQ174" s="143">
        <v>9731</v>
      </c>
      <c r="AR174" s="143">
        <v>9731</v>
      </c>
      <c r="AS174" s="143"/>
      <c r="AT174" s="144">
        <v>6258</v>
      </c>
      <c r="AU174" s="143"/>
      <c r="AV174" s="143">
        <f t="shared" si="82"/>
        <v>1828</v>
      </c>
      <c r="AW174" s="143"/>
      <c r="AX174" s="143"/>
      <c r="AY174" s="143">
        <f t="shared" si="83"/>
        <v>1828</v>
      </c>
      <c r="AZ174" s="143">
        <v>1828</v>
      </c>
      <c r="BA174" s="143"/>
      <c r="BB174" s="143"/>
      <c r="BC174" s="143">
        <v>1827.5935999999999</v>
      </c>
      <c r="BD174" s="143"/>
      <c r="BE174" s="143"/>
      <c r="BF174" s="143">
        <v>1827.5935999999999</v>
      </c>
      <c r="BG174" s="143">
        <v>1827.5935999999999</v>
      </c>
      <c r="BH174" s="143">
        <v>1827.5935999999999</v>
      </c>
      <c r="BI174" s="143"/>
      <c r="BJ174" s="143"/>
      <c r="BK174" s="143"/>
      <c r="BL174" s="143"/>
      <c r="BM174" s="143"/>
      <c r="BN174" s="143"/>
      <c r="BO174" s="143"/>
      <c r="BP174" s="143"/>
      <c r="BQ174" s="143"/>
      <c r="BR174" s="143"/>
      <c r="BS174" s="143"/>
      <c r="BT174" s="143"/>
      <c r="BU174" s="143"/>
      <c r="BV174" s="143"/>
      <c r="BW174" s="143"/>
      <c r="BX174" s="230"/>
      <c r="BY174" s="155"/>
    </row>
    <row r="175" spans="1:77" ht="36" customHeight="1" outlineLevel="1">
      <c r="A175" s="420">
        <v>8</v>
      </c>
      <c r="B175" s="442" t="s">
        <v>2766</v>
      </c>
      <c r="C175" s="428" t="s">
        <v>2350</v>
      </c>
      <c r="D175" s="420" t="s">
        <v>2732</v>
      </c>
      <c r="E175" s="420" t="s">
        <v>49</v>
      </c>
      <c r="F175" s="431" t="s">
        <v>48</v>
      </c>
      <c r="G175" s="147">
        <v>7919916</v>
      </c>
      <c r="H175" s="420" t="s">
        <v>2751</v>
      </c>
      <c r="I175" s="420" t="s">
        <v>76</v>
      </c>
      <c r="J175" s="422">
        <v>2022</v>
      </c>
      <c r="K175" s="422"/>
      <c r="L175" s="420" t="s">
        <v>2767</v>
      </c>
      <c r="M175" s="148">
        <v>10057.299999999999</v>
      </c>
      <c r="N175" s="422"/>
      <c r="O175" s="422"/>
      <c r="P175" s="148">
        <v>10057.299999999999</v>
      </c>
      <c r="Q175" s="420" t="s">
        <v>2768</v>
      </c>
      <c r="R175" s="420" t="s">
        <v>2751</v>
      </c>
      <c r="S175" s="420" t="s">
        <v>2730</v>
      </c>
      <c r="T175" s="421" t="s">
        <v>2732</v>
      </c>
      <c r="U175" s="143">
        <f t="shared" si="78"/>
        <v>0</v>
      </c>
      <c r="V175" s="420"/>
      <c r="W175" s="420"/>
      <c r="X175" s="420"/>
      <c r="Y175" s="143">
        <f t="shared" si="79"/>
        <v>8428</v>
      </c>
      <c r="Z175" s="143"/>
      <c r="AA175" s="143"/>
      <c r="AB175" s="143">
        <f t="shared" si="85"/>
        <v>8428</v>
      </c>
      <c r="AC175" s="143">
        <v>4209</v>
      </c>
      <c r="AD175" s="143">
        <v>4219</v>
      </c>
      <c r="AE175" s="143"/>
      <c r="AF175" s="143">
        <f t="shared" si="80"/>
        <v>8430</v>
      </c>
      <c r="AG175" s="143"/>
      <c r="AH175" s="143"/>
      <c r="AI175" s="143">
        <f t="shared" si="81"/>
        <v>8430</v>
      </c>
      <c r="AJ175" s="143">
        <v>4209</v>
      </c>
      <c r="AK175" s="143">
        <v>4221</v>
      </c>
      <c r="AL175" s="143"/>
      <c r="AM175" s="143">
        <v>8429.3230000000003</v>
      </c>
      <c r="AN175" s="143"/>
      <c r="AO175" s="143"/>
      <c r="AP175" s="143">
        <v>8429.3230000000003</v>
      </c>
      <c r="AQ175" s="143">
        <v>4209</v>
      </c>
      <c r="AR175" s="143">
        <v>4209</v>
      </c>
      <c r="AS175" s="143"/>
      <c r="AT175" s="143">
        <v>4220.3230000000003</v>
      </c>
      <c r="AU175" s="143"/>
      <c r="AV175" s="143">
        <f t="shared" si="82"/>
        <v>0</v>
      </c>
      <c r="AW175" s="143"/>
      <c r="AX175" s="143"/>
      <c r="AY175" s="143">
        <f t="shared" si="83"/>
        <v>0</v>
      </c>
      <c r="AZ175" s="143">
        <v>0</v>
      </c>
      <c r="BA175" s="143"/>
      <c r="BB175" s="143"/>
      <c r="BC175" s="143">
        <v>0</v>
      </c>
      <c r="BD175" s="143"/>
      <c r="BE175" s="143"/>
      <c r="BF175" s="143">
        <v>0</v>
      </c>
      <c r="BG175" s="143">
        <v>0</v>
      </c>
      <c r="BH175" s="143">
        <v>0</v>
      </c>
      <c r="BI175" s="143"/>
      <c r="BJ175" s="143"/>
      <c r="BK175" s="143"/>
      <c r="BL175" s="143"/>
      <c r="BM175" s="143"/>
      <c r="BN175" s="143"/>
      <c r="BO175" s="143"/>
      <c r="BP175" s="143"/>
      <c r="BQ175" s="143"/>
      <c r="BR175" s="143"/>
      <c r="BS175" s="143"/>
      <c r="BT175" s="143"/>
      <c r="BU175" s="143"/>
      <c r="BV175" s="143"/>
      <c r="BW175" s="143"/>
      <c r="BX175" s="230"/>
      <c r="BY175" s="433"/>
    </row>
    <row r="176" spans="1:77" ht="39" customHeight="1" outlineLevel="1">
      <c r="A176" s="420">
        <v>9</v>
      </c>
      <c r="B176" s="421" t="s">
        <v>2769</v>
      </c>
      <c r="C176" s="420" t="s">
        <v>2770</v>
      </c>
      <c r="D176" s="420" t="s">
        <v>2732</v>
      </c>
      <c r="E176" s="420" t="s">
        <v>49</v>
      </c>
      <c r="F176" s="422" t="s">
        <v>125</v>
      </c>
      <c r="G176" s="148">
        <v>7949394</v>
      </c>
      <c r="H176" s="437" t="s">
        <v>2771</v>
      </c>
      <c r="I176" s="420" t="s">
        <v>906</v>
      </c>
      <c r="J176" s="420"/>
      <c r="K176" s="422"/>
      <c r="L176" s="143" t="s">
        <v>2772</v>
      </c>
      <c r="M176" s="144">
        <v>1116</v>
      </c>
      <c r="N176" s="422"/>
      <c r="O176" s="422"/>
      <c r="P176" s="144">
        <v>1116</v>
      </c>
      <c r="Q176" s="420"/>
      <c r="R176" s="437" t="s">
        <v>2771</v>
      </c>
      <c r="S176" s="420" t="s">
        <v>2730</v>
      </c>
      <c r="T176" s="421" t="s">
        <v>2732</v>
      </c>
      <c r="U176" s="143">
        <f t="shared" si="78"/>
        <v>0</v>
      </c>
      <c r="V176" s="420"/>
      <c r="W176" s="420"/>
      <c r="X176" s="420"/>
      <c r="Y176" s="143">
        <f t="shared" si="79"/>
        <v>1000</v>
      </c>
      <c r="Z176" s="143"/>
      <c r="AA176" s="143"/>
      <c r="AB176" s="143">
        <f t="shared" si="85"/>
        <v>1000</v>
      </c>
      <c r="AC176" s="143">
        <v>1000</v>
      </c>
      <c r="AD176" s="143"/>
      <c r="AE176" s="143"/>
      <c r="AF176" s="143">
        <f t="shared" si="80"/>
        <v>1000</v>
      </c>
      <c r="AG176" s="143"/>
      <c r="AH176" s="143"/>
      <c r="AI176" s="143">
        <f t="shared" si="81"/>
        <v>1000</v>
      </c>
      <c r="AJ176" s="143">
        <v>1000</v>
      </c>
      <c r="AK176" s="143"/>
      <c r="AL176" s="143"/>
      <c r="AM176" s="143">
        <v>981.07100000000003</v>
      </c>
      <c r="AN176" s="143"/>
      <c r="AO176" s="143"/>
      <c r="AP176" s="143">
        <v>981.07100000000003</v>
      </c>
      <c r="AQ176" s="143">
        <v>981.07100000000003</v>
      </c>
      <c r="AR176" s="143">
        <v>981.07100000000003</v>
      </c>
      <c r="AS176" s="143"/>
      <c r="AT176" s="143"/>
      <c r="AU176" s="143"/>
      <c r="AV176" s="143">
        <f t="shared" si="82"/>
        <v>0</v>
      </c>
      <c r="AW176" s="143"/>
      <c r="AX176" s="143"/>
      <c r="AY176" s="143">
        <f t="shared" si="83"/>
        <v>0</v>
      </c>
      <c r="AZ176" s="143">
        <v>0</v>
      </c>
      <c r="BA176" s="143"/>
      <c r="BB176" s="143"/>
      <c r="BC176" s="143">
        <v>0</v>
      </c>
      <c r="BD176" s="143"/>
      <c r="BE176" s="143"/>
      <c r="BF176" s="143">
        <v>0</v>
      </c>
      <c r="BG176" s="143">
        <v>0</v>
      </c>
      <c r="BH176" s="143">
        <v>0</v>
      </c>
      <c r="BI176" s="143"/>
      <c r="BJ176" s="143"/>
      <c r="BK176" s="143"/>
      <c r="BL176" s="143"/>
      <c r="BM176" s="143"/>
      <c r="BN176" s="143"/>
      <c r="BO176" s="143"/>
      <c r="BP176" s="143"/>
      <c r="BQ176" s="143"/>
      <c r="BR176" s="143"/>
      <c r="BS176" s="143"/>
      <c r="BT176" s="143"/>
      <c r="BU176" s="143"/>
      <c r="BV176" s="143"/>
      <c r="BW176" s="143"/>
      <c r="BX176" s="230"/>
      <c r="BY176" s="433"/>
    </row>
    <row r="177" spans="1:77" ht="36.75" customHeight="1" outlineLevel="1">
      <c r="A177" s="420">
        <v>10</v>
      </c>
      <c r="B177" s="442" t="s">
        <v>2773</v>
      </c>
      <c r="C177" s="428" t="s">
        <v>2350</v>
      </c>
      <c r="D177" s="420" t="s">
        <v>2732</v>
      </c>
      <c r="E177" s="420" t="s">
        <v>49</v>
      </c>
      <c r="F177" s="431" t="s">
        <v>48</v>
      </c>
      <c r="G177" s="151">
        <v>7920783</v>
      </c>
      <c r="H177" s="420" t="s">
        <v>2744</v>
      </c>
      <c r="I177" s="420">
        <v>2022</v>
      </c>
      <c r="J177" s="422">
        <v>2022</v>
      </c>
      <c r="K177" s="422"/>
      <c r="L177" s="420" t="s">
        <v>2774</v>
      </c>
      <c r="M177" s="150">
        <v>13044</v>
      </c>
      <c r="N177" s="422"/>
      <c r="O177" s="422"/>
      <c r="P177" s="150">
        <v>13044</v>
      </c>
      <c r="Q177" s="420" t="s">
        <v>2775</v>
      </c>
      <c r="R177" s="420" t="s">
        <v>2744</v>
      </c>
      <c r="S177" s="420" t="s">
        <v>2730</v>
      </c>
      <c r="T177" s="421" t="s">
        <v>2732</v>
      </c>
      <c r="U177" s="143">
        <f t="shared" si="78"/>
        <v>0</v>
      </c>
      <c r="V177" s="420"/>
      <c r="W177" s="420"/>
      <c r="X177" s="420"/>
      <c r="Y177" s="143">
        <f t="shared" si="79"/>
        <v>3430</v>
      </c>
      <c r="Z177" s="143"/>
      <c r="AA177" s="143"/>
      <c r="AB177" s="143">
        <f t="shared" si="85"/>
        <v>3430</v>
      </c>
      <c r="AC177" s="143">
        <v>0</v>
      </c>
      <c r="AD177" s="143">
        <v>3430</v>
      </c>
      <c r="AE177" s="143"/>
      <c r="AF177" s="143">
        <f t="shared" si="80"/>
        <v>3400</v>
      </c>
      <c r="AG177" s="143"/>
      <c r="AH177" s="143"/>
      <c r="AI177" s="143">
        <f t="shared" si="81"/>
        <v>3400</v>
      </c>
      <c r="AJ177" s="143">
        <v>0</v>
      </c>
      <c r="AK177" s="143">
        <v>3400</v>
      </c>
      <c r="AL177" s="143"/>
      <c r="AM177" s="143">
        <v>3399.3330000000001</v>
      </c>
      <c r="AN177" s="143"/>
      <c r="AO177" s="143"/>
      <c r="AP177" s="143">
        <v>3399.3330000000001</v>
      </c>
      <c r="AQ177" s="143">
        <v>0</v>
      </c>
      <c r="AR177" s="143"/>
      <c r="AS177" s="143"/>
      <c r="AT177" s="143">
        <v>3399.3330000000001</v>
      </c>
      <c r="AU177" s="143"/>
      <c r="AV177" s="143">
        <f t="shared" si="82"/>
        <v>0</v>
      </c>
      <c r="AW177" s="143"/>
      <c r="AX177" s="143"/>
      <c r="AY177" s="143">
        <f t="shared" si="83"/>
        <v>0</v>
      </c>
      <c r="AZ177" s="143">
        <v>0</v>
      </c>
      <c r="BA177" s="143">
        <v>0</v>
      </c>
      <c r="BB177" s="143"/>
      <c r="BC177" s="143">
        <v>0</v>
      </c>
      <c r="BD177" s="143"/>
      <c r="BE177" s="143"/>
      <c r="BF177" s="143">
        <v>0</v>
      </c>
      <c r="BG177" s="143">
        <v>0</v>
      </c>
      <c r="BH177" s="143">
        <v>0</v>
      </c>
      <c r="BI177" s="143"/>
      <c r="BJ177" s="143"/>
      <c r="BK177" s="143"/>
      <c r="BL177" s="143"/>
      <c r="BM177" s="143"/>
      <c r="BN177" s="143"/>
      <c r="BO177" s="143"/>
      <c r="BP177" s="143"/>
      <c r="BQ177" s="143"/>
      <c r="BR177" s="143"/>
      <c r="BS177" s="143"/>
      <c r="BT177" s="143"/>
      <c r="BU177" s="143"/>
      <c r="BV177" s="143"/>
      <c r="BW177" s="143"/>
      <c r="BX177" s="230"/>
      <c r="BY177" s="433"/>
    </row>
    <row r="178" spans="1:77" ht="34.5" customHeight="1" outlineLevel="1">
      <c r="A178" s="420">
        <v>11</v>
      </c>
      <c r="B178" s="442" t="s">
        <v>2776</v>
      </c>
      <c r="C178" s="428" t="s">
        <v>2350</v>
      </c>
      <c r="D178" s="420" t="s">
        <v>2732</v>
      </c>
      <c r="E178" s="420" t="s">
        <v>49</v>
      </c>
      <c r="F178" s="431" t="s">
        <v>48</v>
      </c>
      <c r="G178" s="151">
        <v>7920782</v>
      </c>
      <c r="H178" s="420" t="s">
        <v>2751</v>
      </c>
      <c r="I178" s="420">
        <v>2022</v>
      </c>
      <c r="J178" s="422">
        <v>2022</v>
      </c>
      <c r="K178" s="422"/>
      <c r="L178" s="420" t="s">
        <v>2777</v>
      </c>
      <c r="M178" s="150">
        <v>4962.1000000000004</v>
      </c>
      <c r="N178" s="422"/>
      <c r="O178" s="422"/>
      <c r="P178" s="150">
        <v>4962.1000000000004</v>
      </c>
      <c r="Q178" s="420" t="s">
        <v>2778</v>
      </c>
      <c r="R178" s="420" t="s">
        <v>2751</v>
      </c>
      <c r="S178" s="420" t="s">
        <v>2730</v>
      </c>
      <c r="T178" s="421" t="s">
        <v>2732</v>
      </c>
      <c r="U178" s="143">
        <f t="shared" si="78"/>
        <v>0</v>
      </c>
      <c r="V178" s="420"/>
      <c r="W178" s="420"/>
      <c r="X178" s="420"/>
      <c r="Y178" s="143">
        <f t="shared" si="79"/>
        <v>3807</v>
      </c>
      <c r="Z178" s="143"/>
      <c r="AA178" s="143"/>
      <c r="AB178" s="143">
        <f t="shared" si="85"/>
        <v>3807</v>
      </c>
      <c r="AC178" s="143">
        <v>1850</v>
      </c>
      <c r="AD178" s="143">
        <v>1957</v>
      </c>
      <c r="AE178" s="143"/>
      <c r="AF178" s="143">
        <f t="shared" si="80"/>
        <v>1957</v>
      </c>
      <c r="AG178" s="143"/>
      <c r="AH178" s="143"/>
      <c r="AI178" s="143">
        <f t="shared" si="81"/>
        <v>1957</v>
      </c>
      <c r="AJ178" s="143">
        <v>0</v>
      </c>
      <c r="AK178" s="143">
        <v>1957</v>
      </c>
      <c r="AL178" s="143"/>
      <c r="AM178" s="143">
        <v>1956.569</v>
      </c>
      <c r="AN178" s="143"/>
      <c r="AO178" s="143"/>
      <c r="AP178" s="143">
        <v>1956.569</v>
      </c>
      <c r="AQ178" s="143">
        <v>0</v>
      </c>
      <c r="AR178" s="143"/>
      <c r="AS178" s="143"/>
      <c r="AT178" s="143">
        <v>1956.569</v>
      </c>
      <c r="AU178" s="143"/>
      <c r="AV178" s="143">
        <f t="shared" si="82"/>
        <v>0</v>
      </c>
      <c r="AW178" s="143"/>
      <c r="AX178" s="143"/>
      <c r="AY178" s="143">
        <f t="shared" si="83"/>
        <v>0</v>
      </c>
      <c r="AZ178" s="143">
        <v>0</v>
      </c>
      <c r="BA178" s="143">
        <v>0</v>
      </c>
      <c r="BB178" s="143"/>
      <c r="BC178" s="143">
        <v>0</v>
      </c>
      <c r="BD178" s="143"/>
      <c r="BE178" s="143"/>
      <c r="BF178" s="143">
        <v>0</v>
      </c>
      <c r="BG178" s="143">
        <v>0</v>
      </c>
      <c r="BH178" s="143">
        <v>0</v>
      </c>
      <c r="BI178" s="143"/>
      <c r="BJ178" s="143"/>
      <c r="BK178" s="143"/>
      <c r="BL178" s="143"/>
      <c r="BM178" s="143"/>
      <c r="BN178" s="143"/>
      <c r="BO178" s="143"/>
      <c r="BP178" s="143"/>
      <c r="BQ178" s="143"/>
      <c r="BR178" s="143"/>
      <c r="BS178" s="143"/>
      <c r="BT178" s="143"/>
      <c r="BU178" s="143"/>
      <c r="BV178" s="143"/>
      <c r="BW178" s="143"/>
      <c r="BX178" s="230"/>
      <c r="BY178" s="433"/>
    </row>
    <row r="179" spans="1:77" ht="46.15" outlineLevel="1">
      <c r="A179" s="420">
        <v>12</v>
      </c>
      <c r="B179" s="435" t="s">
        <v>2779</v>
      </c>
      <c r="C179" s="428" t="s">
        <v>2350</v>
      </c>
      <c r="D179" s="420" t="s">
        <v>2732</v>
      </c>
      <c r="E179" s="420" t="s">
        <v>49</v>
      </c>
      <c r="F179" s="420" t="s">
        <v>2780</v>
      </c>
      <c r="G179" s="151">
        <v>7894826</v>
      </c>
      <c r="H179" s="420" t="s">
        <v>2744</v>
      </c>
      <c r="I179" s="420" t="s">
        <v>891</v>
      </c>
      <c r="J179" s="422">
        <v>2021</v>
      </c>
      <c r="K179" s="422"/>
      <c r="L179" s="420" t="s">
        <v>2781</v>
      </c>
      <c r="M179" s="150">
        <v>6500</v>
      </c>
      <c r="N179" s="422"/>
      <c r="O179" s="422"/>
      <c r="P179" s="150">
        <v>6500</v>
      </c>
      <c r="Q179" s="420" t="s">
        <v>2782</v>
      </c>
      <c r="R179" s="420" t="s">
        <v>2744</v>
      </c>
      <c r="S179" s="420" t="s">
        <v>2730</v>
      </c>
      <c r="T179" s="421" t="s">
        <v>2732</v>
      </c>
      <c r="U179" s="143">
        <f t="shared" si="78"/>
        <v>0</v>
      </c>
      <c r="V179" s="420"/>
      <c r="W179" s="420"/>
      <c r="X179" s="420"/>
      <c r="Y179" s="143">
        <f t="shared" si="79"/>
        <v>5938</v>
      </c>
      <c r="Z179" s="143"/>
      <c r="AA179" s="143"/>
      <c r="AB179" s="143">
        <f t="shared" si="85"/>
        <v>5938</v>
      </c>
      <c r="AC179" s="143">
        <v>0</v>
      </c>
      <c r="AD179" s="143">
        <v>5938</v>
      </c>
      <c r="AE179" s="143"/>
      <c r="AF179" s="143">
        <f t="shared" si="80"/>
        <v>5937.2350000000006</v>
      </c>
      <c r="AG179" s="143"/>
      <c r="AH179" s="143"/>
      <c r="AI179" s="143">
        <f t="shared" si="81"/>
        <v>5937.2350000000006</v>
      </c>
      <c r="AJ179" s="143">
        <v>0</v>
      </c>
      <c r="AK179" s="143">
        <v>5937.2350000000006</v>
      </c>
      <c r="AL179" s="143"/>
      <c r="AM179" s="143">
        <v>5937.2349999999997</v>
      </c>
      <c r="AN179" s="143"/>
      <c r="AO179" s="143"/>
      <c r="AP179" s="143">
        <v>5937.2349999999997</v>
      </c>
      <c r="AQ179" s="143">
        <v>0</v>
      </c>
      <c r="AR179" s="143"/>
      <c r="AS179" s="143"/>
      <c r="AT179" s="143">
        <v>5937.2349999999997</v>
      </c>
      <c r="AU179" s="143"/>
      <c r="AV179" s="143">
        <f t="shared" si="82"/>
        <v>0</v>
      </c>
      <c r="AW179" s="143"/>
      <c r="AX179" s="143"/>
      <c r="AY179" s="143">
        <f t="shared" si="83"/>
        <v>0</v>
      </c>
      <c r="AZ179" s="143">
        <v>0</v>
      </c>
      <c r="BA179" s="143">
        <v>0</v>
      </c>
      <c r="BB179" s="143"/>
      <c r="BC179" s="143">
        <v>0</v>
      </c>
      <c r="BD179" s="143"/>
      <c r="BE179" s="143"/>
      <c r="BF179" s="143">
        <v>0</v>
      </c>
      <c r="BG179" s="143">
        <v>0</v>
      </c>
      <c r="BH179" s="143">
        <v>0</v>
      </c>
      <c r="BI179" s="143"/>
      <c r="BJ179" s="143"/>
      <c r="BK179" s="143"/>
      <c r="BL179" s="143"/>
      <c r="BM179" s="143"/>
      <c r="BN179" s="143"/>
      <c r="BO179" s="143"/>
      <c r="BP179" s="143"/>
      <c r="BQ179" s="143"/>
      <c r="BR179" s="143"/>
      <c r="BS179" s="143"/>
      <c r="BT179" s="143"/>
      <c r="BU179" s="143"/>
      <c r="BV179" s="143"/>
      <c r="BW179" s="143"/>
      <c r="BX179" s="230"/>
      <c r="BY179" s="433"/>
    </row>
    <row r="180" spans="1:77" ht="52.5" customHeight="1" outlineLevel="1">
      <c r="A180" s="420">
        <v>13</v>
      </c>
      <c r="B180" s="421" t="s">
        <v>2783</v>
      </c>
      <c r="C180" s="428" t="s">
        <v>2770</v>
      </c>
      <c r="D180" s="420" t="s">
        <v>2732</v>
      </c>
      <c r="E180" s="422" t="s">
        <v>49</v>
      </c>
      <c r="F180" s="422" t="s">
        <v>125</v>
      </c>
      <c r="G180" s="142">
        <v>7949393</v>
      </c>
      <c r="H180" s="420" t="s">
        <v>2730</v>
      </c>
      <c r="I180" s="420">
        <v>2022</v>
      </c>
      <c r="J180" s="420"/>
      <c r="K180" s="424"/>
      <c r="L180" s="436" t="s">
        <v>2784</v>
      </c>
      <c r="M180" s="146">
        <v>1215.1849999999999</v>
      </c>
      <c r="N180" s="424"/>
      <c r="O180" s="424"/>
      <c r="P180" s="146">
        <v>1215.1849999999999</v>
      </c>
      <c r="Q180" s="420"/>
      <c r="R180" s="420" t="s">
        <v>2730</v>
      </c>
      <c r="S180" s="420" t="s">
        <v>2730</v>
      </c>
      <c r="T180" s="421" t="s">
        <v>2732</v>
      </c>
      <c r="U180" s="143">
        <f t="shared" si="78"/>
        <v>0</v>
      </c>
      <c r="V180" s="421"/>
      <c r="W180" s="421"/>
      <c r="X180" s="421"/>
      <c r="Y180" s="143">
        <f t="shared" si="79"/>
        <v>965</v>
      </c>
      <c r="Z180" s="143"/>
      <c r="AA180" s="143"/>
      <c r="AB180" s="143">
        <f t="shared" si="85"/>
        <v>965</v>
      </c>
      <c r="AC180" s="143">
        <v>0</v>
      </c>
      <c r="AD180" s="144">
        <v>965</v>
      </c>
      <c r="AE180" s="144"/>
      <c r="AF180" s="143">
        <f t="shared" si="80"/>
        <v>857.18700000000001</v>
      </c>
      <c r="AG180" s="143"/>
      <c r="AH180" s="143"/>
      <c r="AI180" s="143">
        <f t="shared" si="81"/>
        <v>857.18700000000001</v>
      </c>
      <c r="AJ180" s="143">
        <v>0</v>
      </c>
      <c r="AK180" s="144">
        <v>857.18700000000001</v>
      </c>
      <c r="AL180" s="144"/>
      <c r="AM180" s="143">
        <v>857.18700000000001</v>
      </c>
      <c r="AN180" s="143"/>
      <c r="AO180" s="143"/>
      <c r="AP180" s="143">
        <v>857.18700000000001</v>
      </c>
      <c r="AQ180" s="143">
        <v>0</v>
      </c>
      <c r="AR180" s="143"/>
      <c r="AS180" s="144"/>
      <c r="AT180" s="144">
        <v>857.18700000000001</v>
      </c>
      <c r="AU180" s="144"/>
      <c r="AV180" s="143">
        <f t="shared" si="82"/>
        <v>0</v>
      </c>
      <c r="AW180" s="143"/>
      <c r="AX180" s="143"/>
      <c r="AY180" s="143">
        <f t="shared" si="83"/>
        <v>0</v>
      </c>
      <c r="AZ180" s="143">
        <v>0</v>
      </c>
      <c r="BA180" s="144">
        <v>0</v>
      </c>
      <c r="BB180" s="144"/>
      <c r="BC180" s="143">
        <v>0</v>
      </c>
      <c r="BD180" s="143"/>
      <c r="BE180" s="143"/>
      <c r="BF180" s="143">
        <v>0</v>
      </c>
      <c r="BG180" s="143">
        <v>0</v>
      </c>
      <c r="BH180" s="148">
        <v>0</v>
      </c>
      <c r="BI180" s="143"/>
      <c r="BJ180" s="148"/>
      <c r="BK180" s="148"/>
      <c r="BL180" s="148"/>
      <c r="BM180" s="148"/>
      <c r="BN180" s="148"/>
      <c r="BO180" s="148"/>
      <c r="BP180" s="148"/>
      <c r="BQ180" s="148"/>
      <c r="BR180" s="148"/>
      <c r="BS180" s="148"/>
      <c r="BT180" s="148"/>
      <c r="BU180" s="148"/>
      <c r="BV180" s="148"/>
      <c r="BW180" s="148"/>
      <c r="BX180" s="231"/>
      <c r="BY180" s="424"/>
    </row>
    <row r="181" spans="1:77" ht="46.15" outlineLevel="1">
      <c r="A181" s="420">
        <v>14</v>
      </c>
      <c r="B181" s="447" t="s">
        <v>2785</v>
      </c>
      <c r="C181" s="428" t="s">
        <v>2350</v>
      </c>
      <c r="D181" s="420" t="s">
        <v>2732</v>
      </c>
      <c r="E181" s="422" t="s">
        <v>10</v>
      </c>
      <c r="F181" s="420" t="s">
        <v>2402</v>
      </c>
      <c r="G181" s="150">
        <v>7843830</v>
      </c>
      <c r="H181" s="250" t="s">
        <v>2751</v>
      </c>
      <c r="I181" s="420" t="s">
        <v>2502</v>
      </c>
      <c r="J181" s="420"/>
      <c r="K181" s="424"/>
      <c r="L181" s="420" t="s">
        <v>2786</v>
      </c>
      <c r="M181" s="149">
        <v>115420</v>
      </c>
      <c r="N181" s="424"/>
      <c r="O181" s="424"/>
      <c r="P181" s="149">
        <v>85420</v>
      </c>
      <c r="Q181" s="420"/>
      <c r="R181" s="250" t="s">
        <v>2751</v>
      </c>
      <c r="S181" s="420" t="s">
        <v>2730</v>
      </c>
      <c r="T181" s="421" t="s">
        <v>2732</v>
      </c>
      <c r="U181" s="143">
        <f t="shared" si="78"/>
        <v>0</v>
      </c>
      <c r="V181" s="421"/>
      <c r="W181" s="421"/>
      <c r="X181" s="421"/>
      <c r="Y181" s="143">
        <f t="shared" si="79"/>
        <v>3600</v>
      </c>
      <c r="Z181" s="143"/>
      <c r="AA181" s="143"/>
      <c r="AB181" s="143">
        <f t="shared" si="85"/>
        <v>3600</v>
      </c>
      <c r="AC181" s="143">
        <v>0</v>
      </c>
      <c r="AD181" s="144">
        <v>3600</v>
      </c>
      <c r="AE181" s="144"/>
      <c r="AF181" s="143">
        <f t="shared" si="80"/>
        <v>3247</v>
      </c>
      <c r="AG181" s="143"/>
      <c r="AH181" s="143"/>
      <c r="AI181" s="143">
        <f t="shared" si="81"/>
        <v>3247</v>
      </c>
      <c r="AJ181" s="143">
        <v>0</v>
      </c>
      <c r="AK181" s="144">
        <v>3247</v>
      </c>
      <c r="AL181" s="144"/>
      <c r="AM181" s="143">
        <v>2746.1579999999999</v>
      </c>
      <c r="AN181" s="143"/>
      <c r="AO181" s="143"/>
      <c r="AP181" s="143">
        <v>2746.1579999999999</v>
      </c>
      <c r="AQ181" s="143">
        <v>0</v>
      </c>
      <c r="AR181" s="143"/>
      <c r="AS181" s="144"/>
      <c r="AT181" s="144">
        <v>2746.1579999999999</v>
      </c>
      <c r="AU181" s="144"/>
      <c r="AV181" s="143">
        <f t="shared" si="82"/>
        <v>500</v>
      </c>
      <c r="AW181" s="143"/>
      <c r="AX181" s="143"/>
      <c r="AY181" s="143">
        <f t="shared" si="83"/>
        <v>500</v>
      </c>
      <c r="AZ181" s="143">
        <v>0</v>
      </c>
      <c r="BA181" s="144">
        <v>500</v>
      </c>
      <c r="BB181" s="144"/>
      <c r="BC181" s="143">
        <v>0</v>
      </c>
      <c r="BD181" s="143"/>
      <c r="BE181" s="143"/>
      <c r="BF181" s="143">
        <v>0</v>
      </c>
      <c r="BG181" s="143">
        <v>0</v>
      </c>
      <c r="BH181" s="148">
        <v>0</v>
      </c>
      <c r="BI181" s="143"/>
      <c r="BJ181" s="148"/>
      <c r="BK181" s="148"/>
      <c r="BL181" s="148"/>
      <c r="BM181" s="148"/>
      <c r="BN181" s="148"/>
      <c r="BO181" s="148"/>
      <c r="BP181" s="148"/>
      <c r="BQ181" s="148"/>
      <c r="BR181" s="148"/>
      <c r="BS181" s="148"/>
      <c r="BT181" s="459">
        <f>M181-AF181-AV181</f>
        <v>111673</v>
      </c>
      <c r="BU181" s="148"/>
      <c r="BV181" s="459">
        <v>111673</v>
      </c>
      <c r="BW181" s="148"/>
      <c r="BX181" s="231"/>
      <c r="BY181" s="424"/>
    </row>
    <row r="182" spans="1:77" ht="36.75" customHeight="1" outlineLevel="1">
      <c r="A182" s="420">
        <v>15</v>
      </c>
      <c r="B182" s="421" t="s">
        <v>2787</v>
      </c>
      <c r="C182" s="428" t="s">
        <v>2788</v>
      </c>
      <c r="D182" s="420" t="s">
        <v>2732</v>
      </c>
      <c r="E182" s="422" t="s">
        <v>49</v>
      </c>
      <c r="F182" s="431" t="s">
        <v>48</v>
      </c>
      <c r="G182" s="150">
        <v>7949894</v>
      </c>
      <c r="H182" s="420" t="s">
        <v>2730</v>
      </c>
      <c r="I182" s="420" t="s">
        <v>906</v>
      </c>
      <c r="J182" s="420"/>
      <c r="K182" s="424"/>
      <c r="L182" s="420" t="s">
        <v>2789</v>
      </c>
      <c r="M182" s="149">
        <v>7177</v>
      </c>
      <c r="N182" s="424"/>
      <c r="O182" s="424"/>
      <c r="P182" s="149">
        <v>7177</v>
      </c>
      <c r="Q182" s="420"/>
      <c r="R182" s="420" t="s">
        <v>2730</v>
      </c>
      <c r="S182" s="420" t="s">
        <v>2730</v>
      </c>
      <c r="T182" s="421" t="s">
        <v>2732</v>
      </c>
      <c r="U182" s="143">
        <f t="shared" si="78"/>
        <v>0</v>
      </c>
      <c r="V182" s="421"/>
      <c r="W182" s="421"/>
      <c r="X182" s="421"/>
      <c r="Y182" s="143">
        <f t="shared" si="79"/>
        <v>6914</v>
      </c>
      <c r="Z182" s="143"/>
      <c r="AA182" s="143"/>
      <c r="AB182" s="143">
        <f t="shared" si="85"/>
        <v>6914</v>
      </c>
      <c r="AC182" s="143">
        <v>0</v>
      </c>
      <c r="AD182" s="144">
        <v>6914</v>
      </c>
      <c r="AE182" s="144"/>
      <c r="AF182" s="143">
        <f t="shared" si="80"/>
        <v>6914</v>
      </c>
      <c r="AG182" s="143"/>
      <c r="AH182" s="143"/>
      <c r="AI182" s="143">
        <f t="shared" si="81"/>
        <v>6914</v>
      </c>
      <c r="AJ182" s="143">
        <v>0</v>
      </c>
      <c r="AK182" s="144">
        <v>6914</v>
      </c>
      <c r="AL182" s="144"/>
      <c r="AM182" s="143">
        <v>6778.6766420000004</v>
      </c>
      <c r="AN182" s="143"/>
      <c r="AO182" s="143"/>
      <c r="AP182" s="143">
        <v>6778.6766420000004</v>
      </c>
      <c r="AQ182" s="143">
        <v>0</v>
      </c>
      <c r="AR182" s="143"/>
      <c r="AS182" s="144"/>
      <c r="AT182" s="144">
        <v>6778.6766420000004</v>
      </c>
      <c r="AU182" s="144"/>
      <c r="AV182" s="143">
        <f t="shared" si="82"/>
        <v>0</v>
      </c>
      <c r="AW182" s="143"/>
      <c r="AX182" s="143"/>
      <c r="AY182" s="143">
        <f t="shared" si="83"/>
        <v>0</v>
      </c>
      <c r="AZ182" s="143">
        <v>0</v>
      </c>
      <c r="BA182" s="144">
        <v>0</v>
      </c>
      <c r="BB182" s="144"/>
      <c r="BC182" s="143">
        <v>0</v>
      </c>
      <c r="BD182" s="143"/>
      <c r="BE182" s="143"/>
      <c r="BF182" s="143">
        <v>0</v>
      </c>
      <c r="BG182" s="143">
        <v>0</v>
      </c>
      <c r="BH182" s="148">
        <v>0</v>
      </c>
      <c r="BI182" s="143"/>
      <c r="BJ182" s="148"/>
      <c r="BK182" s="148"/>
      <c r="BL182" s="148"/>
      <c r="BM182" s="148"/>
      <c r="BN182" s="148"/>
      <c r="BO182" s="148"/>
      <c r="BP182" s="148"/>
      <c r="BQ182" s="148"/>
      <c r="BR182" s="148"/>
      <c r="BS182" s="148"/>
      <c r="BT182" s="148"/>
      <c r="BU182" s="148"/>
      <c r="BV182" s="148"/>
      <c r="BW182" s="148"/>
      <c r="BX182" s="231"/>
      <c r="BY182" s="424"/>
    </row>
    <row r="183" spans="1:77" ht="30.75" outlineLevel="1">
      <c r="A183" s="420">
        <v>16</v>
      </c>
      <c r="B183" s="447" t="s">
        <v>2790</v>
      </c>
      <c r="C183" s="428" t="s">
        <v>2788</v>
      </c>
      <c r="D183" s="420" t="s">
        <v>2732</v>
      </c>
      <c r="E183" s="422" t="s">
        <v>49</v>
      </c>
      <c r="F183" s="431" t="s">
        <v>48</v>
      </c>
      <c r="G183" s="150">
        <v>7950280</v>
      </c>
      <c r="H183" s="420" t="s">
        <v>2730</v>
      </c>
      <c r="I183" s="420" t="s">
        <v>906</v>
      </c>
      <c r="J183" s="420"/>
      <c r="K183" s="424"/>
      <c r="L183" s="420" t="s">
        <v>2791</v>
      </c>
      <c r="M183" s="149">
        <v>5489</v>
      </c>
      <c r="N183" s="424"/>
      <c r="O183" s="424"/>
      <c r="P183" s="149">
        <v>5489</v>
      </c>
      <c r="Q183" s="420"/>
      <c r="R183" s="420" t="s">
        <v>2730</v>
      </c>
      <c r="S183" s="420" t="s">
        <v>2730</v>
      </c>
      <c r="T183" s="421" t="s">
        <v>2732</v>
      </c>
      <c r="U183" s="143">
        <f t="shared" si="78"/>
        <v>0</v>
      </c>
      <c r="V183" s="421"/>
      <c r="W183" s="421"/>
      <c r="X183" s="421"/>
      <c r="Y183" s="143">
        <f t="shared" si="79"/>
        <v>5359</v>
      </c>
      <c r="Z183" s="143"/>
      <c r="AA183" s="143"/>
      <c r="AB183" s="143">
        <f t="shared" si="85"/>
        <v>5359</v>
      </c>
      <c r="AC183" s="143">
        <v>0</v>
      </c>
      <c r="AD183" s="144">
        <v>5359</v>
      </c>
      <c r="AE183" s="144"/>
      <c r="AF183" s="143">
        <f t="shared" si="80"/>
        <v>5359</v>
      </c>
      <c r="AG183" s="143"/>
      <c r="AH183" s="143"/>
      <c r="AI183" s="143">
        <f t="shared" si="81"/>
        <v>5359</v>
      </c>
      <c r="AJ183" s="143">
        <v>0</v>
      </c>
      <c r="AK183" s="144">
        <v>5359</v>
      </c>
      <c r="AL183" s="144"/>
      <c r="AM183" s="143">
        <v>5349.3539529999998</v>
      </c>
      <c r="AN183" s="143"/>
      <c r="AO183" s="143"/>
      <c r="AP183" s="143">
        <v>5349.3539529999998</v>
      </c>
      <c r="AQ183" s="143">
        <v>0</v>
      </c>
      <c r="AR183" s="143"/>
      <c r="AS183" s="144"/>
      <c r="AT183" s="144">
        <v>5349.3539529999998</v>
      </c>
      <c r="AU183" s="144"/>
      <c r="AV183" s="143">
        <f t="shared" si="82"/>
        <v>0</v>
      </c>
      <c r="AW183" s="143"/>
      <c r="AX183" s="143"/>
      <c r="AY183" s="143">
        <f t="shared" si="83"/>
        <v>0</v>
      </c>
      <c r="AZ183" s="143">
        <v>0</v>
      </c>
      <c r="BA183" s="144">
        <v>0</v>
      </c>
      <c r="BB183" s="144"/>
      <c r="BC183" s="143">
        <v>0</v>
      </c>
      <c r="BD183" s="143"/>
      <c r="BE183" s="143"/>
      <c r="BF183" s="143">
        <v>0</v>
      </c>
      <c r="BG183" s="143">
        <v>0</v>
      </c>
      <c r="BH183" s="148">
        <v>0</v>
      </c>
      <c r="BI183" s="143"/>
      <c r="BJ183" s="148"/>
      <c r="BK183" s="148"/>
      <c r="BL183" s="148"/>
      <c r="BM183" s="148"/>
      <c r="BN183" s="148"/>
      <c r="BO183" s="148"/>
      <c r="BP183" s="148"/>
      <c r="BQ183" s="148"/>
      <c r="BR183" s="148"/>
      <c r="BS183" s="148"/>
      <c r="BT183" s="148"/>
      <c r="BU183" s="148"/>
      <c r="BV183" s="148"/>
      <c r="BW183" s="148"/>
      <c r="BX183" s="231"/>
      <c r="BY183" s="424"/>
    </row>
    <row r="184" spans="1:77" ht="30.75" outlineLevel="1">
      <c r="A184" s="420">
        <v>17</v>
      </c>
      <c r="B184" s="421" t="s">
        <v>2792</v>
      </c>
      <c r="C184" s="420" t="s">
        <v>2793</v>
      </c>
      <c r="D184" s="420" t="s">
        <v>2732</v>
      </c>
      <c r="E184" s="422" t="s">
        <v>49</v>
      </c>
      <c r="F184" s="422" t="s">
        <v>1579</v>
      </c>
      <c r="G184" s="150">
        <v>7921923</v>
      </c>
      <c r="H184" s="437" t="s">
        <v>2744</v>
      </c>
      <c r="I184" s="420">
        <v>2021</v>
      </c>
      <c r="J184" s="420"/>
      <c r="K184" s="424"/>
      <c r="L184" s="420" t="s">
        <v>2794</v>
      </c>
      <c r="M184" s="149">
        <v>8513.625</v>
      </c>
      <c r="N184" s="424"/>
      <c r="O184" s="149">
        <v>630</v>
      </c>
      <c r="P184" s="149">
        <v>3500</v>
      </c>
      <c r="Q184" s="420"/>
      <c r="R184" s="437" t="s">
        <v>2744</v>
      </c>
      <c r="S184" s="420" t="s">
        <v>2730</v>
      </c>
      <c r="T184" s="421" t="s">
        <v>2732</v>
      </c>
      <c r="U184" s="143">
        <f t="shared" si="78"/>
        <v>0</v>
      </c>
      <c r="V184" s="421"/>
      <c r="W184" s="421"/>
      <c r="X184" s="421"/>
      <c r="Y184" s="143">
        <f t="shared" si="79"/>
        <v>2594</v>
      </c>
      <c r="Z184" s="143"/>
      <c r="AA184" s="144"/>
      <c r="AB184" s="143">
        <f t="shared" si="85"/>
        <v>2594</v>
      </c>
      <c r="AC184" s="143">
        <v>0</v>
      </c>
      <c r="AD184" s="144">
        <v>2594</v>
      </c>
      <c r="AE184" s="144"/>
      <c r="AF184" s="143">
        <f t="shared" si="80"/>
        <v>1680.289</v>
      </c>
      <c r="AG184" s="143"/>
      <c r="AH184" s="145"/>
      <c r="AI184" s="143">
        <f t="shared" si="81"/>
        <v>1680.289</v>
      </c>
      <c r="AJ184" s="143">
        <v>0</v>
      </c>
      <c r="AK184" s="144">
        <v>1050.289</v>
      </c>
      <c r="AL184" s="144">
        <v>630</v>
      </c>
      <c r="AM184" s="143">
        <v>1592.632222</v>
      </c>
      <c r="AN184" s="143"/>
      <c r="AO184" s="143">
        <v>630</v>
      </c>
      <c r="AP184" s="143">
        <v>962.63222199999996</v>
      </c>
      <c r="AQ184" s="143">
        <v>0</v>
      </c>
      <c r="AR184" s="143"/>
      <c r="AS184" s="144"/>
      <c r="AT184" s="144">
        <v>962.63222199999996</v>
      </c>
      <c r="AU184" s="144"/>
      <c r="AV184" s="143">
        <f t="shared" si="82"/>
        <v>0</v>
      </c>
      <c r="AW184" s="143"/>
      <c r="AX184" s="143"/>
      <c r="AY184" s="143">
        <f t="shared" si="83"/>
        <v>0</v>
      </c>
      <c r="AZ184" s="143">
        <v>0</v>
      </c>
      <c r="BA184" s="144">
        <v>0</v>
      </c>
      <c r="BB184" s="144"/>
      <c r="BC184" s="143">
        <v>0</v>
      </c>
      <c r="BD184" s="143"/>
      <c r="BE184" s="143"/>
      <c r="BF184" s="143">
        <v>0</v>
      </c>
      <c r="BG184" s="143">
        <v>0</v>
      </c>
      <c r="BH184" s="148">
        <v>0</v>
      </c>
      <c r="BI184" s="143"/>
      <c r="BJ184" s="148"/>
      <c r="BK184" s="148"/>
      <c r="BL184" s="148"/>
      <c r="BM184" s="148"/>
      <c r="BN184" s="148"/>
      <c r="BO184" s="148"/>
      <c r="BP184" s="148"/>
      <c r="BQ184" s="148"/>
      <c r="BR184" s="148"/>
      <c r="BS184" s="148"/>
      <c r="BT184" s="148"/>
      <c r="BU184" s="148"/>
      <c r="BV184" s="148"/>
      <c r="BW184" s="148"/>
      <c r="BX184" s="231"/>
      <c r="BY184" s="421"/>
    </row>
    <row r="185" spans="1:77" ht="30.75" outlineLevel="1">
      <c r="A185" s="420">
        <v>18</v>
      </c>
      <c r="B185" s="421" t="s">
        <v>2795</v>
      </c>
      <c r="C185" s="420" t="s">
        <v>2796</v>
      </c>
      <c r="D185" s="420" t="s">
        <v>2732</v>
      </c>
      <c r="E185" s="422" t="s">
        <v>49</v>
      </c>
      <c r="F185" s="422" t="s">
        <v>125</v>
      </c>
      <c r="G185" s="150">
        <v>7939764</v>
      </c>
      <c r="H185" s="437" t="s">
        <v>2751</v>
      </c>
      <c r="I185" s="420">
        <v>2022</v>
      </c>
      <c r="J185" s="420"/>
      <c r="K185" s="424"/>
      <c r="L185" s="420" t="s">
        <v>2797</v>
      </c>
      <c r="M185" s="149">
        <v>960</v>
      </c>
      <c r="N185" s="424"/>
      <c r="O185" s="424"/>
      <c r="P185" s="149">
        <v>960</v>
      </c>
      <c r="Q185" s="420"/>
      <c r="R185" s="437" t="s">
        <v>2751</v>
      </c>
      <c r="S185" s="420" t="s">
        <v>2730</v>
      </c>
      <c r="T185" s="421" t="s">
        <v>2732</v>
      </c>
      <c r="U185" s="143">
        <f t="shared" si="78"/>
        <v>0</v>
      </c>
      <c r="V185" s="421"/>
      <c r="W185" s="421"/>
      <c r="X185" s="421"/>
      <c r="Y185" s="143">
        <f t="shared" si="79"/>
        <v>955</v>
      </c>
      <c r="Z185" s="143"/>
      <c r="AA185" s="143"/>
      <c r="AB185" s="143">
        <f t="shared" si="85"/>
        <v>955</v>
      </c>
      <c r="AC185" s="143">
        <v>0</v>
      </c>
      <c r="AD185" s="144">
        <v>955</v>
      </c>
      <c r="AE185" s="144"/>
      <c r="AF185" s="143">
        <f t="shared" si="80"/>
        <v>954</v>
      </c>
      <c r="AG185" s="143"/>
      <c r="AH185" s="143"/>
      <c r="AI185" s="143">
        <f t="shared" si="81"/>
        <v>954</v>
      </c>
      <c r="AJ185" s="143">
        <v>0</v>
      </c>
      <c r="AK185" s="144">
        <v>954</v>
      </c>
      <c r="AL185" s="144"/>
      <c r="AM185" s="143">
        <v>953.65812400000004</v>
      </c>
      <c r="AN185" s="143"/>
      <c r="AO185" s="143"/>
      <c r="AP185" s="143">
        <v>953.65812400000004</v>
      </c>
      <c r="AQ185" s="143">
        <v>0</v>
      </c>
      <c r="AR185" s="143"/>
      <c r="AS185" s="144"/>
      <c r="AT185" s="144">
        <v>953.65812400000004</v>
      </c>
      <c r="AU185" s="144"/>
      <c r="AV185" s="143">
        <f t="shared" si="82"/>
        <v>0</v>
      </c>
      <c r="AW185" s="143"/>
      <c r="AX185" s="143"/>
      <c r="AY185" s="143">
        <f t="shared" si="83"/>
        <v>0</v>
      </c>
      <c r="AZ185" s="143">
        <v>0</v>
      </c>
      <c r="BA185" s="144">
        <v>0</v>
      </c>
      <c r="BB185" s="144"/>
      <c r="BC185" s="143">
        <v>0</v>
      </c>
      <c r="BD185" s="143"/>
      <c r="BE185" s="143"/>
      <c r="BF185" s="143">
        <v>0</v>
      </c>
      <c r="BG185" s="143">
        <v>0</v>
      </c>
      <c r="BH185" s="148">
        <v>0</v>
      </c>
      <c r="BI185" s="143"/>
      <c r="BJ185" s="148"/>
      <c r="BK185" s="148"/>
      <c r="BL185" s="148"/>
      <c r="BM185" s="148"/>
      <c r="BN185" s="148"/>
      <c r="BO185" s="148"/>
      <c r="BP185" s="148"/>
      <c r="BQ185" s="148"/>
      <c r="BR185" s="148"/>
      <c r="BS185" s="148"/>
      <c r="BT185" s="148"/>
      <c r="BU185" s="148"/>
      <c r="BV185" s="148"/>
      <c r="BW185" s="148"/>
      <c r="BX185" s="231"/>
      <c r="BY185" s="424"/>
    </row>
    <row r="186" spans="1:77" ht="46.15" outlineLevel="1">
      <c r="A186" s="420">
        <v>19</v>
      </c>
      <c r="B186" s="421" t="s">
        <v>2798</v>
      </c>
      <c r="C186" s="420" t="s">
        <v>2350</v>
      </c>
      <c r="D186" s="420" t="s">
        <v>2732</v>
      </c>
      <c r="E186" s="422" t="s">
        <v>49</v>
      </c>
      <c r="F186" s="431" t="s">
        <v>48</v>
      </c>
      <c r="G186" s="150">
        <v>7937943</v>
      </c>
      <c r="H186" s="437" t="s">
        <v>2744</v>
      </c>
      <c r="I186" s="420" t="s">
        <v>2565</v>
      </c>
      <c r="J186" s="422">
        <v>2022</v>
      </c>
      <c r="K186" s="424"/>
      <c r="L186" s="420" t="s">
        <v>2799</v>
      </c>
      <c r="M186" s="448">
        <v>27546</v>
      </c>
      <c r="N186" s="424"/>
      <c r="O186" s="424"/>
      <c r="P186" s="448">
        <v>27546</v>
      </c>
      <c r="Q186" s="420"/>
      <c r="R186" s="437" t="s">
        <v>2744</v>
      </c>
      <c r="S186" s="420" t="s">
        <v>2730</v>
      </c>
      <c r="T186" s="421" t="s">
        <v>2732</v>
      </c>
      <c r="U186" s="143">
        <f t="shared" si="78"/>
        <v>0</v>
      </c>
      <c r="V186" s="421"/>
      <c r="W186" s="421"/>
      <c r="X186" s="421"/>
      <c r="Y186" s="143">
        <f t="shared" si="79"/>
        <v>27546</v>
      </c>
      <c r="Z186" s="143"/>
      <c r="AA186" s="145"/>
      <c r="AB186" s="143">
        <f t="shared" si="85"/>
        <v>27546</v>
      </c>
      <c r="AC186" s="143">
        <v>2813</v>
      </c>
      <c r="AD186" s="144">
        <v>24733</v>
      </c>
      <c r="AE186" s="144"/>
      <c r="AF186" s="143">
        <f t="shared" si="80"/>
        <v>23765.709000000003</v>
      </c>
      <c r="AG186" s="143"/>
      <c r="AH186" s="143"/>
      <c r="AI186" s="143">
        <f t="shared" si="81"/>
        <v>23765.709000000003</v>
      </c>
      <c r="AJ186" s="143">
        <v>0</v>
      </c>
      <c r="AK186" s="144">
        <v>23765.709000000003</v>
      </c>
      <c r="AL186" s="144"/>
      <c r="AM186" s="143">
        <v>10788.7088</v>
      </c>
      <c r="AN186" s="143"/>
      <c r="AO186" s="143"/>
      <c r="AP186" s="143">
        <v>10788.7088</v>
      </c>
      <c r="AQ186" s="143">
        <v>0</v>
      </c>
      <c r="AR186" s="143"/>
      <c r="AS186" s="144"/>
      <c r="AT186" s="144">
        <v>10788.7088</v>
      </c>
      <c r="AU186" s="144"/>
      <c r="AV186" s="143">
        <f t="shared" si="82"/>
        <v>15790</v>
      </c>
      <c r="AW186" s="143"/>
      <c r="AX186" s="144"/>
      <c r="AY186" s="143">
        <f t="shared" si="83"/>
        <v>15790</v>
      </c>
      <c r="AZ186" s="143">
        <v>2813</v>
      </c>
      <c r="BA186" s="144">
        <v>12977</v>
      </c>
      <c r="BB186" s="144"/>
      <c r="BC186" s="143">
        <v>2965.4872</v>
      </c>
      <c r="BD186" s="143"/>
      <c r="BE186" s="144"/>
      <c r="BF186" s="143">
        <v>2965.4872</v>
      </c>
      <c r="BG186" s="143">
        <v>2813</v>
      </c>
      <c r="BH186" s="148">
        <v>2813</v>
      </c>
      <c r="BI186" s="143"/>
      <c r="BJ186" s="148">
        <v>152.4872</v>
      </c>
      <c r="BK186" s="148"/>
      <c r="BL186" s="148"/>
      <c r="BM186" s="148"/>
      <c r="BN186" s="148"/>
      <c r="BO186" s="148"/>
      <c r="BP186" s="148"/>
      <c r="BQ186" s="148"/>
      <c r="BR186" s="148"/>
      <c r="BS186" s="148"/>
      <c r="BT186" s="459">
        <v>13792</v>
      </c>
      <c r="BU186" s="148"/>
      <c r="BV186" s="459">
        <v>13792</v>
      </c>
      <c r="BW186" s="148"/>
      <c r="BX186" s="231"/>
      <c r="BY186" s="420"/>
    </row>
    <row r="187" spans="1:77" ht="36" customHeight="1" outlineLevel="1">
      <c r="A187" s="420">
        <v>20</v>
      </c>
      <c r="B187" s="421" t="s">
        <v>2800</v>
      </c>
      <c r="C187" s="420" t="s">
        <v>2793</v>
      </c>
      <c r="D187" s="420" t="s">
        <v>2732</v>
      </c>
      <c r="E187" s="422" t="s">
        <v>49</v>
      </c>
      <c r="F187" s="422" t="s">
        <v>1579</v>
      </c>
      <c r="G187" s="151">
        <v>7966862</v>
      </c>
      <c r="H187" s="437" t="s">
        <v>2744</v>
      </c>
      <c r="I187" s="420">
        <v>2022</v>
      </c>
      <c r="J187" s="420"/>
      <c r="K187" s="424"/>
      <c r="L187" s="436" t="s">
        <v>2801</v>
      </c>
      <c r="M187" s="146">
        <v>7752.6</v>
      </c>
      <c r="N187" s="424"/>
      <c r="O187" s="424"/>
      <c r="P187" s="152">
        <v>6411</v>
      </c>
      <c r="Q187" s="420"/>
      <c r="R187" s="437" t="s">
        <v>2744</v>
      </c>
      <c r="S187" s="420" t="s">
        <v>2730</v>
      </c>
      <c r="T187" s="421" t="s">
        <v>2732</v>
      </c>
      <c r="U187" s="143">
        <f t="shared" si="78"/>
        <v>0</v>
      </c>
      <c r="V187" s="421"/>
      <c r="W187" s="421"/>
      <c r="X187" s="421"/>
      <c r="Y187" s="143">
        <f t="shared" si="79"/>
        <v>6669</v>
      </c>
      <c r="Z187" s="143"/>
      <c r="AA187" s="143"/>
      <c r="AB187" s="143">
        <f t="shared" si="85"/>
        <v>6669</v>
      </c>
      <c r="AC187" s="143">
        <v>0</v>
      </c>
      <c r="AD187" s="144">
        <v>6411</v>
      </c>
      <c r="AE187" s="144">
        <v>258</v>
      </c>
      <c r="AF187" s="143">
        <f t="shared" si="80"/>
        <v>258</v>
      </c>
      <c r="AG187" s="143"/>
      <c r="AH187" s="143"/>
      <c r="AI187" s="143">
        <f t="shared" si="81"/>
        <v>258</v>
      </c>
      <c r="AJ187" s="143">
        <v>0</v>
      </c>
      <c r="AK187" s="144">
        <v>0</v>
      </c>
      <c r="AL187" s="144">
        <v>258</v>
      </c>
      <c r="AM187" s="143">
        <v>84.83377999999999</v>
      </c>
      <c r="AN187" s="143"/>
      <c r="AO187" s="143"/>
      <c r="AP187" s="143">
        <v>84.83377999999999</v>
      </c>
      <c r="AQ187" s="143">
        <v>0</v>
      </c>
      <c r="AR187" s="143"/>
      <c r="AS187" s="144"/>
      <c r="AT187" s="144">
        <v>0</v>
      </c>
      <c r="AU187" s="144">
        <v>84.83377999999999</v>
      </c>
      <c r="AV187" s="143">
        <f t="shared" si="82"/>
        <v>0</v>
      </c>
      <c r="AW187" s="143"/>
      <c r="AX187" s="143"/>
      <c r="AY187" s="143">
        <f t="shared" si="83"/>
        <v>0</v>
      </c>
      <c r="AZ187" s="143">
        <v>0</v>
      </c>
      <c r="BA187" s="144">
        <v>0</v>
      </c>
      <c r="BB187" s="144"/>
      <c r="BC187" s="143">
        <v>0</v>
      </c>
      <c r="BD187" s="143"/>
      <c r="BE187" s="143"/>
      <c r="BF187" s="143">
        <v>0</v>
      </c>
      <c r="BG187" s="143">
        <v>0</v>
      </c>
      <c r="BH187" s="148">
        <v>0</v>
      </c>
      <c r="BI187" s="143"/>
      <c r="BJ187" s="148"/>
      <c r="BK187" s="148"/>
      <c r="BL187" s="148"/>
      <c r="BM187" s="148"/>
      <c r="BN187" s="148"/>
      <c r="BO187" s="148"/>
      <c r="BP187" s="148"/>
      <c r="BQ187" s="148"/>
      <c r="BR187" s="148"/>
      <c r="BS187" s="148"/>
      <c r="BT187" s="148"/>
      <c r="BU187" s="148"/>
      <c r="BV187" s="148"/>
      <c r="BW187" s="148"/>
      <c r="BX187" s="231"/>
      <c r="BY187" s="424"/>
    </row>
    <row r="188" spans="1:77" ht="36" customHeight="1" outlineLevel="1">
      <c r="A188" s="420">
        <v>21</v>
      </c>
      <c r="B188" s="421" t="s">
        <v>2802</v>
      </c>
      <c r="C188" s="420" t="s">
        <v>2793</v>
      </c>
      <c r="D188" s="420" t="s">
        <v>2732</v>
      </c>
      <c r="E188" s="422" t="s">
        <v>49</v>
      </c>
      <c r="F188" s="422" t="s">
        <v>125</v>
      </c>
      <c r="G188" s="151">
        <v>7970022</v>
      </c>
      <c r="H188" s="437" t="s">
        <v>2751</v>
      </c>
      <c r="I188" s="420">
        <v>2022</v>
      </c>
      <c r="J188" s="420"/>
      <c r="K188" s="424"/>
      <c r="L188" s="420" t="s">
        <v>2803</v>
      </c>
      <c r="M188" s="152">
        <v>4200</v>
      </c>
      <c r="N188" s="424"/>
      <c r="O188" s="424"/>
      <c r="P188" s="152">
        <v>4200</v>
      </c>
      <c r="Q188" s="420"/>
      <c r="R188" s="437" t="s">
        <v>2751</v>
      </c>
      <c r="S188" s="420" t="s">
        <v>2730</v>
      </c>
      <c r="T188" s="421" t="s">
        <v>2732</v>
      </c>
      <c r="U188" s="143">
        <f t="shared" si="78"/>
        <v>0</v>
      </c>
      <c r="V188" s="421"/>
      <c r="W188" s="421"/>
      <c r="X188" s="421"/>
      <c r="Y188" s="143">
        <f t="shared" si="79"/>
        <v>4200</v>
      </c>
      <c r="Z188" s="143"/>
      <c r="AA188" s="143"/>
      <c r="AB188" s="143">
        <f t="shared" si="85"/>
        <v>4200</v>
      </c>
      <c r="AC188" s="143">
        <v>0</v>
      </c>
      <c r="AD188" s="144">
        <v>4200</v>
      </c>
      <c r="AE188" s="144"/>
      <c r="AF188" s="143">
        <f t="shared" si="80"/>
        <v>4129</v>
      </c>
      <c r="AG188" s="143"/>
      <c r="AH188" s="143"/>
      <c r="AI188" s="143">
        <f t="shared" si="81"/>
        <v>4129</v>
      </c>
      <c r="AJ188" s="143">
        <v>0</v>
      </c>
      <c r="AK188" s="144">
        <v>4129</v>
      </c>
      <c r="AL188" s="144"/>
      <c r="AM188" s="143">
        <v>4094.38967</v>
      </c>
      <c r="AN188" s="143"/>
      <c r="AO188" s="143"/>
      <c r="AP188" s="143">
        <v>4094.38967</v>
      </c>
      <c r="AQ188" s="143">
        <v>0</v>
      </c>
      <c r="AR188" s="143"/>
      <c r="AS188" s="144"/>
      <c r="AT188" s="144">
        <v>4094.38967</v>
      </c>
      <c r="AU188" s="144"/>
      <c r="AV188" s="143">
        <f t="shared" si="82"/>
        <v>0</v>
      </c>
      <c r="AW188" s="143"/>
      <c r="AX188" s="143"/>
      <c r="AY188" s="143">
        <f t="shared" si="83"/>
        <v>0</v>
      </c>
      <c r="AZ188" s="143">
        <v>0</v>
      </c>
      <c r="BA188" s="144">
        <v>0</v>
      </c>
      <c r="BB188" s="144"/>
      <c r="BC188" s="143">
        <v>0</v>
      </c>
      <c r="BD188" s="143"/>
      <c r="BE188" s="143"/>
      <c r="BF188" s="143">
        <v>0</v>
      </c>
      <c r="BG188" s="143">
        <v>0</v>
      </c>
      <c r="BH188" s="148">
        <v>0</v>
      </c>
      <c r="BI188" s="143"/>
      <c r="BJ188" s="148"/>
      <c r="BK188" s="148"/>
      <c r="BL188" s="148"/>
      <c r="BM188" s="148"/>
      <c r="BN188" s="148"/>
      <c r="BO188" s="148"/>
      <c r="BP188" s="148"/>
      <c r="BQ188" s="148"/>
      <c r="BR188" s="148"/>
      <c r="BS188" s="148"/>
      <c r="BT188" s="148"/>
      <c r="BU188" s="148"/>
      <c r="BV188" s="148"/>
      <c r="BW188" s="148"/>
      <c r="BX188" s="231"/>
      <c r="BY188" s="424"/>
    </row>
    <row r="189" spans="1:77" ht="36" customHeight="1" outlineLevel="1">
      <c r="A189" s="420">
        <v>22</v>
      </c>
      <c r="B189" s="421" t="s">
        <v>2804</v>
      </c>
      <c r="C189" s="420" t="s">
        <v>2446</v>
      </c>
      <c r="D189" s="420" t="s">
        <v>2732</v>
      </c>
      <c r="E189" s="422"/>
      <c r="F189" s="422" t="s">
        <v>55</v>
      </c>
      <c r="G189" s="151">
        <v>8022805</v>
      </c>
      <c r="H189" s="437" t="s">
        <v>2751</v>
      </c>
      <c r="I189" s="420" t="s">
        <v>56</v>
      </c>
      <c r="J189" s="420"/>
      <c r="K189" s="424"/>
      <c r="L189" s="436" t="s">
        <v>2805</v>
      </c>
      <c r="M189" s="440">
        <v>500</v>
      </c>
      <c r="N189" s="424"/>
      <c r="O189" s="424"/>
      <c r="P189" s="440">
        <v>273</v>
      </c>
      <c r="Q189" s="420"/>
      <c r="R189" s="437" t="s">
        <v>2751</v>
      </c>
      <c r="S189" s="420" t="s">
        <v>2730</v>
      </c>
      <c r="T189" s="421" t="s">
        <v>2732</v>
      </c>
      <c r="U189" s="143">
        <f t="shared" si="78"/>
        <v>0</v>
      </c>
      <c r="V189" s="421"/>
      <c r="W189" s="421"/>
      <c r="X189" s="421"/>
      <c r="Y189" s="143">
        <f t="shared" si="79"/>
        <v>273</v>
      </c>
      <c r="Z189" s="143"/>
      <c r="AA189" s="143"/>
      <c r="AB189" s="143">
        <f t="shared" si="85"/>
        <v>273</v>
      </c>
      <c r="AC189" s="143">
        <v>0</v>
      </c>
      <c r="AD189" s="144">
        <v>273</v>
      </c>
      <c r="AE189" s="144"/>
      <c r="AF189" s="143">
        <f t="shared" si="80"/>
        <v>243</v>
      </c>
      <c r="AG189" s="143"/>
      <c r="AH189" s="143"/>
      <c r="AI189" s="143">
        <f t="shared" si="81"/>
        <v>243</v>
      </c>
      <c r="AJ189" s="143">
        <v>0</v>
      </c>
      <c r="AK189" s="144">
        <v>243</v>
      </c>
      <c r="AL189" s="144"/>
      <c r="AM189" s="143">
        <v>241.069726</v>
      </c>
      <c r="AN189" s="143"/>
      <c r="AO189" s="143"/>
      <c r="AP189" s="143">
        <v>241.069726</v>
      </c>
      <c r="AQ189" s="143">
        <v>0</v>
      </c>
      <c r="AR189" s="143"/>
      <c r="AS189" s="144"/>
      <c r="AT189" s="144">
        <v>241.069726</v>
      </c>
      <c r="AU189" s="144"/>
      <c r="AV189" s="143">
        <f t="shared" si="82"/>
        <v>0</v>
      </c>
      <c r="AW189" s="143"/>
      <c r="AX189" s="143"/>
      <c r="AY189" s="143">
        <f t="shared" si="83"/>
        <v>0</v>
      </c>
      <c r="AZ189" s="143">
        <v>0</v>
      </c>
      <c r="BA189" s="144">
        <v>0</v>
      </c>
      <c r="BB189" s="144"/>
      <c r="BC189" s="143">
        <v>0</v>
      </c>
      <c r="BD189" s="143"/>
      <c r="BE189" s="143"/>
      <c r="BF189" s="143">
        <v>0</v>
      </c>
      <c r="BG189" s="143">
        <v>0</v>
      </c>
      <c r="BH189" s="148">
        <v>0</v>
      </c>
      <c r="BI189" s="143"/>
      <c r="BJ189" s="148"/>
      <c r="BK189" s="148"/>
      <c r="BL189" s="148"/>
      <c r="BM189" s="148"/>
      <c r="BN189" s="148"/>
      <c r="BO189" s="148"/>
      <c r="BP189" s="148"/>
      <c r="BQ189" s="148"/>
      <c r="BR189" s="148"/>
      <c r="BS189" s="148"/>
      <c r="BT189" s="148"/>
      <c r="BU189" s="148"/>
      <c r="BV189" s="148"/>
      <c r="BW189" s="148"/>
      <c r="BX189" s="231"/>
      <c r="BY189" s="424"/>
    </row>
    <row r="190" spans="1:77" ht="46.15" outlineLevel="1">
      <c r="A190" s="420">
        <v>23</v>
      </c>
      <c r="B190" s="442" t="s">
        <v>2806</v>
      </c>
      <c r="C190" s="428" t="s">
        <v>2350</v>
      </c>
      <c r="D190" s="420" t="s">
        <v>2732</v>
      </c>
      <c r="E190" s="422" t="s">
        <v>49</v>
      </c>
      <c r="F190" s="422" t="s">
        <v>48</v>
      </c>
      <c r="G190" s="151">
        <v>7920772</v>
      </c>
      <c r="H190" s="420" t="s">
        <v>2751</v>
      </c>
      <c r="I190" s="420">
        <v>2022</v>
      </c>
      <c r="J190" s="422">
        <v>2022</v>
      </c>
      <c r="K190" s="424"/>
      <c r="L190" s="420" t="s">
        <v>2807</v>
      </c>
      <c r="M190" s="150">
        <v>7199.5</v>
      </c>
      <c r="N190" s="424"/>
      <c r="O190" s="424"/>
      <c r="P190" s="150">
        <v>7199.5</v>
      </c>
      <c r="Q190" s="420" t="s">
        <v>2808</v>
      </c>
      <c r="R190" s="420" t="s">
        <v>2751</v>
      </c>
      <c r="S190" s="420" t="s">
        <v>2730</v>
      </c>
      <c r="T190" s="421" t="s">
        <v>2732</v>
      </c>
      <c r="U190" s="143">
        <f t="shared" si="78"/>
        <v>0</v>
      </c>
      <c r="V190" s="421"/>
      <c r="W190" s="421"/>
      <c r="X190" s="421"/>
      <c r="Y190" s="143">
        <f t="shared" si="79"/>
        <v>4288</v>
      </c>
      <c r="Z190" s="143"/>
      <c r="AA190" s="143"/>
      <c r="AB190" s="143">
        <f t="shared" si="85"/>
        <v>4288</v>
      </c>
      <c r="AC190" s="143">
        <v>0</v>
      </c>
      <c r="AD190" s="144">
        <v>4288</v>
      </c>
      <c r="AE190" s="144"/>
      <c r="AF190" s="143">
        <f t="shared" si="80"/>
        <v>4295</v>
      </c>
      <c r="AG190" s="143"/>
      <c r="AH190" s="143"/>
      <c r="AI190" s="143">
        <f t="shared" si="81"/>
        <v>4295</v>
      </c>
      <c r="AJ190" s="143">
        <v>0</v>
      </c>
      <c r="AK190" s="144">
        <v>4295</v>
      </c>
      <c r="AL190" s="144"/>
      <c r="AM190" s="143">
        <v>4294.8567999999996</v>
      </c>
      <c r="AN190" s="143"/>
      <c r="AO190" s="143"/>
      <c r="AP190" s="143">
        <v>4294.8567999999996</v>
      </c>
      <c r="AQ190" s="143">
        <v>0</v>
      </c>
      <c r="AR190" s="143"/>
      <c r="AS190" s="144"/>
      <c r="AT190" s="144">
        <v>4294.8567999999996</v>
      </c>
      <c r="AU190" s="144"/>
      <c r="AV190" s="143">
        <f t="shared" si="82"/>
        <v>0</v>
      </c>
      <c r="AW190" s="143"/>
      <c r="AX190" s="143"/>
      <c r="AY190" s="143">
        <f t="shared" si="83"/>
        <v>0</v>
      </c>
      <c r="AZ190" s="143">
        <v>0</v>
      </c>
      <c r="BA190" s="144">
        <v>0</v>
      </c>
      <c r="BB190" s="144"/>
      <c r="BC190" s="143">
        <v>0</v>
      </c>
      <c r="BD190" s="143"/>
      <c r="BE190" s="143"/>
      <c r="BF190" s="143">
        <v>0</v>
      </c>
      <c r="BG190" s="143">
        <v>0</v>
      </c>
      <c r="BH190" s="148">
        <v>0</v>
      </c>
      <c r="BI190" s="143"/>
      <c r="BJ190" s="148"/>
      <c r="BK190" s="148"/>
      <c r="BL190" s="148"/>
      <c r="BM190" s="148"/>
      <c r="BN190" s="148"/>
      <c r="BO190" s="148"/>
      <c r="BP190" s="148"/>
      <c r="BQ190" s="148"/>
      <c r="BR190" s="148"/>
      <c r="BS190" s="148"/>
      <c r="BT190" s="148">
        <v>0</v>
      </c>
      <c r="BU190" s="148">
        <v>0</v>
      </c>
      <c r="BV190" s="148">
        <v>0</v>
      </c>
      <c r="BW190" s="148">
        <v>0</v>
      </c>
      <c r="BX190" s="231"/>
      <c r="BY190" s="424"/>
    </row>
    <row r="191" spans="1:77" ht="30.75" outlineLevel="1">
      <c r="A191" s="420">
        <v>24</v>
      </c>
      <c r="B191" s="442" t="s">
        <v>2809</v>
      </c>
      <c r="C191" s="428" t="s">
        <v>2350</v>
      </c>
      <c r="D191" s="420" t="s">
        <v>2732</v>
      </c>
      <c r="E191" s="422" t="s">
        <v>49</v>
      </c>
      <c r="F191" s="422" t="s">
        <v>48</v>
      </c>
      <c r="G191" s="151">
        <v>7919915</v>
      </c>
      <c r="H191" s="420" t="s">
        <v>2751</v>
      </c>
      <c r="I191" s="420" t="s">
        <v>76</v>
      </c>
      <c r="J191" s="422">
        <v>2022</v>
      </c>
      <c r="K191" s="424"/>
      <c r="L191" s="420" t="s">
        <v>2810</v>
      </c>
      <c r="M191" s="150">
        <v>6166</v>
      </c>
      <c r="N191" s="424"/>
      <c r="O191" s="424"/>
      <c r="P191" s="150">
        <v>6166</v>
      </c>
      <c r="Q191" s="420" t="s">
        <v>2811</v>
      </c>
      <c r="R191" s="420" t="s">
        <v>2751</v>
      </c>
      <c r="S191" s="420" t="s">
        <v>2730</v>
      </c>
      <c r="T191" s="421" t="s">
        <v>2732</v>
      </c>
      <c r="U191" s="143">
        <f t="shared" si="78"/>
        <v>0</v>
      </c>
      <c r="V191" s="421"/>
      <c r="W191" s="421"/>
      <c r="X191" s="421"/>
      <c r="Y191" s="143">
        <f t="shared" si="79"/>
        <v>5289</v>
      </c>
      <c r="Z191" s="143"/>
      <c r="AA191" s="143"/>
      <c r="AB191" s="143">
        <f t="shared" si="85"/>
        <v>5289</v>
      </c>
      <c r="AC191" s="143">
        <v>0</v>
      </c>
      <c r="AD191" s="144">
        <v>5289</v>
      </c>
      <c r="AE191" s="144"/>
      <c r="AF191" s="143">
        <f t="shared" si="80"/>
        <v>5289</v>
      </c>
      <c r="AG191" s="143"/>
      <c r="AH191" s="143"/>
      <c r="AI191" s="143">
        <f t="shared" si="81"/>
        <v>5289</v>
      </c>
      <c r="AJ191" s="143">
        <v>0</v>
      </c>
      <c r="AK191" s="144">
        <v>5289</v>
      </c>
      <c r="AL191" s="144"/>
      <c r="AM191" s="143">
        <v>5288.4259099999999</v>
      </c>
      <c r="AN191" s="143"/>
      <c r="AO191" s="143"/>
      <c r="AP191" s="143">
        <v>5288.4259099999999</v>
      </c>
      <c r="AQ191" s="143">
        <v>0</v>
      </c>
      <c r="AR191" s="143"/>
      <c r="AS191" s="144"/>
      <c r="AT191" s="144">
        <v>5288.4259099999999</v>
      </c>
      <c r="AU191" s="144"/>
      <c r="AV191" s="143">
        <f t="shared" si="82"/>
        <v>0</v>
      </c>
      <c r="AW191" s="143"/>
      <c r="AX191" s="143"/>
      <c r="AY191" s="143">
        <f t="shared" si="83"/>
        <v>0</v>
      </c>
      <c r="AZ191" s="143">
        <v>0</v>
      </c>
      <c r="BA191" s="144">
        <v>0</v>
      </c>
      <c r="BB191" s="144"/>
      <c r="BC191" s="143">
        <v>0</v>
      </c>
      <c r="BD191" s="143"/>
      <c r="BE191" s="143"/>
      <c r="BF191" s="143">
        <v>0</v>
      </c>
      <c r="BG191" s="143">
        <v>0</v>
      </c>
      <c r="BH191" s="148">
        <v>0</v>
      </c>
      <c r="BI191" s="143"/>
      <c r="BJ191" s="148"/>
      <c r="BK191" s="148"/>
      <c r="BL191" s="148"/>
      <c r="BM191" s="148"/>
      <c r="BN191" s="148"/>
      <c r="BO191" s="148"/>
      <c r="BP191" s="148"/>
      <c r="BQ191" s="148"/>
      <c r="BR191" s="148"/>
      <c r="BS191" s="148"/>
      <c r="BT191" s="148">
        <v>0</v>
      </c>
      <c r="BU191" s="148">
        <v>0</v>
      </c>
      <c r="BV191" s="148">
        <v>0</v>
      </c>
      <c r="BW191" s="148">
        <v>0</v>
      </c>
      <c r="BX191" s="231"/>
      <c r="BY191" s="424"/>
    </row>
    <row r="192" spans="1:77" ht="46.15" outlineLevel="1">
      <c r="A192" s="420">
        <v>25</v>
      </c>
      <c r="B192" s="435" t="s">
        <v>2812</v>
      </c>
      <c r="C192" s="428" t="s">
        <v>2350</v>
      </c>
      <c r="D192" s="420" t="s">
        <v>2732</v>
      </c>
      <c r="E192" s="422" t="s">
        <v>49</v>
      </c>
      <c r="F192" s="422" t="s">
        <v>55</v>
      </c>
      <c r="G192" s="151">
        <v>7920779</v>
      </c>
      <c r="H192" s="420" t="s">
        <v>2751</v>
      </c>
      <c r="I192" s="420" t="s">
        <v>76</v>
      </c>
      <c r="J192" s="422">
        <v>2022</v>
      </c>
      <c r="K192" s="424"/>
      <c r="L192" s="420" t="s">
        <v>2813</v>
      </c>
      <c r="M192" s="146">
        <v>17900</v>
      </c>
      <c r="N192" s="424"/>
      <c r="O192" s="424"/>
      <c r="P192" s="146">
        <v>17900</v>
      </c>
      <c r="Q192" s="420" t="s">
        <v>2814</v>
      </c>
      <c r="R192" s="420" t="s">
        <v>2751</v>
      </c>
      <c r="S192" s="420" t="s">
        <v>2730</v>
      </c>
      <c r="T192" s="421" t="s">
        <v>2732</v>
      </c>
      <c r="U192" s="143">
        <f t="shared" si="78"/>
        <v>0</v>
      </c>
      <c r="V192" s="421"/>
      <c r="W192" s="421"/>
      <c r="X192" s="421"/>
      <c r="Y192" s="143">
        <f t="shared" si="79"/>
        <v>17650</v>
      </c>
      <c r="Z192" s="143"/>
      <c r="AA192" s="143"/>
      <c r="AB192" s="143">
        <f t="shared" si="85"/>
        <v>17650</v>
      </c>
      <c r="AC192" s="143">
        <v>7480</v>
      </c>
      <c r="AD192" s="144">
        <v>10170</v>
      </c>
      <c r="AE192" s="144"/>
      <c r="AF192" s="143">
        <f t="shared" si="80"/>
        <v>16868.580000000002</v>
      </c>
      <c r="AG192" s="143"/>
      <c r="AH192" s="143"/>
      <c r="AI192" s="143">
        <f t="shared" si="81"/>
        <v>16868.580000000002</v>
      </c>
      <c r="AJ192" s="143">
        <v>7480</v>
      </c>
      <c r="AK192" s="144">
        <v>4888.58</v>
      </c>
      <c r="AL192" s="144">
        <v>4500</v>
      </c>
      <c r="AM192" s="143">
        <v>15723.958999999999</v>
      </c>
      <c r="AN192" s="143"/>
      <c r="AO192" s="144">
        <v>4500</v>
      </c>
      <c r="AP192" s="143">
        <v>11223.958999999999</v>
      </c>
      <c r="AQ192" s="143">
        <v>7480.3789999999999</v>
      </c>
      <c r="AR192" s="144">
        <v>7480.3789999999999</v>
      </c>
      <c r="AS192" s="144"/>
      <c r="AT192" s="144">
        <v>3743.58</v>
      </c>
      <c r="AU192" s="144"/>
      <c r="AV192" s="143">
        <f t="shared" si="82"/>
        <v>1145</v>
      </c>
      <c r="AW192" s="143"/>
      <c r="AX192" s="143"/>
      <c r="AY192" s="143">
        <f t="shared" si="83"/>
        <v>1145</v>
      </c>
      <c r="AZ192" s="143">
        <v>0</v>
      </c>
      <c r="BA192" s="144">
        <v>1145</v>
      </c>
      <c r="BB192" s="144"/>
      <c r="BC192" s="143">
        <v>0</v>
      </c>
      <c r="BD192" s="143"/>
      <c r="BE192" s="143"/>
      <c r="BF192" s="143">
        <v>0</v>
      </c>
      <c r="BG192" s="143">
        <v>0</v>
      </c>
      <c r="BH192" s="148">
        <v>0</v>
      </c>
      <c r="BI192" s="143"/>
      <c r="BJ192" s="148"/>
      <c r="BK192" s="148"/>
      <c r="BL192" s="148"/>
      <c r="BM192" s="148"/>
      <c r="BN192" s="148"/>
      <c r="BO192" s="148"/>
      <c r="BP192" s="148"/>
      <c r="BQ192" s="148"/>
      <c r="BR192" s="148"/>
      <c r="BS192" s="148"/>
      <c r="BT192" s="148">
        <v>1100</v>
      </c>
      <c r="BU192" s="148"/>
      <c r="BV192" s="148">
        <v>1100</v>
      </c>
      <c r="BW192" s="148"/>
      <c r="BX192" s="231"/>
      <c r="BY192" s="155"/>
    </row>
    <row r="193" spans="1:77" ht="46.15" outlineLevel="1">
      <c r="A193" s="420">
        <v>26</v>
      </c>
      <c r="B193" s="435" t="s">
        <v>2815</v>
      </c>
      <c r="C193" s="428" t="s">
        <v>2350</v>
      </c>
      <c r="D193" s="420" t="s">
        <v>2732</v>
      </c>
      <c r="E193" s="422" t="s">
        <v>49</v>
      </c>
      <c r="F193" s="422" t="s">
        <v>55</v>
      </c>
      <c r="G193" s="151">
        <v>7919918</v>
      </c>
      <c r="H193" s="420" t="s">
        <v>2730</v>
      </c>
      <c r="I193" s="420" t="s">
        <v>76</v>
      </c>
      <c r="J193" s="422">
        <v>2022</v>
      </c>
      <c r="K193" s="424"/>
      <c r="L193" s="420" t="s">
        <v>2816</v>
      </c>
      <c r="M193" s="146">
        <v>8200</v>
      </c>
      <c r="N193" s="424"/>
      <c r="O193" s="424"/>
      <c r="P193" s="146">
        <v>8200</v>
      </c>
      <c r="Q193" s="420" t="s">
        <v>2817</v>
      </c>
      <c r="R193" s="420" t="s">
        <v>2730</v>
      </c>
      <c r="S193" s="420" t="s">
        <v>2730</v>
      </c>
      <c r="T193" s="421" t="s">
        <v>2732</v>
      </c>
      <c r="U193" s="143">
        <f t="shared" si="78"/>
        <v>0</v>
      </c>
      <c r="V193" s="421"/>
      <c r="W193" s="421"/>
      <c r="X193" s="421"/>
      <c r="Y193" s="143">
        <f t="shared" si="79"/>
        <v>8200</v>
      </c>
      <c r="Z193" s="143"/>
      <c r="AA193" s="143"/>
      <c r="AB193" s="143">
        <f t="shared" si="85"/>
        <v>8200</v>
      </c>
      <c r="AC193" s="143">
        <v>0</v>
      </c>
      <c r="AD193" s="144">
        <v>8200</v>
      </c>
      <c r="AE193" s="144"/>
      <c r="AF193" s="143">
        <f t="shared" si="80"/>
        <v>7000</v>
      </c>
      <c r="AG193" s="143"/>
      <c r="AH193" s="143"/>
      <c r="AI193" s="143">
        <f t="shared" si="81"/>
        <v>7000</v>
      </c>
      <c r="AJ193" s="143">
        <v>0</v>
      </c>
      <c r="AK193" s="144">
        <v>7000</v>
      </c>
      <c r="AL193" s="144"/>
      <c r="AM193" s="143">
        <v>5554.6550000000007</v>
      </c>
      <c r="AN193" s="143"/>
      <c r="AO193" s="143"/>
      <c r="AP193" s="143">
        <v>5554.6550000000007</v>
      </c>
      <c r="AQ193" s="143">
        <v>0</v>
      </c>
      <c r="AR193" s="143"/>
      <c r="AS193" s="144"/>
      <c r="AT193" s="144">
        <v>5554.6550000000007</v>
      </c>
      <c r="AU193" s="144"/>
      <c r="AV193" s="143">
        <f t="shared" si="82"/>
        <v>1445</v>
      </c>
      <c r="AW193" s="143"/>
      <c r="AX193" s="143"/>
      <c r="AY193" s="143">
        <f t="shared" si="83"/>
        <v>1445</v>
      </c>
      <c r="AZ193" s="143">
        <v>0</v>
      </c>
      <c r="BA193" s="144">
        <v>1445</v>
      </c>
      <c r="BB193" s="144"/>
      <c r="BC193" s="143">
        <v>0</v>
      </c>
      <c r="BD193" s="143"/>
      <c r="BE193" s="143"/>
      <c r="BF193" s="143">
        <v>0</v>
      </c>
      <c r="BG193" s="143">
        <v>0</v>
      </c>
      <c r="BH193" s="148">
        <v>0</v>
      </c>
      <c r="BI193" s="143"/>
      <c r="BJ193" s="148"/>
      <c r="BK193" s="148"/>
      <c r="BL193" s="148"/>
      <c r="BM193" s="148"/>
      <c r="BN193" s="148"/>
      <c r="BO193" s="148"/>
      <c r="BP193" s="148"/>
      <c r="BQ193" s="148"/>
      <c r="BR193" s="148"/>
      <c r="BS193" s="148"/>
      <c r="BT193" s="148">
        <v>1400</v>
      </c>
      <c r="BU193" s="148"/>
      <c r="BV193" s="148">
        <v>1400</v>
      </c>
      <c r="BW193" s="148"/>
      <c r="BX193" s="231"/>
      <c r="BY193" s="424"/>
    </row>
    <row r="194" spans="1:77" ht="49.5" customHeight="1" outlineLevel="1">
      <c r="A194" s="420">
        <v>27</v>
      </c>
      <c r="B194" s="421" t="s">
        <v>2818</v>
      </c>
      <c r="C194" s="420" t="s">
        <v>2796</v>
      </c>
      <c r="D194" s="420" t="s">
        <v>2732</v>
      </c>
      <c r="E194" s="422" t="s">
        <v>49</v>
      </c>
      <c r="F194" s="422" t="s">
        <v>125</v>
      </c>
      <c r="G194" s="150"/>
      <c r="H194" s="437" t="s">
        <v>2751</v>
      </c>
      <c r="I194" s="420" t="s">
        <v>906</v>
      </c>
      <c r="J194" s="420"/>
      <c r="K194" s="424"/>
      <c r="L194" s="420" t="s">
        <v>2819</v>
      </c>
      <c r="M194" s="440">
        <v>4500</v>
      </c>
      <c r="N194" s="424"/>
      <c r="O194" s="424"/>
      <c r="P194" s="149">
        <v>4066</v>
      </c>
      <c r="Q194" s="420"/>
      <c r="R194" s="437" t="s">
        <v>2751</v>
      </c>
      <c r="S194" s="420" t="s">
        <v>2730</v>
      </c>
      <c r="T194" s="421" t="s">
        <v>2732</v>
      </c>
      <c r="U194" s="143">
        <f t="shared" si="78"/>
        <v>0</v>
      </c>
      <c r="V194" s="421"/>
      <c r="W194" s="421"/>
      <c r="X194" s="421"/>
      <c r="Y194" s="143">
        <f t="shared" si="79"/>
        <v>4066</v>
      </c>
      <c r="Z194" s="143"/>
      <c r="AA194" s="143"/>
      <c r="AB194" s="143">
        <f t="shared" si="85"/>
        <v>4066</v>
      </c>
      <c r="AC194" s="143">
        <v>0</v>
      </c>
      <c r="AD194" s="144">
        <v>4066</v>
      </c>
      <c r="AE194" s="144"/>
      <c r="AF194" s="143">
        <f t="shared" si="80"/>
        <v>1766.546</v>
      </c>
      <c r="AG194" s="143"/>
      <c r="AH194" s="143"/>
      <c r="AI194" s="143">
        <f t="shared" si="81"/>
        <v>1766.546</v>
      </c>
      <c r="AJ194" s="143">
        <v>0</v>
      </c>
      <c r="AK194" s="144">
        <v>1766.546</v>
      </c>
      <c r="AL194" s="144"/>
      <c r="AM194" s="143">
        <v>1766.546</v>
      </c>
      <c r="AN194" s="143"/>
      <c r="AO194" s="143"/>
      <c r="AP194" s="143">
        <v>1766.546</v>
      </c>
      <c r="AQ194" s="143">
        <v>0</v>
      </c>
      <c r="AR194" s="143"/>
      <c r="AS194" s="144"/>
      <c r="AT194" s="144">
        <v>1766.546</v>
      </c>
      <c r="AU194" s="144"/>
      <c r="AV194" s="143">
        <f t="shared" si="82"/>
        <v>0</v>
      </c>
      <c r="AW194" s="143"/>
      <c r="AX194" s="143"/>
      <c r="AY194" s="143">
        <f t="shared" si="83"/>
        <v>0</v>
      </c>
      <c r="AZ194" s="143">
        <v>0</v>
      </c>
      <c r="BA194" s="144">
        <v>0</v>
      </c>
      <c r="BB194" s="144"/>
      <c r="BC194" s="143">
        <v>0</v>
      </c>
      <c r="BD194" s="143"/>
      <c r="BE194" s="143"/>
      <c r="BF194" s="143">
        <v>0</v>
      </c>
      <c r="BG194" s="143">
        <v>0</v>
      </c>
      <c r="BH194" s="148">
        <v>0</v>
      </c>
      <c r="BI194" s="143"/>
      <c r="BJ194" s="148"/>
      <c r="BK194" s="148"/>
      <c r="BL194" s="148"/>
      <c r="BM194" s="148"/>
      <c r="BN194" s="148"/>
      <c r="BO194" s="148"/>
      <c r="BP194" s="148"/>
      <c r="BQ194" s="148"/>
      <c r="BR194" s="148"/>
      <c r="BS194" s="148"/>
      <c r="BT194" s="148"/>
      <c r="BU194" s="148"/>
      <c r="BV194" s="148"/>
      <c r="BW194" s="148"/>
      <c r="BX194" s="231"/>
      <c r="BY194" s="424"/>
    </row>
    <row r="195" spans="1:77" ht="52.5" customHeight="1" outlineLevel="1">
      <c r="A195" s="420">
        <v>28</v>
      </c>
      <c r="B195" s="421" t="s">
        <v>2820</v>
      </c>
      <c r="C195" s="420" t="s">
        <v>2796</v>
      </c>
      <c r="D195" s="420" t="s">
        <v>2732</v>
      </c>
      <c r="E195" s="422" t="s">
        <v>49</v>
      </c>
      <c r="F195" s="422" t="s">
        <v>125</v>
      </c>
      <c r="G195" s="150">
        <v>7942562</v>
      </c>
      <c r="H195" s="437" t="s">
        <v>2751</v>
      </c>
      <c r="I195" s="420" t="s">
        <v>83</v>
      </c>
      <c r="J195" s="420"/>
      <c r="K195" s="424"/>
      <c r="L195" s="420" t="s">
        <v>2821</v>
      </c>
      <c r="M195" s="440">
        <v>1570</v>
      </c>
      <c r="N195" s="424"/>
      <c r="O195" s="424"/>
      <c r="P195" s="440">
        <v>1492</v>
      </c>
      <c r="Q195" s="420"/>
      <c r="R195" s="437" t="s">
        <v>2751</v>
      </c>
      <c r="S195" s="420" t="s">
        <v>2730</v>
      </c>
      <c r="T195" s="421" t="s">
        <v>2732</v>
      </c>
      <c r="U195" s="143">
        <f t="shared" si="78"/>
        <v>0</v>
      </c>
      <c r="V195" s="421"/>
      <c r="W195" s="421"/>
      <c r="X195" s="421"/>
      <c r="Y195" s="143">
        <f t="shared" si="79"/>
        <v>1526</v>
      </c>
      <c r="Z195" s="143"/>
      <c r="AA195" s="143"/>
      <c r="AB195" s="143">
        <f t="shared" si="85"/>
        <v>1526</v>
      </c>
      <c r="AC195" s="143">
        <v>0</v>
      </c>
      <c r="AD195" s="144">
        <v>1526</v>
      </c>
      <c r="AE195" s="144"/>
      <c r="AF195" s="143">
        <f t="shared" si="80"/>
        <v>1526.37</v>
      </c>
      <c r="AG195" s="143"/>
      <c r="AH195" s="143"/>
      <c r="AI195" s="143">
        <f t="shared" si="81"/>
        <v>1526.37</v>
      </c>
      <c r="AJ195" s="143">
        <v>0</v>
      </c>
      <c r="AK195" s="144">
        <v>1526.37</v>
      </c>
      <c r="AL195" s="144"/>
      <c r="AM195" s="143">
        <v>1191.3699999999999</v>
      </c>
      <c r="AN195" s="143"/>
      <c r="AO195" s="143"/>
      <c r="AP195" s="143">
        <v>1191.3699999999999</v>
      </c>
      <c r="AQ195" s="143">
        <v>0</v>
      </c>
      <c r="AR195" s="143"/>
      <c r="AS195" s="144"/>
      <c r="AT195" s="144">
        <v>1191.3699999999999</v>
      </c>
      <c r="AU195" s="144"/>
      <c r="AV195" s="143">
        <f t="shared" si="82"/>
        <v>0</v>
      </c>
      <c r="AW195" s="143"/>
      <c r="AX195" s="143"/>
      <c r="AY195" s="143">
        <f t="shared" si="83"/>
        <v>0</v>
      </c>
      <c r="AZ195" s="143">
        <v>0</v>
      </c>
      <c r="BA195" s="144">
        <v>0</v>
      </c>
      <c r="BB195" s="144"/>
      <c r="BC195" s="143">
        <v>0</v>
      </c>
      <c r="BD195" s="143"/>
      <c r="BE195" s="143"/>
      <c r="BF195" s="143">
        <v>0</v>
      </c>
      <c r="BG195" s="143">
        <v>0</v>
      </c>
      <c r="BH195" s="148">
        <v>0</v>
      </c>
      <c r="BI195" s="143"/>
      <c r="BJ195" s="148"/>
      <c r="BK195" s="148"/>
      <c r="BL195" s="148"/>
      <c r="BM195" s="148"/>
      <c r="BN195" s="148"/>
      <c r="BO195" s="148"/>
      <c r="BP195" s="148"/>
      <c r="BQ195" s="148"/>
      <c r="BR195" s="148"/>
      <c r="BS195" s="148"/>
      <c r="BT195" s="148"/>
      <c r="BU195" s="148"/>
      <c r="BV195" s="148"/>
      <c r="BW195" s="148"/>
      <c r="BX195" s="439">
        <v>335</v>
      </c>
      <c r="BY195" s="424"/>
    </row>
    <row r="196" spans="1:77" ht="46.5" customHeight="1" outlineLevel="1">
      <c r="A196" s="420">
        <v>29</v>
      </c>
      <c r="B196" s="421" t="s">
        <v>2822</v>
      </c>
      <c r="C196" s="420" t="s">
        <v>2417</v>
      </c>
      <c r="D196" s="420" t="s">
        <v>2732</v>
      </c>
      <c r="E196" s="422" t="s">
        <v>49</v>
      </c>
      <c r="F196" s="422" t="s">
        <v>55</v>
      </c>
      <c r="G196" s="150">
        <v>7963350</v>
      </c>
      <c r="H196" s="437" t="s">
        <v>2733</v>
      </c>
      <c r="I196" s="420" t="s">
        <v>76</v>
      </c>
      <c r="J196" s="420"/>
      <c r="K196" s="424"/>
      <c r="L196" s="420" t="s">
        <v>2823</v>
      </c>
      <c r="M196" s="152">
        <v>4494</v>
      </c>
      <c r="N196" s="424"/>
      <c r="O196" s="424"/>
      <c r="P196" s="152">
        <v>1994</v>
      </c>
      <c r="Q196" s="420"/>
      <c r="R196" s="437" t="s">
        <v>2733</v>
      </c>
      <c r="S196" s="420" t="s">
        <v>2730</v>
      </c>
      <c r="T196" s="421" t="s">
        <v>2732</v>
      </c>
      <c r="U196" s="143">
        <f t="shared" si="78"/>
        <v>0</v>
      </c>
      <c r="V196" s="421"/>
      <c r="W196" s="421"/>
      <c r="X196" s="421"/>
      <c r="Y196" s="143">
        <f t="shared" si="79"/>
        <v>4494</v>
      </c>
      <c r="Z196" s="143"/>
      <c r="AA196" s="143"/>
      <c r="AB196" s="143">
        <f t="shared" si="85"/>
        <v>4494</v>
      </c>
      <c r="AC196" s="143">
        <v>0</v>
      </c>
      <c r="AD196" s="144">
        <v>1994</v>
      </c>
      <c r="AE196" s="144">
        <v>2500</v>
      </c>
      <c r="AF196" s="143">
        <f t="shared" si="80"/>
        <v>4344</v>
      </c>
      <c r="AG196" s="143"/>
      <c r="AH196" s="143"/>
      <c r="AI196" s="143">
        <f t="shared" si="81"/>
        <v>4344</v>
      </c>
      <c r="AJ196" s="143">
        <v>0</v>
      </c>
      <c r="AK196" s="144">
        <v>1844</v>
      </c>
      <c r="AL196" s="144">
        <v>2500</v>
      </c>
      <c r="AM196" s="143">
        <v>4343.5789999999997</v>
      </c>
      <c r="AN196" s="143"/>
      <c r="AO196" s="143"/>
      <c r="AP196" s="143">
        <v>4343.5789999999997</v>
      </c>
      <c r="AQ196" s="143">
        <v>0</v>
      </c>
      <c r="AR196" s="143"/>
      <c r="AS196" s="144"/>
      <c r="AT196" s="144">
        <v>1843.579</v>
      </c>
      <c r="AU196" s="144">
        <v>2500</v>
      </c>
      <c r="AV196" s="143">
        <f t="shared" si="82"/>
        <v>0</v>
      </c>
      <c r="AW196" s="143"/>
      <c r="AX196" s="143"/>
      <c r="AY196" s="143">
        <f t="shared" si="83"/>
        <v>0</v>
      </c>
      <c r="AZ196" s="143">
        <v>0</v>
      </c>
      <c r="BA196" s="144">
        <v>0</v>
      </c>
      <c r="BB196" s="144"/>
      <c r="BC196" s="143">
        <v>0</v>
      </c>
      <c r="BD196" s="143"/>
      <c r="BE196" s="143"/>
      <c r="BF196" s="143">
        <v>0</v>
      </c>
      <c r="BG196" s="143">
        <v>0</v>
      </c>
      <c r="BH196" s="148">
        <v>0</v>
      </c>
      <c r="BI196" s="143"/>
      <c r="BJ196" s="148"/>
      <c r="BK196" s="148"/>
      <c r="BL196" s="148"/>
      <c r="BM196" s="148"/>
      <c r="BN196" s="148"/>
      <c r="BO196" s="148"/>
      <c r="BP196" s="148"/>
      <c r="BQ196" s="148"/>
      <c r="BR196" s="148"/>
      <c r="BS196" s="148"/>
      <c r="BT196" s="148"/>
      <c r="BU196" s="148"/>
      <c r="BV196" s="148"/>
      <c r="BW196" s="148"/>
      <c r="BX196" s="231"/>
      <c r="BY196" s="424"/>
    </row>
    <row r="197" spans="1:77" ht="61.5" outlineLevel="1">
      <c r="A197" s="420">
        <v>30</v>
      </c>
      <c r="B197" s="421" t="s">
        <v>2824</v>
      </c>
      <c r="C197" s="428" t="s">
        <v>2350</v>
      </c>
      <c r="D197" s="420" t="s">
        <v>2732</v>
      </c>
      <c r="E197" s="422" t="s">
        <v>49</v>
      </c>
      <c r="F197" s="420" t="s">
        <v>2690</v>
      </c>
      <c r="G197" s="142">
        <v>7775361</v>
      </c>
      <c r="H197" s="420" t="s">
        <v>2825</v>
      </c>
      <c r="I197" s="420" t="s">
        <v>2565</v>
      </c>
      <c r="J197" s="422">
        <v>2022</v>
      </c>
      <c r="K197" s="424"/>
      <c r="L197" s="420" t="s">
        <v>2826</v>
      </c>
      <c r="M197" s="149">
        <v>70838</v>
      </c>
      <c r="N197" s="424"/>
      <c r="O197" s="424"/>
      <c r="P197" s="149">
        <v>70838</v>
      </c>
      <c r="Q197" s="420" t="s">
        <v>2827</v>
      </c>
      <c r="R197" s="420" t="s">
        <v>2825</v>
      </c>
      <c r="S197" s="420" t="s">
        <v>2730</v>
      </c>
      <c r="T197" s="421" t="s">
        <v>2732</v>
      </c>
      <c r="U197" s="143">
        <f t="shared" si="78"/>
        <v>0</v>
      </c>
      <c r="V197" s="421"/>
      <c r="W197" s="421"/>
      <c r="X197" s="421"/>
      <c r="Y197" s="143">
        <f t="shared" si="79"/>
        <v>50000</v>
      </c>
      <c r="Z197" s="143"/>
      <c r="AA197" s="143"/>
      <c r="AB197" s="143">
        <f t="shared" si="85"/>
        <v>50000</v>
      </c>
      <c r="AC197" s="143">
        <v>0</v>
      </c>
      <c r="AD197" s="144">
        <v>50000</v>
      </c>
      <c r="AE197" s="144"/>
      <c r="AF197" s="143">
        <f t="shared" si="80"/>
        <v>23849</v>
      </c>
      <c r="AG197" s="143"/>
      <c r="AH197" s="143"/>
      <c r="AI197" s="143">
        <f t="shared" si="81"/>
        <v>23849</v>
      </c>
      <c r="AJ197" s="143">
        <v>0</v>
      </c>
      <c r="AK197" s="144">
        <v>23849</v>
      </c>
      <c r="AL197" s="144"/>
      <c r="AM197" s="143">
        <v>16541.375970000001</v>
      </c>
      <c r="AN197" s="143"/>
      <c r="AO197" s="143"/>
      <c r="AP197" s="143">
        <v>16541.375970000001</v>
      </c>
      <c r="AQ197" s="143">
        <v>0</v>
      </c>
      <c r="AR197" s="143"/>
      <c r="AS197" s="144"/>
      <c r="AT197" s="144">
        <v>16541.375970000001</v>
      </c>
      <c r="AU197" s="144"/>
      <c r="AV197" s="143">
        <f t="shared" si="82"/>
        <v>6340</v>
      </c>
      <c r="AW197" s="143"/>
      <c r="AX197" s="143"/>
      <c r="AY197" s="143">
        <f t="shared" si="83"/>
        <v>6340</v>
      </c>
      <c r="AZ197" s="143">
        <v>0</v>
      </c>
      <c r="BA197" s="144">
        <v>6340</v>
      </c>
      <c r="BB197" s="144"/>
      <c r="BC197" s="143">
        <v>2237.738077</v>
      </c>
      <c r="BD197" s="143"/>
      <c r="BE197" s="143"/>
      <c r="BF197" s="143">
        <v>2237.738077</v>
      </c>
      <c r="BG197" s="143">
        <v>0</v>
      </c>
      <c r="BH197" s="148">
        <v>0</v>
      </c>
      <c r="BI197" s="143"/>
      <c r="BJ197" s="148">
        <v>2237.738077</v>
      </c>
      <c r="BK197" s="148"/>
      <c r="BL197" s="148">
        <v>966.87050399999998</v>
      </c>
      <c r="BM197" s="148"/>
      <c r="BN197" s="148"/>
      <c r="BO197" s="144">
        <v>966.87050399999998</v>
      </c>
      <c r="BP197" s="148">
        <v>78.949495999999996</v>
      </c>
      <c r="BQ197" s="148"/>
      <c r="BR197" s="148"/>
      <c r="BS197" s="144">
        <v>78.949495999999996</v>
      </c>
      <c r="BT197" s="144">
        <v>44000</v>
      </c>
      <c r="BU197" s="144"/>
      <c r="BV197" s="144">
        <v>44000</v>
      </c>
      <c r="BW197" s="144"/>
      <c r="BX197" s="461"/>
      <c r="BY197" s="144"/>
    </row>
    <row r="198" spans="1:77" ht="30.75" outlineLevel="1">
      <c r="A198" s="420">
        <v>31</v>
      </c>
      <c r="B198" s="442" t="s">
        <v>2828</v>
      </c>
      <c r="C198" s="420" t="s">
        <v>2829</v>
      </c>
      <c r="D198" s="420" t="s">
        <v>2732</v>
      </c>
      <c r="E198" s="422" t="s">
        <v>49</v>
      </c>
      <c r="F198" s="422" t="s">
        <v>125</v>
      </c>
      <c r="G198" s="151"/>
      <c r="H198" s="437" t="s">
        <v>2751</v>
      </c>
      <c r="I198" s="420" t="s">
        <v>1206</v>
      </c>
      <c r="J198" s="420"/>
      <c r="K198" s="424"/>
      <c r="L198" s="420" t="s">
        <v>2830</v>
      </c>
      <c r="M198" s="152">
        <v>2320</v>
      </c>
      <c r="N198" s="424"/>
      <c r="O198" s="424"/>
      <c r="P198" s="152">
        <v>2320</v>
      </c>
      <c r="Q198" s="420"/>
      <c r="R198" s="437" t="s">
        <v>2751</v>
      </c>
      <c r="S198" s="420" t="s">
        <v>2730</v>
      </c>
      <c r="T198" s="421" t="s">
        <v>2732</v>
      </c>
      <c r="U198" s="143">
        <f t="shared" si="78"/>
        <v>0</v>
      </c>
      <c r="V198" s="421"/>
      <c r="W198" s="421"/>
      <c r="X198" s="421"/>
      <c r="Y198" s="143">
        <f t="shared" si="79"/>
        <v>2320</v>
      </c>
      <c r="Z198" s="143"/>
      <c r="AA198" s="143"/>
      <c r="AB198" s="143">
        <f t="shared" si="85"/>
        <v>2320</v>
      </c>
      <c r="AC198" s="143">
        <v>0</v>
      </c>
      <c r="AD198" s="144">
        <v>2320</v>
      </c>
      <c r="AE198" s="144"/>
      <c r="AF198" s="143">
        <f t="shared" si="80"/>
        <v>1000</v>
      </c>
      <c r="AG198" s="143"/>
      <c r="AH198" s="143"/>
      <c r="AI198" s="143">
        <f t="shared" si="81"/>
        <v>1000</v>
      </c>
      <c r="AJ198" s="143">
        <v>0</v>
      </c>
      <c r="AK198" s="144">
        <v>1000</v>
      </c>
      <c r="AL198" s="144"/>
      <c r="AM198" s="143">
        <v>0</v>
      </c>
      <c r="AN198" s="143"/>
      <c r="AO198" s="143"/>
      <c r="AP198" s="143">
        <v>0</v>
      </c>
      <c r="AQ198" s="143">
        <v>0</v>
      </c>
      <c r="AR198" s="143"/>
      <c r="AS198" s="144"/>
      <c r="AT198" s="144">
        <v>0</v>
      </c>
      <c r="AU198" s="144"/>
      <c r="AV198" s="143">
        <f t="shared" si="82"/>
        <v>1000</v>
      </c>
      <c r="AW198" s="143"/>
      <c r="AX198" s="143"/>
      <c r="AY198" s="143">
        <f t="shared" si="83"/>
        <v>1000</v>
      </c>
      <c r="AZ198" s="143">
        <v>0</v>
      </c>
      <c r="BA198" s="144">
        <v>1000</v>
      </c>
      <c r="BB198" s="144"/>
      <c r="BC198" s="143">
        <v>0</v>
      </c>
      <c r="BD198" s="143"/>
      <c r="BE198" s="143"/>
      <c r="BF198" s="143">
        <v>0</v>
      </c>
      <c r="BG198" s="143">
        <v>0</v>
      </c>
      <c r="BH198" s="148">
        <v>0</v>
      </c>
      <c r="BI198" s="143"/>
      <c r="BJ198" s="148"/>
      <c r="BK198" s="148"/>
      <c r="BL198" s="148">
        <v>0</v>
      </c>
      <c r="BM198" s="148"/>
      <c r="BN198" s="148"/>
      <c r="BO198" s="148"/>
      <c r="BP198" s="148">
        <v>0</v>
      </c>
      <c r="BQ198" s="148"/>
      <c r="BR198" s="148"/>
      <c r="BS198" s="148"/>
      <c r="BT198" s="148"/>
      <c r="BU198" s="148"/>
      <c r="BV198" s="148"/>
      <c r="BW198" s="148"/>
      <c r="BX198" s="231"/>
      <c r="BY198" s="424"/>
    </row>
    <row r="199" spans="1:77" ht="63" customHeight="1" outlineLevel="1">
      <c r="A199" s="420">
        <v>32</v>
      </c>
      <c r="B199" s="442" t="s">
        <v>2831</v>
      </c>
      <c r="C199" s="428" t="s">
        <v>2796</v>
      </c>
      <c r="D199" s="420" t="s">
        <v>2732</v>
      </c>
      <c r="E199" s="422" t="s">
        <v>49</v>
      </c>
      <c r="F199" s="422" t="s">
        <v>55</v>
      </c>
      <c r="G199" s="142">
        <v>7902444</v>
      </c>
      <c r="H199" s="437" t="s">
        <v>2751</v>
      </c>
      <c r="I199" s="420" t="s">
        <v>891</v>
      </c>
      <c r="J199" s="420"/>
      <c r="K199" s="424"/>
      <c r="L199" s="436" t="s">
        <v>2832</v>
      </c>
      <c r="M199" s="146">
        <v>1176</v>
      </c>
      <c r="N199" s="424"/>
      <c r="O199" s="424"/>
      <c r="P199" s="424"/>
      <c r="Q199" s="420"/>
      <c r="R199" s="437" t="s">
        <v>2751</v>
      </c>
      <c r="S199" s="420" t="s">
        <v>2730</v>
      </c>
      <c r="T199" s="421" t="s">
        <v>2732</v>
      </c>
      <c r="U199" s="143">
        <f t="shared" si="78"/>
        <v>0</v>
      </c>
      <c r="V199" s="421"/>
      <c r="W199" s="421"/>
      <c r="X199" s="421"/>
      <c r="Y199" s="143">
        <f t="shared" si="79"/>
        <v>1142</v>
      </c>
      <c r="Z199" s="143"/>
      <c r="AA199" s="143"/>
      <c r="AB199" s="143">
        <f t="shared" si="85"/>
        <v>1142</v>
      </c>
      <c r="AC199" s="143">
        <v>0</v>
      </c>
      <c r="AD199" s="144"/>
      <c r="AE199" s="144">
        <v>1142</v>
      </c>
      <c r="AF199" s="143">
        <f t="shared" si="80"/>
        <v>1142</v>
      </c>
      <c r="AG199" s="143"/>
      <c r="AH199" s="143"/>
      <c r="AI199" s="143">
        <f t="shared" si="81"/>
        <v>1142</v>
      </c>
      <c r="AJ199" s="143">
        <v>0</v>
      </c>
      <c r="AK199" s="144"/>
      <c r="AL199" s="144">
        <v>1142</v>
      </c>
      <c r="AM199" s="143">
        <v>1141.5247999999999</v>
      </c>
      <c r="AN199" s="143"/>
      <c r="AO199" s="143"/>
      <c r="AP199" s="143">
        <v>1141.5247999999999</v>
      </c>
      <c r="AQ199" s="143">
        <v>0</v>
      </c>
      <c r="AR199" s="144"/>
      <c r="AS199" s="144"/>
      <c r="AT199" s="144"/>
      <c r="AU199" s="144">
        <v>1141.5247999999999</v>
      </c>
      <c r="AV199" s="143">
        <f t="shared" si="82"/>
        <v>0</v>
      </c>
      <c r="AW199" s="143"/>
      <c r="AX199" s="143"/>
      <c r="AY199" s="143">
        <f t="shared" si="83"/>
        <v>0</v>
      </c>
      <c r="AZ199" s="143">
        <v>0</v>
      </c>
      <c r="BA199" s="144"/>
      <c r="BB199" s="144"/>
      <c r="BC199" s="143">
        <v>0</v>
      </c>
      <c r="BD199" s="143"/>
      <c r="BE199" s="143"/>
      <c r="BF199" s="143">
        <v>0</v>
      </c>
      <c r="BG199" s="143">
        <v>0</v>
      </c>
      <c r="BH199" s="148">
        <v>0</v>
      </c>
      <c r="BI199" s="143"/>
      <c r="BJ199" s="148"/>
      <c r="BK199" s="148"/>
      <c r="BL199" s="148"/>
      <c r="BM199" s="148"/>
      <c r="BN199" s="148"/>
      <c r="BO199" s="148"/>
      <c r="BP199" s="148"/>
      <c r="BQ199" s="148"/>
      <c r="BR199" s="148"/>
      <c r="BS199" s="148"/>
      <c r="BT199" s="148"/>
      <c r="BU199" s="148"/>
      <c r="BV199" s="148"/>
      <c r="BW199" s="148"/>
      <c r="BX199" s="231"/>
      <c r="BY199" s="424"/>
    </row>
    <row r="200" spans="1:77" ht="35.25" customHeight="1" outlineLevel="1">
      <c r="A200" s="420">
        <v>33</v>
      </c>
      <c r="B200" s="421" t="s">
        <v>2833</v>
      </c>
      <c r="C200" s="428" t="s">
        <v>2748</v>
      </c>
      <c r="D200" s="420" t="s">
        <v>2732</v>
      </c>
      <c r="E200" s="422" t="s">
        <v>49</v>
      </c>
      <c r="F200" s="422" t="s">
        <v>125</v>
      </c>
      <c r="G200" s="150">
        <v>8035644</v>
      </c>
      <c r="H200" s="437" t="s">
        <v>2733</v>
      </c>
      <c r="I200" s="420" t="s">
        <v>910</v>
      </c>
      <c r="J200" s="420"/>
      <c r="K200" s="424"/>
      <c r="L200" s="420" t="s">
        <v>2834</v>
      </c>
      <c r="M200" s="453">
        <v>845</v>
      </c>
      <c r="N200" s="424"/>
      <c r="O200" s="424"/>
      <c r="P200" s="424"/>
      <c r="Q200" s="420"/>
      <c r="R200" s="437" t="s">
        <v>2733</v>
      </c>
      <c r="S200" s="420" t="s">
        <v>2730</v>
      </c>
      <c r="T200" s="421" t="s">
        <v>2732</v>
      </c>
      <c r="U200" s="143">
        <f t="shared" si="78"/>
        <v>0</v>
      </c>
      <c r="V200" s="421"/>
      <c r="W200" s="421"/>
      <c r="X200" s="421"/>
      <c r="Y200" s="143">
        <f t="shared" si="79"/>
        <v>600</v>
      </c>
      <c r="Z200" s="143"/>
      <c r="AA200" s="143"/>
      <c r="AB200" s="143">
        <f t="shared" si="85"/>
        <v>600</v>
      </c>
      <c r="AC200" s="143">
        <v>0</v>
      </c>
      <c r="AD200" s="144"/>
      <c r="AE200" s="144">
        <v>600</v>
      </c>
      <c r="AF200" s="143">
        <f t="shared" si="80"/>
        <v>600</v>
      </c>
      <c r="AG200" s="143"/>
      <c r="AH200" s="143"/>
      <c r="AI200" s="143">
        <f t="shared" si="81"/>
        <v>600</v>
      </c>
      <c r="AJ200" s="143">
        <v>0</v>
      </c>
      <c r="AK200" s="144"/>
      <c r="AL200" s="144">
        <v>600</v>
      </c>
      <c r="AM200" s="143">
        <v>593.01089999999999</v>
      </c>
      <c r="AN200" s="143"/>
      <c r="AO200" s="143"/>
      <c r="AP200" s="143">
        <v>593.01089999999999</v>
      </c>
      <c r="AQ200" s="143">
        <v>0</v>
      </c>
      <c r="AR200" s="144"/>
      <c r="AS200" s="144"/>
      <c r="AT200" s="144"/>
      <c r="AU200" s="144">
        <v>593.01089999999999</v>
      </c>
      <c r="AV200" s="143">
        <f t="shared" si="82"/>
        <v>0</v>
      </c>
      <c r="AW200" s="143"/>
      <c r="AX200" s="143"/>
      <c r="AY200" s="143">
        <f t="shared" si="83"/>
        <v>0</v>
      </c>
      <c r="AZ200" s="143">
        <v>0</v>
      </c>
      <c r="BA200" s="144"/>
      <c r="BB200" s="144"/>
      <c r="BC200" s="143">
        <v>0</v>
      </c>
      <c r="BD200" s="143"/>
      <c r="BE200" s="143"/>
      <c r="BF200" s="143">
        <v>0</v>
      </c>
      <c r="BG200" s="143">
        <v>0</v>
      </c>
      <c r="BH200" s="148">
        <v>0</v>
      </c>
      <c r="BI200" s="143"/>
      <c r="BJ200" s="148"/>
      <c r="BK200" s="153"/>
      <c r="BL200" s="153"/>
      <c r="BM200" s="153"/>
      <c r="BN200" s="153"/>
      <c r="BO200" s="153"/>
      <c r="BP200" s="153"/>
      <c r="BQ200" s="153"/>
      <c r="BR200" s="153"/>
      <c r="BS200" s="153"/>
      <c r="BT200" s="153"/>
      <c r="BU200" s="153"/>
      <c r="BV200" s="153"/>
      <c r="BW200" s="153"/>
      <c r="BX200" s="232"/>
      <c r="BY200" s="426"/>
    </row>
    <row r="201" spans="1:77" ht="36" customHeight="1" outlineLevel="1">
      <c r="A201" s="420">
        <v>34</v>
      </c>
      <c r="B201" s="435" t="s">
        <v>2835</v>
      </c>
      <c r="C201" s="428" t="s">
        <v>2350</v>
      </c>
      <c r="D201" s="420" t="s">
        <v>2732</v>
      </c>
      <c r="E201" s="422" t="s">
        <v>49</v>
      </c>
      <c r="F201" s="422" t="s">
        <v>55</v>
      </c>
      <c r="G201" s="464">
        <v>7917917</v>
      </c>
      <c r="H201" s="420" t="s">
        <v>2730</v>
      </c>
      <c r="I201" s="420" t="s">
        <v>76</v>
      </c>
      <c r="J201" s="422">
        <v>2022</v>
      </c>
      <c r="K201" s="424"/>
      <c r="L201" s="420" t="s">
        <v>2836</v>
      </c>
      <c r="M201" s="146">
        <v>3700</v>
      </c>
      <c r="N201" s="424"/>
      <c r="O201" s="146">
        <v>3700</v>
      </c>
      <c r="P201" s="424"/>
      <c r="Q201" s="420"/>
      <c r="R201" s="420" t="s">
        <v>2730</v>
      </c>
      <c r="S201" s="420" t="s">
        <v>2730</v>
      </c>
      <c r="T201" s="421" t="s">
        <v>2732</v>
      </c>
      <c r="U201" s="143">
        <f t="shared" si="78"/>
        <v>0</v>
      </c>
      <c r="V201" s="421"/>
      <c r="W201" s="421"/>
      <c r="X201" s="421"/>
      <c r="Y201" s="143">
        <f t="shared" si="79"/>
        <v>3491</v>
      </c>
      <c r="Z201" s="144"/>
      <c r="AA201" s="145"/>
      <c r="AB201" s="143">
        <f t="shared" si="85"/>
        <v>3491</v>
      </c>
      <c r="AC201" s="143">
        <v>3491</v>
      </c>
      <c r="AD201" s="144"/>
      <c r="AE201" s="144"/>
      <c r="AF201" s="143">
        <f t="shared" si="80"/>
        <v>491</v>
      </c>
      <c r="AG201" s="144"/>
      <c r="AH201" s="145"/>
      <c r="AI201" s="143">
        <f t="shared" si="81"/>
        <v>491</v>
      </c>
      <c r="AJ201" s="143">
        <v>491</v>
      </c>
      <c r="AK201" s="144"/>
      <c r="AL201" s="144"/>
      <c r="AM201" s="143">
        <v>491</v>
      </c>
      <c r="AN201" s="144"/>
      <c r="AO201" s="144"/>
      <c r="AP201" s="143">
        <v>491</v>
      </c>
      <c r="AQ201" s="143">
        <v>491</v>
      </c>
      <c r="AR201" s="144">
        <v>491</v>
      </c>
      <c r="AS201" s="144"/>
      <c r="AT201" s="144"/>
      <c r="AU201" s="144"/>
      <c r="AV201" s="143">
        <f t="shared" si="82"/>
        <v>3000</v>
      </c>
      <c r="AW201" s="144"/>
      <c r="AX201" s="144"/>
      <c r="AY201" s="143">
        <f t="shared" si="83"/>
        <v>3000</v>
      </c>
      <c r="AZ201" s="143">
        <v>3000</v>
      </c>
      <c r="BA201" s="144"/>
      <c r="BB201" s="144"/>
      <c r="BC201" s="143">
        <v>0</v>
      </c>
      <c r="BD201" s="144"/>
      <c r="BE201" s="144"/>
      <c r="BF201" s="148"/>
      <c r="BG201" s="143">
        <v>3000</v>
      </c>
      <c r="BH201" s="148">
        <v>3000</v>
      </c>
      <c r="BI201" s="143"/>
      <c r="BJ201" s="148"/>
      <c r="BK201" s="153"/>
      <c r="BL201" s="153">
        <v>0</v>
      </c>
      <c r="BM201" s="153"/>
      <c r="BN201" s="153"/>
      <c r="BO201" s="153"/>
      <c r="BP201" s="153">
        <v>0</v>
      </c>
      <c r="BQ201" s="153"/>
      <c r="BR201" s="153"/>
      <c r="BS201" s="153"/>
      <c r="BT201" s="153"/>
      <c r="BU201" s="153"/>
      <c r="BV201" s="153"/>
      <c r="BW201" s="153"/>
      <c r="BX201" s="232"/>
      <c r="BY201" s="155"/>
    </row>
    <row r="202" spans="1:77" ht="52.5" customHeight="1" outlineLevel="1">
      <c r="A202" s="420">
        <v>35</v>
      </c>
      <c r="B202" s="421" t="s">
        <v>2837</v>
      </c>
      <c r="C202" s="421" t="s">
        <v>2793</v>
      </c>
      <c r="D202" s="420" t="s">
        <v>2732</v>
      </c>
      <c r="E202" s="422" t="s">
        <v>49</v>
      </c>
      <c r="F202" s="422" t="s">
        <v>1035</v>
      </c>
      <c r="G202" s="149">
        <v>7970126</v>
      </c>
      <c r="H202" s="420" t="s">
        <v>2730</v>
      </c>
      <c r="I202" s="420" t="s">
        <v>906</v>
      </c>
      <c r="J202" s="420"/>
      <c r="K202" s="424"/>
      <c r="L202" s="420" t="s">
        <v>2838</v>
      </c>
      <c r="M202" s="149">
        <v>1400</v>
      </c>
      <c r="N202" s="424"/>
      <c r="O202" s="149">
        <v>1400</v>
      </c>
      <c r="P202" s="424"/>
      <c r="Q202" s="420"/>
      <c r="R202" s="420" t="s">
        <v>2730</v>
      </c>
      <c r="S202" s="420" t="s">
        <v>2730</v>
      </c>
      <c r="T202" s="421" t="s">
        <v>2732</v>
      </c>
      <c r="U202" s="143">
        <f t="shared" si="78"/>
        <v>0</v>
      </c>
      <c r="V202" s="421"/>
      <c r="W202" s="421"/>
      <c r="X202" s="421"/>
      <c r="Y202" s="143">
        <f t="shared" si="79"/>
        <v>1400</v>
      </c>
      <c r="Z202" s="144"/>
      <c r="AA202" s="144"/>
      <c r="AB202" s="143">
        <f t="shared" si="85"/>
        <v>1400</v>
      </c>
      <c r="AC202" s="143">
        <v>0</v>
      </c>
      <c r="AD202" s="144"/>
      <c r="AE202" s="144">
        <v>1400</v>
      </c>
      <c r="AF202" s="143">
        <f t="shared" si="80"/>
        <v>1400</v>
      </c>
      <c r="AG202" s="144"/>
      <c r="AH202" s="145"/>
      <c r="AI202" s="143">
        <f t="shared" si="81"/>
        <v>1400</v>
      </c>
      <c r="AJ202" s="143">
        <v>0</v>
      </c>
      <c r="AK202" s="144"/>
      <c r="AL202" s="145">
        <v>1400</v>
      </c>
      <c r="AM202" s="143">
        <v>1357.3307</v>
      </c>
      <c r="AN202" s="144"/>
      <c r="AO202" s="144">
        <v>1357.3307</v>
      </c>
      <c r="AP202" s="143">
        <v>0</v>
      </c>
      <c r="AQ202" s="143">
        <v>0</v>
      </c>
      <c r="AR202" s="144"/>
      <c r="AS202" s="144"/>
      <c r="AT202" s="144"/>
      <c r="AU202" s="144"/>
      <c r="AV202" s="143">
        <f t="shared" si="82"/>
        <v>0</v>
      </c>
      <c r="AW202" s="144"/>
      <c r="AX202" s="144"/>
      <c r="AY202" s="143">
        <f t="shared" si="83"/>
        <v>0</v>
      </c>
      <c r="AZ202" s="143">
        <v>0</v>
      </c>
      <c r="BA202" s="144"/>
      <c r="BB202" s="144"/>
      <c r="BC202" s="143">
        <v>0</v>
      </c>
      <c r="BD202" s="144"/>
      <c r="BE202" s="144"/>
      <c r="BF202" s="148"/>
      <c r="BG202" s="143">
        <v>0</v>
      </c>
      <c r="BH202" s="148">
        <v>0</v>
      </c>
      <c r="BI202" s="143"/>
      <c r="BJ202" s="148"/>
      <c r="BK202" s="153"/>
      <c r="BL202" s="153">
        <v>0</v>
      </c>
      <c r="BM202" s="153"/>
      <c r="BN202" s="153"/>
      <c r="BO202" s="153"/>
      <c r="BP202" s="153">
        <v>0</v>
      </c>
      <c r="BQ202" s="153"/>
      <c r="BR202" s="153"/>
      <c r="BS202" s="153"/>
      <c r="BT202" s="153"/>
      <c r="BU202" s="153"/>
      <c r="BV202" s="153"/>
      <c r="BW202" s="153"/>
      <c r="BX202" s="232"/>
      <c r="BY202" s="421"/>
    </row>
    <row r="203" spans="1:77" s="457" customFormat="1" ht="41.25" customHeight="1" outlineLevel="1">
      <c r="A203" s="430" t="s">
        <v>45</v>
      </c>
      <c r="B203" s="456" t="s">
        <v>2513</v>
      </c>
      <c r="C203" s="418"/>
      <c r="D203" s="418"/>
      <c r="E203" s="418"/>
      <c r="F203" s="418"/>
      <c r="G203" s="418"/>
      <c r="H203" s="419">
        <f>SUM(H227:H229)</f>
        <v>0</v>
      </c>
      <c r="I203" s="418"/>
      <c r="J203" s="419"/>
      <c r="K203" s="419"/>
      <c r="L203" s="419"/>
      <c r="M203" s="419">
        <f>SUM(M204:M213)</f>
        <v>121650</v>
      </c>
      <c r="N203" s="419">
        <f t="shared" ref="N203:BY203" si="86">SUM(N204:N213)</f>
        <v>0</v>
      </c>
      <c r="O203" s="419">
        <f t="shared" si="86"/>
        <v>0</v>
      </c>
      <c r="P203" s="419">
        <f t="shared" si="86"/>
        <v>99974</v>
      </c>
      <c r="Q203" s="419">
        <f t="shared" si="86"/>
        <v>0</v>
      </c>
      <c r="R203" s="419">
        <f t="shared" si="86"/>
        <v>0</v>
      </c>
      <c r="S203" s="419">
        <f t="shared" si="86"/>
        <v>0</v>
      </c>
      <c r="T203" s="419">
        <f t="shared" si="86"/>
        <v>0</v>
      </c>
      <c r="U203" s="419">
        <f t="shared" si="86"/>
        <v>0</v>
      </c>
      <c r="V203" s="419">
        <f t="shared" si="86"/>
        <v>0</v>
      </c>
      <c r="W203" s="419">
        <f t="shared" si="86"/>
        <v>0</v>
      </c>
      <c r="X203" s="419">
        <f t="shared" si="86"/>
        <v>0</v>
      </c>
      <c r="Y203" s="419">
        <f t="shared" si="86"/>
        <v>45105</v>
      </c>
      <c r="Z203" s="419">
        <f t="shared" si="86"/>
        <v>0</v>
      </c>
      <c r="AA203" s="419">
        <f t="shared" si="86"/>
        <v>0</v>
      </c>
      <c r="AB203" s="419">
        <f t="shared" si="86"/>
        <v>45105</v>
      </c>
      <c r="AC203" s="419">
        <f t="shared" si="86"/>
        <v>0</v>
      </c>
      <c r="AD203" s="419">
        <f t="shared" si="86"/>
        <v>45105</v>
      </c>
      <c r="AE203" s="419">
        <f t="shared" si="86"/>
        <v>0</v>
      </c>
      <c r="AF203" s="419">
        <f t="shared" si="86"/>
        <v>0</v>
      </c>
      <c r="AG203" s="419">
        <f t="shared" si="86"/>
        <v>0</v>
      </c>
      <c r="AH203" s="419">
        <f t="shared" si="86"/>
        <v>0</v>
      </c>
      <c r="AI203" s="419">
        <f t="shared" si="86"/>
        <v>0</v>
      </c>
      <c r="AJ203" s="419">
        <f t="shared" si="86"/>
        <v>0</v>
      </c>
      <c r="AK203" s="419">
        <f t="shared" si="86"/>
        <v>0</v>
      </c>
      <c r="AL203" s="419">
        <f t="shared" si="86"/>
        <v>0</v>
      </c>
      <c r="AM203" s="419">
        <f t="shared" si="86"/>
        <v>0</v>
      </c>
      <c r="AN203" s="419">
        <f t="shared" si="86"/>
        <v>0</v>
      </c>
      <c r="AO203" s="419">
        <f t="shared" si="86"/>
        <v>0</v>
      </c>
      <c r="AP203" s="419">
        <f t="shared" si="86"/>
        <v>0</v>
      </c>
      <c r="AQ203" s="419">
        <f t="shared" si="86"/>
        <v>0</v>
      </c>
      <c r="AR203" s="419">
        <f t="shared" si="86"/>
        <v>0</v>
      </c>
      <c r="AS203" s="419">
        <f t="shared" si="86"/>
        <v>0</v>
      </c>
      <c r="AT203" s="419">
        <f t="shared" si="86"/>
        <v>0</v>
      </c>
      <c r="AU203" s="419">
        <f t="shared" si="86"/>
        <v>0</v>
      </c>
      <c r="AV203" s="419">
        <f t="shared" si="86"/>
        <v>0</v>
      </c>
      <c r="AW203" s="419">
        <f t="shared" si="86"/>
        <v>0</v>
      </c>
      <c r="AX203" s="419">
        <f t="shared" si="86"/>
        <v>0</v>
      </c>
      <c r="AY203" s="419">
        <f t="shared" si="86"/>
        <v>0</v>
      </c>
      <c r="AZ203" s="419">
        <f t="shared" si="86"/>
        <v>0</v>
      </c>
      <c r="BA203" s="419">
        <f t="shared" si="86"/>
        <v>0</v>
      </c>
      <c r="BB203" s="419">
        <f t="shared" si="86"/>
        <v>0</v>
      </c>
      <c r="BC203" s="419">
        <f t="shared" si="86"/>
        <v>0</v>
      </c>
      <c r="BD203" s="419">
        <f t="shared" si="86"/>
        <v>0</v>
      </c>
      <c r="BE203" s="419">
        <f t="shared" si="86"/>
        <v>0</v>
      </c>
      <c r="BF203" s="419">
        <f t="shared" si="86"/>
        <v>0</v>
      </c>
      <c r="BG203" s="419">
        <f t="shared" si="86"/>
        <v>0</v>
      </c>
      <c r="BH203" s="419">
        <f t="shared" si="86"/>
        <v>0</v>
      </c>
      <c r="BI203" s="419">
        <f t="shared" si="86"/>
        <v>0</v>
      </c>
      <c r="BJ203" s="419">
        <f t="shared" si="86"/>
        <v>0</v>
      </c>
      <c r="BK203" s="419">
        <f t="shared" si="86"/>
        <v>0</v>
      </c>
      <c r="BL203" s="419">
        <f t="shared" si="86"/>
        <v>0</v>
      </c>
      <c r="BM203" s="419">
        <f t="shared" si="86"/>
        <v>0</v>
      </c>
      <c r="BN203" s="419">
        <f t="shared" si="86"/>
        <v>0</v>
      </c>
      <c r="BO203" s="419">
        <f t="shared" si="86"/>
        <v>0</v>
      </c>
      <c r="BP203" s="419">
        <f t="shared" si="86"/>
        <v>0</v>
      </c>
      <c r="BQ203" s="419">
        <f t="shared" si="86"/>
        <v>0</v>
      </c>
      <c r="BR203" s="419">
        <f t="shared" si="86"/>
        <v>0</v>
      </c>
      <c r="BS203" s="419">
        <f t="shared" si="86"/>
        <v>0</v>
      </c>
      <c r="BT203" s="419">
        <f t="shared" si="86"/>
        <v>0</v>
      </c>
      <c r="BU203" s="419">
        <f t="shared" si="86"/>
        <v>0</v>
      </c>
      <c r="BV203" s="419">
        <f t="shared" si="86"/>
        <v>0</v>
      </c>
      <c r="BW203" s="419">
        <f t="shared" si="86"/>
        <v>0</v>
      </c>
      <c r="BX203" s="454"/>
      <c r="BY203" s="419">
        <f t="shared" si="86"/>
        <v>0</v>
      </c>
    </row>
    <row r="204" spans="1:77" ht="51" customHeight="1" outlineLevel="1">
      <c r="A204" s="420">
        <v>1</v>
      </c>
      <c r="B204" s="447" t="s">
        <v>2839</v>
      </c>
      <c r="C204" s="428" t="s">
        <v>2770</v>
      </c>
      <c r="D204" s="420" t="s">
        <v>2732</v>
      </c>
      <c r="E204" s="422" t="s">
        <v>49</v>
      </c>
      <c r="F204" s="422" t="s">
        <v>125</v>
      </c>
      <c r="G204" s="150"/>
      <c r="H204" s="420" t="s">
        <v>2730</v>
      </c>
      <c r="I204" s="420" t="s">
        <v>2706</v>
      </c>
      <c r="J204" s="420"/>
      <c r="K204" s="424"/>
      <c r="L204" s="420" t="s">
        <v>2840</v>
      </c>
      <c r="M204" s="149">
        <v>5769</v>
      </c>
      <c r="N204" s="424"/>
      <c r="O204" s="424"/>
      <c r="P204" s="149">
        <v>5147</v>
      </c>
      <c r="Q204" s="420"/>
      <c r="R204" s="420" t="s">
        <v>2730</v>
      </c>
      <c r="S204" s="420" t="s">
        <v>2730</v>
      </c>
      <c r="T204" s="421" t="s">
        <v>2732</v>
      </c>
      <c r="U204" s="143">
        <f t="shared" ref="U204:U213" si="87">V204+W204+X204</f>
        <v>0</v>
      </c>
      <c r="V204" s="421"/>
      <c r="W204" s="421"/>
      <c r="X204" s="421"/>
      <c r="Y204" s="143">
        <f t="shared" ref="Y204:Y213" si="88">SUM(Z204:AB204)</f>
        <v>5147</v>
      </c>
      <c r="Z204" s="143"/>
      <c r="AA204" s="143"/>
      <c r="AB204" s="143">
        <f t="shared" ref="AB204:AB213" si="89">AC204+AD204+AE204</f>
        <v>5147</v>
      </c>
      <c r="AC204" s="143">
        <v>0</v>
      </c>
      <c r="AD204" s="144">
        <v>5147</v>
      </c>
      <c r="AE204" s="144"/>
      <c r="AF204" s="143">
        <f t="shared" ref="AF204:AF213" si="90">SUM(AG204:AI204)</f>
        <v>0</v>
      </c>
      <c r="AG204" s="143"/>
      <c r="AH204" s="143"/>
      <c r="AI204" s="143">
        <f t="shared" ref="AI204:AI213" si="91">SUM(AJ204:AL204)</f>
        <v>0</v>
      </c>
      <c r="AJ204" s="143">
        <v>0</v>
      </c>
      <c r="AK204" s="144">
        <v>0</v>
      </c>
      <c r="AL204" s="144"/>
      <c r="AM204" s="143">
        <v>0</v>
      </c>
      <c r="AN204" s="143"/>
      <c r="AO204" s="143"/>
      <c r="AP204" s="143">
        <v>0</v>
      </c>
      <c r="AQ204" s="143">
        <v>0</v>
      </c>
      <c r="AR204" s="143"/>
      <c r="AS204" s="144"/>
      <c r="AT204" s="144">
        <v>0</v>
      </c>
      <c r="AU204" s="144"/>
      <c r="AV204" s="143">
        <f t="shared" ref="AV204:AV213" si="92">SUM(AW204:AY204)</f>
        <v>0</v>
      </c>
      <c r="AW204" s="143"/>
      <c r="AX204" s="143"/>
      <c r="AY204" s="143">
        <f t="shared" ref="AY204:AY213" si="93">SUM(AZ204:BB204)</f>
        <v>0</v>
      </c>
      <c r="AZ204" s="143">
        <v>0</v>
      </c>
      <c r="BA204" s="144">
        <v>0</v>
      </c>
      <c r="BB204" s="144"/>
      <c r="BC204" s="143">
        <v>0</v>
      </c>
      <c r="BD204" s="143"/>
      <c r="BE204" s="143"/>
      <c r="BF204" s="143">
        <v>0</v>
      </c>
      <c r="BG204" s="143">
        <v>0</v>
      </c>
      <c r="BH204" s="148">
        <v>0</v>
      </c>
      <c r="BI204" s="143"/>
      <c r="BJ204" s="148"/>
      <c r="BK204" s="148"/>
      <c r="BL204" s="148"/>
      <c r="BM204" s="148"/>
      <c r="BN204" s="148"/>
      <c r="BO204" s="148"/>
      <c r="BP204" s="148"/>
      <c r="BQ204" s="148"/>
      <c r="BR204" s="148"/>
      <c r="BS204" s="148"/>
      <c r="BT204" s="148"/>
      <c r="BU204" s="148"/>
      <c r="BV204" s="148"/>
      <c r="BW204" s="148"/>
      <c r="BX204" s="231"/>
      <c r="BY204" s="424"/>
    </row>
    <row r="205" spans="1:77" ht="66" customHeight="1" outlineLevel="1">
      <c r="A205" s="420">
        <v>2</v>
      </c>
      <c r="B205" s="465" t="s">
        <v>2841</v>
      </c>
      <c r="C205" s="428" t="s">
        <v>2350</v>
      </c>
      <c r="D205" s="420" t="s">
        <v>2732</v>
      </c>
      <c r="E205" s="420" t="s">
        <v>49</v>
      </c>
      <c r="F205" s="431" t="s">
        <v>2500</v>
      </c>
      <c r="G205" s="151"/>
      <c r="H205" s="420" t="s">
        <v>2751</v>
      </c>
      <c r="I205" s="420" t="s">
        <v>2502</v>
      </c>
      <c r="J205" s="420" t="s">
        <v>2503</v>
      </c>
      <c r="K205" s="422"/>
      <c r="L205" s="420" t="s">
        <v>2842</v>
      </c>
      <c r="M205" s="149">
        <v>28363</v>
      </c>
      <c r="N205" s="422"/>
      <c r="O205" s="422"/>
      <c r="P205" s="149">
        <v>8363</v>
      </c>
      <c r="Q205" s="420"/>
      <c r="R205" s="420" t="s">
        <v>2751</v>
      </c>
      <c r="S205" s="420" t="s">
        <v>2730</v>
      </c>
      <c r="T205" s="421" t="s">
        <v>2732</v>
      </c>
      <c r="U205" s="143">
        <f t="shared" si="87"/>
        <v>0</v>
      </c>
      <c r="V205" s="420"/>
      <c r="W205" s="420"/>
      <c r="X205" s="420"/>
      <c r="Y205" s="143">
        <f t="shared" si="88"/>
        <v>1000</v>
      </c>
      <c r="Z205" s="143"/>
      <c r="AA205" s="143"/>
      <c r="AB205" s="143">
        <f t="shared" si="89"/>
        <v>1000</v>
      </c>
      <c r="AC205" s="143">
        <v>0</v>
      </c>
      <c r="AD205" s="143">
        <v>1000</v>
      </c>
      <c r="AE205" s="143"/>
      <c r="AF205" s="143">
        <f t="shared" si="90"/>
        <v>0</v>
      </c>
      <c r="AG205" s="143"/>
      <c r="AH205" s="143"/>
      <c r="AI205" s="143">
        <f t="shared" si="91"/>
        <v>0</v>
      </c>
      <c r="AJ205" s="143">
        <v>0</v>
      </c>
      <c r="AK205" s="143">
        <v>0</v>
      </c>
      <c r="AL205" s="143"/>
      <c r="AM205" s="143">
        <v>0</v>
      </c>
      <c r="AN205" s="143"/>
      <c r="AO205" s="143"/>
      <c r="AP205" s="143">
        <v>0</v>
      </c>
      <c r="AQ205" s="143">
        <v>0</v>
      </c>
      <c r="AR205" s="143"/>
      <c r="AS205" s="143"/>
      <c r="AT205" s="143">
        <v>0</v>
      </c>
      <c r="AU205" s="143"/>
      <c r="AV205" s="143">
        <f t="shared" si="92"/>
        <v>0</v>
      </c>
      <c r="AW205" s="143"/>
      <c r="AX205" s="143"/>
      <c r="AY205" s="143">
        <f t="shared" si="93"/>
        <v>0</v>
      </c>
      <c r="AZ205" s="143">
        <v>0</v>
      </c>
      <c r="BA205" s="143">
        <v>0</v>
      </c>
      <c r="BB205" s="143"/>
      <c r="BC205" s="143">
        <v>0</v>
      </c>
      <c r="BD205" s="143"/>
      <c r="BE205" s="143"/>
      <c r="BF205" s="143">
        <v>0</v>
      </c>
      <c r="BG205" s="143">
        <v>0</v>
      </c>
      <c r="BH205" s="143"/>
      <c r="BI205" s="143"/>
      <c r="BJ205" s="143"/>
      <c r="BK205" s="143"/>
      <c r="BL205" s="143"/>
      <c r="BM205" s="143"/>
      <c r="BN205" s="143"/>
      <c r="BO205" s="143"/>
      <c r="BP205" s="143"/>
      <c r="BQ205" s="143"/>
      <c r="BR205" s="143"/>
      <c r="BS205" s="143"/>
      <c r="BT205" s="459"/>
      <c r="BU205" s="143"/>
      <c r="BV205" s="459"/>
      <c r="BW205" s="143"/>
      <c r="BX205" s="230"/>
      <c r="BY205" s="433"/>
    </row>
    <row r="206" spans="1:77" ht="30.75" outlineLevel="1">
      <c r="A206" s="420">
        <v>3</v>
      </c>
      <c r="B206" s="435" t="s">
        <v>2843</v>
      </c>
      <c r="C206" s="428" t="s">
        <v>2350</v>
      </c>
      <c r="D206" s="420" t="s">
        <v>2732</v>
      </c>
      <c r="E206" s="420" t="s">
        <v>49</v>
      </c>
      <c r="F206" s="431" t="s">
        <v>2500</v>
      </c>
      <c r="G206" s="151">
        <v>7918927</v>
      </c>
      <c r="H206" s="420" t="s">
        <v>2733</v>
      </c>
      <c r="I206" s="420" t="s">
        <v>2502</v>
      </c>
      <c r="J206" s="420" t="s">
        <v>2503</v>
      </c>
      <c r="K206" s="422"/>
      <c r="L206" s="420" t="s">
        <v>2844</v>
      </c>
      <c r="M206" s="150">
        <v>13929</v>
      </c>
      <c r="N206" s="422"/>
      <c r="O206" s="422"/>
      <c r="P206" s="150">
        <v>13929</v>
      </c>
      <c r="Q206" s="420"/>
      <c r="R206" s="420" t="s">
        <v>2733</v>
      </c>
      <c r="S206" s="420" t="s">
        <v>2730</v>
      </c>
      <c r="T206" s="421" t="s">
        <v>2732</v>
      </c>
      <c r="U206" s="143">
        <f t="shared" si="87"/>
        <v>0</v>
      </c>
      <c r="V206" s="420"/>
      <c r="W206" s="420"/>
      <c r="X206" s="420"/>
      <c r="Y206" s="143">
        <f t="shared" si="88"/>
        <v>13232</v>
      </c>
      <c r="Z206" s="143"/>
      <c r="AA206" s="143"/>
      <c r="AB206" s="143">
        <f t="shared" si="89"/>
        <v>13232</v>
      </c>
      <c r="AC206" s="143">
        <v>0</v>
      </c>
      <c r="AD206" s="143">
        <v>13232</v>
      </c>
      <c r="AE206" s="143"/>
      <c r="AF206" s="143">
        <f t="shared" si="90"/>
        <v>0</v>
      </c>
      <c r="AG206" s="143"/>
      <c r="AH206" s="143"/>
      <c r="AI206" s="143">
        <f t="shared" si="91"/>
        <v>0</v>
      </c>
      <c r="AJ206" s="143">
        <v>0</v>
      </c>
      <c r="AK206" s="143">
        <v>0</v>
      </c>
      <c r="AL206" s="143"/>
      <c r="AM206" s="143">
        <v>0</v>
      </c>
      <c r="AN206" s="143"/>
      <c r="AO206" s="143"/>
      <c r="AP206" s="143">
        <v>0</v>
      </c>
      <c r="AQ206" s="143">
        <v>0</v>
      </c>
      <c r="AR206" s="143"/>
      <c r="AS206" s="143"/>
      <c r="AT206" s="143">
        <v>0</v>
      </c>
      <c r="AU206" s="143"/>
      <c r="AV206" s="143">
        <f t="shared" si="92"/>
        <v>0</v>
      </c>
      <c r="AW206" s="143"/>
      <c r="AX206" s="143"/>
      <c r="AY206" s="143">
        <f t="shared" si="93"/>
        <v>0</v>
      </c>
      <c r="AZ206" s="143">
        <v>0</v>
      </c>
      <c r="BA206" s="143">
        <v>0</v>
      </c>
      <c r="BB206" s="143"/>
      <c r="BC206" s="143">
        <v>0</v>
      </c>
      <c r="BD206" s="143"/>
      <c r="BE206" s="143"/>
      <c r="BF206" s="143">
        <v>0</v>
      </c>
      <c r="BG206" s="143">
        <v>0</v>
      </c>
      <c r="BH206" s="143"/>
      <c r="BI206" s="143"/>
      <c r="BJ206" s="143"/>
      <c r="BK206" s="143"/>
      <c r="BL206" s="143"/>
      <c r="BM206" s="143"/>
      <c r="BN206" s="143"/>
      <c r="BO206" s="143"/>
      <c r="BP206" s="143"/>
      <c r="BQ206" s="143"/>
      <c r="BR206" s="143"/>
      <c r="BS206" s="143"/>
      <c r="BT206" s="143"/>
      <c r="BU206" s="143"/>
      <c r="BV206" s="143"/>
      <c r="BW206" s="143"/>
      <c r="BX206" s="230"/>
      <c r="BY206" s="433"/>
    </row>
    <row r="207" spans="1:77" ht="46.15" outlineLevel="1">
      <c r="A207" s="420">
        <v>4</v>
      </c>
      <c r="B207" s="442" t="s">
        <v>2845</v>
      </c>
      <c r="C207" s="428" t="s">
        <v>2350</v>
      </c>
      <c r="D207" s="420" t="s">
        <v>2732</v>
      </c>
      <c r="E207" s="420" t="s">
        <v>49</v>
      </c>
      <c r="F207" s="431" t="s">
        <v>48</v>
      </c>
      <c r="G207" s="151"/>
      <c r="H207" s="437" t="s">
        <v>2733</v>
      </c>
      <c r="I207" s="420" t="s">
        <v>2502</v>
      </c>
      <c r="J207" s="420" t="s">
        <v>2503</v>
      </c>
      <c r="K207" s="422"/>
      <c r="L207" s="420" t="s">
        <v>2846</v>
      </c>
      <c r="M207" s="146">
        <v>18502</v>
      </c>
      <c r="N207" s="422"/>
      <c r="O207" s="422"/>
      <c r="P207" s="146">
        <v>18000</v>
      </c>
      <c r="Q207" s="420"/>
      <c r="R207" s="437" t="s">
        <v>2733</v>
      </c>
      <c r="S207" s="420" t="s">
        <v>2730</v>
      </c>
      <c r="T207" s="421" t="s">
        <v>2732</v>
      </c>
      <c r="U207" s="143">
        <f t="shared" si="87"/>
        <v>0</v>
      </c>
      <c r="V207" s="420"/>
      <c r="W207" s="420"/>
      <c r="X207" s="420"/>
      <c r="Y207" s="143">
        <f t="shared" si="88"/>
        <v>5000</v>
      </c>
      <c r="Z207" s="143"/>
      <c r="AA207" s="143"/>
      <c r="AB207" s="143">
        <f t="shared" si="89"/>
        <v>5000</v>
      </c>
      <c r="AC207" s="143">
        <v>0</v>
      </c>
      <c r="AD207" s="143">
        <v>5000</v>
      </c>
      <c r="AE207" s="143"/>
      <c r="AF207" s="143">
        <f t="shared" si="90"/>
        <v>0</v>
      </c>
      <c r="AG207" s="143"/>
      <c r="AH207" s="143"/>
      <c r="AI207" s="143">
        <f t="shared" si="91"/>
        <v>0</v>
      </c>
      <c r="AJ207" s="143">
        <v>0</v>
      </c>
      <c r="AK207" s="143">
        <v>0</v>
      </c>
      <c r="AL207" s="143"/>
      <c r="AM207" s="143">
        <v>0</v>
      </c>
      <c r="AN207" s="143"/>
      <c r="AO207" s="143"/>
      <c r="AP207" s="143">
        <v>0</v>
      </c>
      <c r="AQ207" s="143">
        <v>0</v>
      </c>
      <c r="AR207" s="143"/>
      <c r="AS207" s="143"/>
      <c r="AT207" s="143">
        <v>0</v>
      </c>
      <c r="AU207" s="143"/>
      <c r="AV207" s="143">
        <f t="shared" si="92"/>
        <v>0</v>
      </c>
      <c r="AW207" s="143"/>
      <c r="AX207" s="143"/>
      <c r="AY207" s="143">
        <f t="shared" si="93"/>
        <v>0</v>
      </c>
      <c r="AZ207" s="143">
        <v>0</v>
      </c>
      <c r="BA207" s="143">
        <v>0</v>
      </c>
      <c r="BB207" s="143"/>
      <c r="BC207" s="143">
        <v>0</v>
      </c>
      <c r="BD207" s="143"/>
      <c r="BE207" s="143"/>
      <c r="BF207" s="143">
        <v>0</v>
      </c>
      <c r="BG207" s="143">
        <v>0</v>
      </c>
      <c r="BH207" s="143"/>
      <c r="BI207" s="143"/>
      <c r="BJ207" s="143"/>
      <c r="BK207" s="143"/>
      <c r="BL207" s="143"/>
      <c r="BM207" s="143"/>
      <c r="BN207" s="143"/>
      <c r="BO207" s="143"/>
      <c r="BP207" s="143"/>
      <c r="BQ207" s="143"/>
      <c r="BR207" s="143"/>
      <c r="BS207" s="143"/>
      <c r="BT207" s="143"/>
      <c r="BU207" s="143"/>
      <c r="BV207" s="143"/>
      <c r="BW207" s="143"/>
      <c r="BX207" s="230"/>
      <c r="BY207" s="433"/>
    </row>
    <row r="208" spans="1:77" ht="30.75" outlineLevel="1">
      <c r="A208" s="420">
        <v>5</v>
      </c>
      <c r="B208" s="442" t="s">
        <v>2847</v>
      </c>
      <c r="C208" s="428" t="s">
        <v>2350</v>
      </c>
      <c r="D208" s="420" t="s">
        <v>2732</v>
      </c>
      <c r="E208" s="420" t="s">
        <v>49</v>
      </c>
      <c r="F208" s="431" t="s">
        <v>48</v>
      </c>
      <c r="G208" s="151"/>
      <c r="H208" s="437" t="s">
        <v>2733</v>
      </c>
      <c r="I208" s="420" t="s">
        <v>2502</v>
      </c>
      <c r="J208" s="420" t="s">
        <v>2503</v>
      </c>
      <c r="K208" s="422"/>
      <c r="L208" s="420" t="s">
        <v>2848</v>
      </c>
      <c r="M208" s="252">
        <v>8536</v>
      </c>
      <c r="N208" s="422"/>
      <c r="O208" s="422"/>
      <c r="P208" s="252">
        <v>8536</v>
      </c>
      <c r="Q208" s="420"/>
      <c r="R208" s="437" t="s">
        <v>2733</v>
      </c>
      <c r="S208" s="420" t="s">
        <v>2730</v>
      </c>
      <c r="T208" s="421" t="s">
        <v>2732</v>
      </c>
      <c r="U208" s="143">
        <f t="shared" si="87"/>
        <v>0</v>
      </c>
      <c r="V208" s="420"/>
      <c r="W208" s="420"/>
      <c r="X208" s="420"/>
      <c r="Y208" s="143">
        <f t="shared" si="88"/>
        <v>0</v>
      </c>
      <c r="Z208" s="143"/>
      <c r="AA208" s="143"/>
      <c r="AB208" s="143">
        <f t="shared" si="89"/>
        <v>0</v>
      </c>
      <c r="AC208" s="143">
        <v>0</v>
      </c>
      <c r="AD208" s="143">
        <v>0</v>
      </c>
      <c r="AE208" s="143"/>
      <c r="AF208" s="143">
        <f t="shared" si="90"/>
        <v>0</v>
      </c>
      <c r="AG208" s="143"/>
      <c r="AH208" s="143"/>
      <c r="AI208" s="143">
        <f t="shared" si="91"/>
        <v>0</v>
      </c>
      <c r="AJ208" s="143">
        <v>0</v>
      </c>
      <c r="AK208" s="143">
        <v>0</v>
      </c>
      <c r="AL208" s="143"/>
      <c r="AM208" s="143">
        <v>0</v>
      </c>
      <c r="AN208" s="143"/>
      <c r="AO208" s="143"/>
      <c r="AP208" s="143">
        <v>0</v>
      </c>
      <c r="AQ208" s="143">
        <v>0</v>
      </c>
      <c r="AR208" s="143"/>
      <c r="AS208" s="143"/>
      <c r="AT208" s="143">
        <v>0</v>
      </c>
      <c r="AU208" s="143"/>
      <c r="AV208" s="143">
        <f t="shared" si="92"/>
        <v>0</v>
      </c>
      <c r="AW208" s="143"/>
      <c r="AX208" s="143"/>
      <c r="AY208" s="143">
        <f t="shared" si="93"/>
        <v>0</v>
      </c>
      <c r="AZ208" s="143">
        <v>0</v>
      </c>
      <c r="BA208" s="143">
        <v>0</v>
      </c>
      <c r="BB208" s="143"/>
      <c r="BC208" s="143">
        <v>0</v>
      </c>
      <c r="BD208" s="143"/>
      <c r="BE208" s="143"/>
      <c r="BF208" s="143">
        <v>0</v>
      </c>
      <c r="BG208" s="143">
        <v>0</v>
      </c>
      <c r="BH208" s="143"/>
      <c r="BI208" s="143"/>
      <c r="BJ208" s="143"/>
      <c r="BK208" s="143"/>
      <c r="BL208" s="143"/>
      <c r="BM208" s="143"/>
      <c r="BN208" s="143"/>
      <c r="BO208" s="143"/>
      <c r="BP208" s="143"/>
      <c r="BQ208" s="143"/>
      <c r="BR208" s="143"/>
      <c r="BS208" s="143"/>
      <c r="BT208" s="143"/>
      <c r="BU208" s="143"/>
      <c r="BV208" s="143"/>
      <c r="BW208" s="143"/>
      <c r="BX208" s="230"/>
      <c r="BY208" s="433"/>
    </row>
    <row r="209" spans="1:77" ht="51.75" customHeight="1" outlineLevel="1">
      <c r="A209" s="420">
        <v>6</v>
      </c>
      <c r="B209" s="421" t="s">
        <v>2849</v>
      </c>
      <c r="C209" s="420" t="s">
        <v>2350</v>
      </c>
      <c r="D209" s="420" t="s">
        <v>2732</v>
      </c>
      <c r="E209" s="422" t="s">
        <v>49</v>
      </c>
      <c r="F209" s="420" t="s">
        <v>2850</v>
      </c>
      <c r="G209" s="151">
        <v>7971425</v>
      </c>
      <c r="H209" s="437" t="s">
        <v>2744</v>
      </c>
      <c r="I209" s="420" t="s">
        <v>2502</v>
      </c>
      <c r="J209" s="420" t="s">
        <v>2503</v>
      </c>
      <c r="K209" s="424"/>
      <c r="L209" s="436" t="s">
        <v>2851</v>
      </c>
      <c r="M209" s="152">
        <v>9000</v>
      </c>
      <c r="N209" s="424"/>
      <c r="O209" s="424"/>
      <c r="P209" s="152">
        <v>9000</v>
      </c>
      <c r="Q209" s="420"/>
      <c r="R209" s="437" t="s">
        <v>2744</v>
      </c>
      <c r="S209" s="420" t="s">
        <v>2730</v>
      </c>
      <c r="T209" s="421" t="s">
        <v>2732</v>
      </c>
      <c r="U209" s="143">
        <f t="shared" si="87"/>
        <v>0</v>
      </c>
      <c r="V209" s="421"/>
      <c r="W209" s="421"/>
      <c r="X209" s="421"/>
      <c r="Y209" s="143">
        <f t="shared" si="88"/>
        <v>8550</v>
      </c>
      <c r="Z209" s="143"/>
      <c r="AA209" s="143"/>
      <c r="AB209" s="143">
        <f t="shared" si="89"/>
        <v>8550</v>
      </c>
      <c r="AC209" s="143">
        <v>0</v>
      </c>
      <c r="AD209" s="144">
        <v>8550</v>
      </c>
      <c r="AE209" s="144"/>
      <c r="AF209" s="143">
        <f t="shared" si="90"/>
        <v>0</v>
      </c>
      <c r="AG209" s="143"/>
      <c r="AH209" s="143"/>
      <c r="AI209" s="143">
        <f t="shared" si="91"/>
        <v>0</v>
      </c>
      <c r="AJ209" s="143">
        <v>0</v>
      </c>
      <c r="AK209" s="144">
        <v>0</v>
      </c>
      <c r="AL209" s="144"/>
      <c r="AM209" s="143">
        <v>0</v>
      </c>
      <c r="AN209" s="143"/>
      <c r="AO209" s="143"/>
      <c r="AP209" s="143">
        <v>0</v>
      </c>
      <c r="AQ209" s="143">
        <v>0</v>
      </c>
      <c r="AR209" s="143"/>
      <c r="AS209" s="144"/>
      <c r="AT209" s="144">
        <v>0</v>
      </c>
      <c r="AU209" s="144"/>
      <c r="AV209" s="143">
        <f t="shared" si="92"/>
        <v>0</v>
      </c>
      <c r="AW209" s="143"/>
      <c r="AX209" s="143"/>
      <c r="AY209" s="143">
        <f t="shared" si="93"/>
        <v>0</v>
      </c>
      <c r="AZ209" s="143">
        <v>0</v>
      </c>
      <c r="BA209" s="144">
        <v>0</v>
      </c>
      <c r="BB209" s="144"/>
      <c r="BC209" s="143">
        <v>0</v>
      </c>
      <c r="BD209" s="143"/>
      <c r="BE209" s="143"/>
      <c r="BF209" s="143">
        <v>0</v>
      </c>
      <c r="BG209" s="143">
        <v>0</v>
      </c>
      <c r="BH209" s="148"/>
      <c r="BI209" s="148"/>
      <c r="BJ209" s="148"/>
      <c r="BK209" s="148"/>
      <c r="BL209" s="148"/>
      <c r="BM209" s="148"/>
      <c r="BN209" s="148"/>
      <c r="BO209" s="148"/>
      <c r="BP209" s="148"/>
      <c r="BQ209" s="148"/>
      <c r="BR209" s="148"/>
      <c r="BS209" s="148"/>
      <c r="BT209" s="148"/>
      <c r="BU209" s="148"/>
      <c r="BV209" s="148"/>
      <c r="BW209" s="148"/>
      <c r="BX209" s="231"/>
      <c r="BY209" s="424"/>
    </row>
    <row r="210" spans="1:77" ht="34.5" customHeight="1" outlineLevel="1">
      <c r="A210" s="420">
        <v>7</v>
      </c>
      <c r="B210" s="421" t="s">
        <v>2852</v>
      </c>
      <c r="C210" s="420" t="s">
        <v>2853</v>
      </c>
      <c r="D210" s="420" t="s">
        <v>2732</v>
      </c>
      <c r="E210" s="422" t="s">
        <v>49</v>
      </c>
      <c r="F210" s="422" t="s">
        <v>125</v>
      </c>
      <c r="G210" s="151"/>
      <c r="H210" s="437" t="s">
        <v>2854</v>
      </c>
      <c r="I210" s="420" t="s">
        <v>2706</v>
      </c>
      <c r="J210" s="420"/>
      <c r="K210" s="424"/>
      <c r="L210" s="420" t="s">
        <v>2855</v>
      </c>
      <c r="M210" s="453">
        <v>600</v>
      </c>
      <c r="N210" s="424"/>
      <c r="O210" s="424"/>
      <c r="P210" s="421">
        <v>600</v>
      </c>
      <c r="Q210" s="420"/>
      <c r="R210" s="437" t="s">
        <v>2854</v>
      </c>
      <c r="S210" s="420" t="s">
        <v>2730</v>
      </c>
      <c r="T210" s="421" t="s">
        <v>2732</v>
      </c>
      <c r="U210" s="143">
        <f t="shared" si="87"/>
        <v>0</v>
      </c>
      <c r="V210" s="421"/>
      <c r="W210" s="421"/>
      <c r="X210" s="421"/>
      <c r="Y210" s="143">
        <f t="shared" si="88"/>
        <v>600</v>
      </c>
      <c r="Z210" s="143"/>
      <c r="AA210" s="143"/>
      <c r="AB210" s="143">
        <f t="shared" si="89"/>
        <v>600</v>
      </c>
      <c r="AC210" s="143">
        <v>0</v>
      </c>
      <c r="AD210" s="144">
        <v>600</v>
      </c>
      <c r="AE210" s="144"/>
      <c r="AF210" s="143">
        <f t="shared" si="90"/>
        <v>0</v>
      </c>
      <c r="AG210" s="143"/>
      <c r="AH210" s="143"/>
      <c r="AI210" s="143">
        <f t="shared" si="91"/>
        <v>0</v>
      </c>
      <c r="AJ210" s="143">
        <v>0</v>
      </c>
      <c r="AK210" s="144">
        <v>0</v>
      </c>
      <c r="AL210" s="144"/>
      <c r="AM210" s="143">
        <v>0</v>
      </c>
      <c r="AN210" s="143"/>
      <c r="AO210" s="143"/>
      <c r="AP210" s="143">
        <v>0</v>
      </c>
      <c r="AQ210" s="143">
        <v>0</v>
      </c>
      <c r="AR210" s="143"/>
      <c r="AS210" s="144"/>
      <c r="AT210" s="144">
        <v>0</v>
      </c>
      <c r="AU210" s="144"/>
      <c r="AV210" s="143">
        <f t="shared" si="92"/>
        <v>0</v>
      </c>
      <c r="AW210" s="143"/>
      <c r="AX210" s="143"/>
      <c r="AY210" s="143">
        <f t="shared" si="93"/>
        <v>0</v>
      </c>
      <c r="AZ210" s="143">
        <v>0</v>
      </c>
      <c r="BA210" s="144">
        <v>0</v>
      </c>
      <c r="BB210" s="144"/>
      <c r="BC210" s="143">
        <v>0</v>
      </c>
      <c r="BD210" s="143"/>
      <c r="BE210" s="143"/>
      <c r="BF210" s="143">
        <v>0</v>
      </c>
      <c r="BG210" s="143">
        <v>0</v>
      </c>
      <c r="BH210" s="148"/>
      <c r="BI210" s="148"/>
      <c r="BJ210" s="148"/>
      <c r="BK210" s="148"/>
      <c r="BL210" s="148"/>
      <c r="BM210" s="148"/>
      <c r="BN210" s="148"/>
      <c r="BO210" s="148"/>
      <c r="BP210" s="148"/>
      <c r="BQ210" s="148"/>
      <c r="BR210" s="148"/>
      <c r="BS210" s="148"/>
      <c r="BT210" s="148"/>
      <c r="BU210" s="148"/>
      <c r="BV210" s="148"/>
      <c r="BW210" s="148"/>
      <c r="BX210" s="231"/>
      <c r="BY210" s="424"/>
    </row>
    <row r="211" spans="1:77" ht="30.75" outlineLevel="1">
      <c r="A211" s="420">
        <v>8</v>
      </c>
      <c r="B211" s="421" t="s">
        <v>2856</v>
      </c>
      <c r="C211" s="420" t="s">
        <v>2350</v>
      </c>
      <c r="D211" s="420" t="s">
        <v>2732</v>
      </c>
      <c r="E211" s="422" t="s">
        <v>49</v>
      </c>
      <c r="F211" s="420" t="s">
        <v>2850</v>
      </c>
      <c r="G211" s="151">
        <v>8037459</v>
      </c>
      <c r="H211" s="420" t="s">
        <v>2730</v>
      </c>
      <c r="I211" s="420" t="s">
        <v>2502</v>
      </c>
      <c r="J211" s="420" t="s">
        <v>2503</v>
      </c>
      <c r="K211" s="424"/>
      <c r="L211" s="420" t="s">
        <v>2857</v>
      </c>
      <c r="M211" s="440">
        <v>1800</v>
      </c>
      <c r="N211" s="424"/>
      <c r="O211" s="424"/>
      <c r="P211" s="440">
        <v>1800</v>
      </c>
      <c r="Q211" s="420"/>
      <c r="R211" s="420" t="s">
        <v>2730</v>
      </c>
      <c r="S211" s="420" t="s">
        <v>2730</v>
      </c>
      <c r="T211" s="421" t="s">
        <v>2732</v>
      </c>
      <c r="U211" s="143">
        <f t="shared" si="87"/>
        <v>0</v>
      </c>
      <c r="V211" s="421"/>
      <c r="W211" s="421"/>
      <c r="X211" s="421"/>
      <c r="Y211" s="143">
        <f t="shared" si="88"/>
        <v>1800</v>
      </c>
      <c r="Z211" s="143"/>
      <c r="AA211" s="143"/>
      <c r="AB211" s="143">
        <f t="shared" si="89"/>
        <v>1800</v>
      </c>
      <c r="AC211" s="143">
        <v>0</v>
      </c>
      <c r="AD211" s="144">
        <v>1800</v>
      </c>
      <c r="AE211" s="144"/>
      <c r="AF211" s="143">
        <f t="shared" si="90"/>
        <v>0</v>
      </c>
      <c r="AG211" s="143"/>
      <c r="AH211" s="143"/>
      <c r="AI211" s="143">
        <f t="shared" si="91"/>
        <v>0</v>
      </c>
      <c r="AJ211" s="143">
        <v>0</v>
      </c>
      <c r="AK211" s="144">
        <v>0</v>
      </c>
      <c r="AL211" s="144"/>
      <c r="AM211" s="143">
        <v>0</v>
      </c>
      <c r="AN211" s="143"/>
      <c r="AO211" s="143"/>
      <c r="AP211" s="143">
        <v>0</v>
      </c>
      <c r="AQ211" s="143">
        <v>0</v>
      </c>
      <c r="AR211" s="143"/>
      <c r="AS211" s="144"/>
      <c r="AT211" s="144">
        <v>0</v>
      </c>
      <c r="AU211" s="144"/>
      <c r="AV211" s="143">
        <f t="shared" si="92"/>
        <v>0</v>
      </c>
      <c r="AW211" s="143"/>
      <c r="AX211" s="143"/>
      <c r="AY211" s="143">
        <f t="shared" si="93"/>
        <v>0</v>
      </c>
      <c r="AZ211" s="143">
        <v>0</v>
      </c>
      <c r="BA211" s="144">
        <v>0</v>
      </c>
      <c r="BB211" s="144"/>
      <c r="BC211" s="143">
        <v>0</v>
      </c>
      <c r="BD211" s="143"/>
      <c r="BE211" s="143"/>
      <c r="BF211" s="143">
        <v>0</v>
      </c>
      <c r="BG211" s="143">
        <v>0</v>
      </c>
      <c r="BH211" s="148"/>
      <c r="BI211" s="148"/>
      <c r="BJ211" s="148"/>
      <c r="BK211" s="148"/>
      <c r="BL211" s="148">
        <v>0</v>
      </c>
      <c r="BM211" s="148"/>
      <c r="BN211" s="148"/>
      <c r="BO211" s="148"/>
      <c r="BP211" s="148">
        <v>0</v>
      </c>
      <c r="BQ211" s="148"/>
      <c r="BR211" s="148"/>
      <c r="BS211" s="148"/>
      <c r="BT211" s="148"/>
      <c r="BU211" s="148"/>
      <c r="BV211" s="148"/>
      <c r="BW211" s="148"/>
      <c r="BX211" s="231"/>
      <c r="BY211" s="424"/>
    </row>
    <row r="212" spans="1:77" ht="46.15" outlineLevel="1">
      <c r="A212" s="420">
        <v>9</v>
      </c>
      <c r="B212" s="442" t="s">
        <v>2858</v>
      </c>
      <c r="C212" s="420" t="s">
        <v>2829</v>
      </c>
      <c r="D212" s="420" t="s">
        <v>2732</v>
      </c>
      <c r="E212" s="422" t="s">
        <v>49</v>
      </c>
      <c r="F212" s="422" t="s">
        <v>125</v>
      </c>
      <c r="G212" s="151"/>
      <c r="H212" s="437" t="s">
        <v>2751</v>
      </c>
      <c r="I212" s="420" t="s">
        <v>2706</v>
      </c>
      <c r="J212" s="420"/>
      <c r="K212" s="424"/>
      <c r="L212" s="420" t="s">
        <v>2859</v>
      </c>
      <c r="M212" s="152">
        <v>9328</v>
      </c>
      <c r="N212" s="424"/>
      <c r="O212" s="424"/>
      <c r="P212" s="152">
        <v>8776</v>
      </c>
      <c r="Q212" s="420"/>
      <c r="R212" s="437" t="s">
        <v>2751</v>
      </c>
      <c r="S212" s="420" t="s">
        <v>2730</v>
      </c>
      <c r="T212" s="421" t="s">
        <v>2732</v>
      </c>
      <c r="U212" s="143">
        <f t="shared" si="87"/>
        <v>0</v>
      </c>
      <c r="V212" s="421"/>
      <c r="W212" s="421"/>
      <c r="X212" s="421"/>
      <c r="Y212" s="143">
        <f t="shared" si="88"/>
        <v>8776</v>
      </c>
      <c r="Z212" s="143"/>
      <c r="AA212" s="143"/>
      <c r="AB212" s="143">
        <f t="shared" si="89"/>
        <v>8776</v>
      </c>
      <c r="AC212" s="143">
        <v>0</v>
      </c>
      <c r="AD212" s="144">
        <v>8776</v>
      </c>
      <c r="AE212" s="144"/>
      <c r="AF212" s="143">
        <f t="shared" si="90"/>
        <v>0</v>
      </c>
      <c r="AG212" s="143"/>
      <c r="AH212" s="143"/>
      <c r="AI212" s="143">
        <f t="shared" si="91"/>
        <v>0</v>
      </c>
      <c r="AJ212" s="143">
        <v>0</v>
      </c>
      <c r="AK212" s="144">
        <v>0</v>
      </c>
      <c r="AL212" s="144"/>
      <c r="AM212" s="143">
        <v>0</v>
      </c>
      <c r="AN212" s="143"/>
      <c r="AO212" s="143"/>
      <c r="AP212" s="143">
        <v>0</v>
      </c>
      <c r="AQ212" s="143">
        <v>0</v>
      </c>
      <c r="AR212" s="143"/>
      <c r="AS212" s="144"/>
      <c r="AT212" s="144">
        <v>0</v>
      </c>
      <c r="AU212" s="144"/>
      <c r="AV212" s="143">
        <f t="shared" si="92"/>
        <v>0</v>
      </c>
      <c r="AW212" s="143"/>
      <c r="AX212" s="143"/>
      <c r="AY212" s="143">
        <f t="shared" si="93"/>
        <v>0</v>
      </c>
      <c r="AZ212" s="143">
        <v>0</v>
      </c>
      <c r="BA212" s="144">
        <v>0</v>
      </c>
      <c r="BB212" s="144"/>
      <c r="BC212" s="143">
        <v>0</v>
      </c>
      <c r="BD212" s="143"/>
      <c r="BE212" s="143"/>
      <c r="BF212" s="143">
        <v>0</v>
      </c>
      <c r="BG212" s="143">
        <v>0</v>
      </c>
      <c r="BH212" s="148"/>
      <c r="BI212" s="148"/>
      <c r="BJ212" s="148"/>
      <c r="BK212" s="148"/>
      <c r="BL212" s="148">
        <v>0</v>
      </c>
      <c r="BM212" s="148"/>
      <c r="BN212" s="148"/>
      <c r="BO212" s="148"/>
      <c r="BP212" s="148">
        <v>0</v>
      </c>
      <c r="BQ212" s="148"/>
      <c r="BR212" s="148"/>
      <c r="BS212" s="148"/>
      <c r="BT212" s="148"/>
      <c r="BU212" s="148"/>
      <c r="BV212" s="148"/>
      <c r="BW212" s="148"/>
      <c r="BX212" s="231"/>
      <c r="BY212" s="424"/>
    </row>
    <row r="213" spans="1:77" ht="46.15" outlineLevel="1">
      <c r="A213" s="420">
        <v>10</v>
      </c>
      <c r="B213" s="442" t="s">
        <v>2860</v>
      </c>
      <c r="C213" s="420" t="s">
        <v>2350</v>
      </c>
      <c r="D213" s="420" t="s">
        <v>2732</v>
      </c>
      <c r="E213" s="422" t="s">
        <v>49</v>
      </c>
      <c r="F213" s="420" t="s">
        <v>2850</v>
      </c>
      <c r="G213" s="151"/>
      <c r="H213" s="437" t="s">
        <v>2751</v>
      </c>
      <c r="I213" s="420" t="s">
        <v>2502</v>
      </c>
      <c r="J213" s="420" t="s">
        <v>2503</v>
      </c>
      <c r="K213" s="424"/>
      <c r="L213" s="420" t="s">
        <v>2861</v>
      </c>
      <c r="M213" s="152">
        <v>25823</v>
      </c>
      <c r="N213" s="424"/>
      <c r="O213" s="424"/>
      <c r="P213" s="152">
        <v>25823</v>
      </c>
      <c r="Q213" s="420"/>
      <c r="R213" s="437" t="s">
        <v>2751</v>
      </c>
      <c r="S213" s="420" t="s">
        <v>2730</v>
      </c>
      <c r="T213" s="421" t="s">
        <v>2732</v>
      </c>
      <c r="U213" s="143">
        <f t="shared" si="87"/>
        <v>0</v>
      </c>
      <c r="V213" s="421"/>
      <c r="W213" s="421"/>
      <c r="X213" s="421"/>
      <c r="Y213" s="143">
        <f t="shared" si="88"/>
        <v>1000</v>
      </c>
      <c r="Z213" s="143"/>
      <c r="AA213" s="143"/>
      <c r="AB213" s="143">
        <f t="shared" si="89"/>
        <v>1000</v>
      </c>
      <c r="AC213" s="143">
        <v>0</v>
      </c>
      <c r="AD213" s="144">
        <v>1000</v>
      </c>
      <c r="AE213" s="144"/>
      <c r="AF213" s="143">
        <f t="shared" si="90"/>
        <v>0</v>
      </c>
      <c r="AG213" s="143"/>
      <c r="AH213" s="143"/>
      <c r="AI213" s="143">
        <f t="shared" si="91"/>
        <v>0</v>
      </c>
      <c r="AJ213" s="143">
        <v>0</v>
      </c>
      <c r="AK213" s="144">
        <v>0</v>
      </c>
      <c r="AL213" s="144"/>
      <c r="AM213" s="143">
        <v>0</v>
      </c>
      <c r="AN213" s="143"/>
      <c r="AO213" s="143"/>
      <c r="AP213" s="143">
        <v>0</v>
      </c>
      <c r="AQ213" s="143">
        <v>0</v>
      </c>
      <c r="AR213" s="143"/>
      <c r="AS213" s="144"/>
      <c r="AT213" s="144">
        <v>0</v>
      </c>
      <c r="AU213" s="144"/>
      <c r="AV213" s="143">
        <f t="shared" si="92"/>
        <v>0</v>
      </c>
      <c r="AW213" s="143"/>
      <c r="AX213" s="143"/>
      <c r="AY213" s="143">
        <f t="shared" si="93"/>
        <v>0</v>
      </c>
      <c r="AZ213" s="143">
        <v>0</v>
      </c>
      <c r="BA213" s="144">
        <v>0</v>
      </c>
      <c r="BB213" s="144"/>
      <c r="BC213" s="143">
        <v>0</v>
      </c>
      <c r="BD213" s="143"/>
      <c r="BE213" s="143"/>
      <c r="BF213" s="143">
        <v>0</v>
      </c>
      <c r="BG213" s="143">
        <v>0</v>
      </c>
      <c r="BH213" s="148"/>
      <c r="BI213" s="148"/>
      <c r="BJ213" s="148"/>
      <c r="BK213" s="148"/>
      <c r="BL213" s="148">
        <v>0</v>
      </c>
      <c r="BM213" s="148"/>
      <c r="BN213" s="148"/>
      <c r="BO213" s="148"/>
      <c r="BP213" s="148">
        <v>0</v>
      </c>
      <c r="BQ213" s="148"/>
      <c r="BR213" s="148"/>
      <c r="BS213" s="148"/>
      <c r="BT213" s="148"/>
      <c r="BU213" s="148"/>
      <c r="BV213" s="148"/>
      <c r="BW213" s="148"/>
      <c r="BX213" s="231"/>
      <c r="BY213" s="424"/>
    </row>
    <row r="214" spans="1:77" s="417" customFormat="1" ht="28.5" customHeight="1">
      <c r="A214" s="418" t="s">
        <v>60</v>
      </c>
      <c r="B214" s="418" t="s">
        <v>2862</v>
      </c>
      <c r="C214" s="418"/>
      <c r="D214" s="418"/>
      <c r="E214" s="418"/>
      <c r="F214" s="418"/>
      <c r="G214" s="418"/>
      <c r="H214" s="419"/>
      <c r="I214" s="418"/>
      <c r="J214" s="419"/>
      <c r="K214" s="419"/>
      <c r="L214" s="419"/>
      <c r="M214" s="419">
        <f>M215+M217+M234</f>
        <v>114660.39199999999</v>
      </c>
      <c r="N214" s="419">
        <f t="shared" ref="N214:BY214" si="94">N215+N217+N234</f>
        <v>0</v>
      </c>
      <c r="O214" s="419">
        <f t="shared" si="94"/>
        <v>12251</v>
      </c>
      <c r="P214" s="419">
        <f t="shared" si="94"/>
        <v>99682.4</v>
      </c>
      <c r="Q214" s="419">
        <f t="shared" si="94"/>
        <v>0</v>
      </c>
      <c r="R214" s="419">
        <f t="shared" si="94"/>
        <v>0</v>
      </c>
      <c r="S214" s="419">
        <f t="shared" si="94"/>
        <v>0</v>
      </c>
      <c r="T214" s="419">
        <f t="shared" si="94"/>
        <v>0</v>
      </c>
      <c r="U214" s="419">
        <f t="shared" si="94"/>
        <v>0</v>
      </c>
      <c r="V214" s="419">
        <f t="shared" si="94"/>
        <v>0</v>
      </c>
      <c r="W214" s="419">
        <f t="shared" si="94"/>
        <v>0</v>
      </c>
      <c r="X214" s="419">
        <f t="shared" si="94"/>
        <v>0</v>
      </c>
      <c r="Y214" s="419">
        <f t="shared" si="94"/>
        <v>76423</v>
      </c>
      <c r="Z214" s="419">
        <f t="shared" si="94"/>
        <v>0</v>
      </c>
      <c r="AA214" s="419">
        <f t="shared" si="94"/>
        <v>0</v>
      </c>
      <c r="AB214" s="419">
        <f t="shared" si="94"/>
        <v>76423</v>
      </c>
      <c r="AC214" s="419">
        <f t="shared" si="94"/>
        <v>13400</v>
      </c>
      <c r="AD214" s="419">
        <f t="shared" si="94"/>
        <v>61031</v>
      </c>
      <c r="AE214" s="419">
        <f t="shared" si="94"/>
        <v>1992</v>
      </c>
      <c r="AF214" s="419">
        <f t="shared" si="94"/>
        <v>58990.020000000004</v>
      </c>
      <c r="AG214" s="419">
        <f t="shared" si="94"/>
        <v>0</v>
      </c>
      <c r="AH214" s="419">
        <f t="shared" si="94"/>
        <v>0</v>
      </c>
      <c r="AI214" s="419">
        <f t="shared" si="94"/>
        <v>58990.020000000004</v>
      </c>
      <c r="AJ214" s="419">
        <f t="shared" si="94"/>
        <v>13400</v>
      </c>
      <c r="AK214" s="419">
        <f t="shared" si="94"/>
        <v>42856.020000000004</v>
      </c>
      <c r="AL214" s="419">
        <f t="shared" si="94"/>
        <v>2734</v>
      </c>
      <c r="AM214" s="419">
        <f t="shared" si="94"/>
        <v>49863.638428999999</v>
      </c>
      <c r="AN214" s="419">
        <f t="shared" si="94"/>
        <v>0</v>
      </c>
      <c r="AO214" s="419">
        <f t="shared" si="94"/>
        <v>740.89958200000001</v>
      </c>
      <c r="AP214" s="419">
        <f t="shared" si="94"/>
        <v>49122.738847000001</v>
      </c>
      <c r="AQ214" s="419">
        <f t="shared" si="94"/>
        <v>12022.821</v>
      </c>
      <c r="AR214" s="419">
        <f t="shared" si="94"/>
        <v>12022.821</v>
      </c>
      <c r="AS214" s="419">
        <f t="shared" si="94"/>
        <v>0</v>
      </c>
      <c r="AT214" s="419">
        <f t="shared" si="94"/>
        <v>35127.532947</v>
      </c>
      <c r="AU214" s="419">
        <f t="shared" si="94"/>
        <v>1972.3849</v>
      </c>
      <c r="AV214" s="419">
        <f t="shared" si="94"/>
        <v>7720.77</v>
      </c>
      <c r="AW214" s="419">
        <f t="shared" si="94"/>
        <v>0</v>
      </c>
      <c r="AX214" s="419">
        <f t="shared" si="94"/>
        <v>0</v>
      </c>
      <c r="AY214" s="419">
        <f t="shared" si="94"/>
        <v>7720.77</v>
      </c>
      <c r="AZ214" s="419">
        <f t="shared" si="94"/>
        <v>0</v>
      </c>
      <c r="BA214" s="419">
        <f t="shared" si="94"/>
        <v>7720.77</v>
      </c>
      <c r="BB214" s="419">
        <f t="shared" si="94"/>
        <v>0</v>
      </c>
      <c r="BC214" s="419">
        <f t="shared" si="94"/>
        <v>2696.368211</v>
      </c>
      <c r="BD214" s="419">
        <f t="shared" si="94"/>
        <v>0</v>
      </c>
      <c r="BE214" s="419">
        <f t="shared" si="94"/>
        <v>0</v>
      </c>
      <c r="BF214" s="419">
        <f t="shared" si="94"/>
        <v>2696.368211</v>
      </c>
      <c r="BG214" s="419">
        <f t="shared" si="94"/>
        <v>0</v>
      </c>
      <c r="BH214" s="419">
        <f t="shared" si="94"/>
        <v>0</v>
      </c>
      <c r="BI214" s="419">
        <f t="shared" si="94"/>
        <v>0</v>
      </c>
      <c r="BJ214" s="419">
        <f t="shared" si="94"/>
        <v>2696.368211</v>
      </c>
      <c r="BK214" s="419">
        <f t="shared" si="94"/>
        <v>0</v>
      </c>
      <c r="BL214" s="419">
        <f t="shared" si="94"/>
        <v>0</v>
      </c>
      <c r="BM214" s="419">
        <f t="shared" si="94"/>
        <v>0</v>
      </c>
      <c r="BN214" s="419">
        <f t="shared" si="94"/>
        <v>0</v>
      </c>
      <c r="BO214" s="419">
        <f t="shared" si="94"/>
        <v>0</v>
      </c>
      <c r="BP214" s="419">
        <f t="shared" si="94"/>
        <v>0</v>
      </c>
      <c r="BQ214" s="419">
        <f t="shared" si="94"/>
        <v>0</v>
      </c>
      <c r="BR214" s="419">
        <f t="shared" si="94"/>
        <v>0</v>
      </c>
      <c r="BS214" s="419">
        <f t="shared" si="94"/>
        <v>0</v>
      </c>
      <c r="BT214" s="419">
        <f t="shared" si="94"/>
        <v>10277</v>
      </c>
      <c r="BU214" s="419">
        <f t="shared" si="94"/>
        <v>0</v>
      </c>
      <c r="BV214" s="419">
        <f t="shared" si="94"/>
        <v>10277</v>
      </c>
      <c r="BW214" s="419">
        <f t="shared" si="94"/>
        <v>0</v>
      </c>
      <c r="BX214" s="454"/>
      <c r="BY214" s="419">
        <f t="shared" si="94"/>
        <v>0</v>
      </c>
    </row>
    <row r="215" spans="1:77" s="457" customFormat="1" ht="46.5" customHeight="1" outlineLevel="1">
      <c r="A215" s="430" t="s">
        <v>45</v>
      </c>
      <c r="B215" s="456" t="s">
        <v>1910</v>
      </c>
      <c r="C215" s="418"/>
      <c r="D215" s="418"/>
      <c r="E215" s="418"/>
      <c r="F215" s="418"/>
      <c r="G215" s="418"/>
      <c r="H215" s="419"/>
      <c r="I215" s="418"/>
      <c r="J215" s="419"/>
      <c r="K215" s="419"/>
      <c r="L215" s="419"/>
      <c r="M215" s="419">
        <f>M216</f>
        <v>1159</v>
      </c>
      <c r="N215" s="419">
        <f t="shared" ref="N215:BY215" si="95">N216</f>
        <v>0</v>
      </c>
      <c r="O215" s="419">
        <f t="shared" si="95"/>
        <v>0</v>
      </c>
      <c r="P215" s="419">
        <f t="shared" si="95"/>
        <v>604</v>
      </c>
      <c r="Q215" s="419">
        <f t="shared" si="95"/>
        <v>0</v>
      </c>
      <c r="R215" s="419"/>
      <c r="S215" s="419"/>
      <c r="T215" s="419"/>
      <c r="U215" s="419">
        <f t="shared" si="95"/>
        <v>0</v>
      </c>
      <c r="V215" s="419">
        <f t="shared" si="95"/>
        <v>0</v>
      </c>
      <c r="W215" s="419">
        <f t="shared" si="95"/>
        <v>0</v>
      </c>
      <c r="X215" s="419">
        <f t="shared" si="95"/>
        <v>0</v>
      </c>
      <c r="Y215" s="419">
        <f t="shared" si="79"/>
        <v>604</v>
      </c>
      <c r="Z215" s="419">
        <f t="shared" si="95"/>
        <v>0</v>
      </c>
      <c r="AA215" s="419">
        <f t="shared" si="95"/>
        <v>0</v>
      </c>
      <c r="AB215" s="419">
        <f t="shared" si="95"/>
        <v>604</v>
      </c>
      <c r="AC215" s="419">
        <f t="shared" si="95"/>
        <v>0</v>
      </c>
      <c r="AD215" s="419">
        <f t="shared" si="95"/>
        <v>604</v>
      </c>
      <c r="AE215" s="419">
        <f t="shared" si="95"/>
        <v>0</v>
      </c>
      <c r="AF215" s="419">
        <f t="shared" si="80"/>
        <v>604</v>
      </c>
      <c r="AG215" s="419">
        <f t="shared" si="95"/>
        <v>0</v>
      </c>
      <c r="AH215" s="419">
        <f t="shared" si="95"/>
        <v>0</v>
      </c>
      <c r="AI215" s="419">
        <f t="shared" si="95"/>
        <v>604</v>
      </c>
      <c r="AJ215" s="419">
        <f t="shared" si="95"/>
        <v>0</v>
      </c>
      <c r="AK215" s="419">
        <f t="shared" si="95"/>
        <v>604</v>
      </c>
      <c r="AL215" s="419">
        <f t="shared" si="95"/>
        <v>0</v>
      </c>
      <c r="AM215" s="419">
        <f t="shared" si="95"/>
        <v>603.42200000000003</v>
      </c>
      <c r="AN215" s="419">
        <f t="shared" si="95"/>
        <v>0</v>
      </c>
      <c r="AO215" s="419">
        <f t="shared" si="95"/>
        <v>0</v>
      </c>
      <c r="AP215" s="419">
        <f t="shared" si="95"/>
        <v>603.42200000000003</v>
      </c>
      <c r="AQ215" s="419">
        <f t="shared" si="95"/>
        <v>0</v>
      </c>
      <c r="AR215" s="419">
        <f t="shared" si="95"/>
        <v>0</v>
      </c>
      <c r="AS215" s="419">
        <f t="shared" si="95"/>
        <v>0</v>
      </c>
      <c r="AT215" s="419">
        <f t="shared" si="95"/>
        <v>603.42200000000003</v>
      </c>
      <c r="AU215" s="419">
        <f t="shared" si="95"/>
        <v>0</v>
      </c>
      <c r="AV215" s="419">
        <f t="shared" si="82"/>
        <v>0</v>
      </c>
      <c r="AW215" s="419">
        <f t="shared" si="95"/>
        <v>0</v>
      </c>
      <c r="AX215" s="419">
        <f t="shared" si="95"/>
        <v>0</v>
      </c>
      <c r="AY215" s="419">
        <f t="shared" si="95"/>
        <v>0</v>
      </c>
      <c r="AZ215" s="419">
        <f t="shared" si="95"/>
        <v>0</v>
      </c>
      <c r="BA215" s="419">
        <f t="shared" si="95"/>
        <v>0</v>
      </c>
      <c r="BB215" s="419">
        <f t="shared" si="95"/>
        <v>0</v>
      </c>
      <c r="BC215" s="419">
        <f t="shared" si="95"/>
        <v>0</v>
      </c>
      <c r="BD215" s="419">
        <f t="shared" si="95"/>
        <v>0</v>
      </c>
      <c r="BE215" s="419">
        <f t="shared" si="95"/>
        <v>0</v>
      </c>
      <c r="BF215" s="419">
        <f t="shared" si="95"/>
        <v>0</v>
      </c>
      <c r="BG215" s="419">
        <f t="shared" si="95"/>
        <v>0</v>
      </c>
      <c r="BH215" s="419">
        <f t="shared" si="95"/>
        <v>0</v>
      </c>
      <c r="BI215" s="419">
        <f t="shared" si="95"/>
        <v>0</v>
      </c>
      <c r="BJ215" s="419">
        <f t="shared" si="95"/>
        <v>0</v>
      </c>
      <c r="BK215" s="419">
        <f t="shared" si="95"/>
        <v>0</v>
      </c>
      <c r="BL215" s="419">
        <f t="shared" si="95"/>
        <v>0</v>
      </c>
      <c r="BM215" s="419">
        <f t="shared" si="95"/>
        <v>0</v>
      </c>
      <c r="BN215" s="419">
        <f t="shared" si="95"/>
        <v>0</v>
      </c>
      <c r="BO215" s="419">
        <f t="shared" si="95"/>
        <v>0</v>
      </c>
      <c r="BP215" s="419">
        <f t="shared" si="95"/>
        <v>0</v>
      </c>
      <c r="BQ215" s="419">
        <f t="shared" si="95"/>
        <v>0</v>
      </c>
      <c r="BR215" s="419">
        <f t="shared" si="95"/>
        <v>0</v>
      </c>
      <c r="BS215" s="419">
        <f t="shared" si="95"/>
        <v>0</v>
      </c>
      <c r="BT215" s="419">
        <f t="shared" si="95"/>
        <v>0</v>
      </c>
      <c r="BU215" s="419">
        <f t="shared" si="95"/>
        <v>0</v>
      </c>
      <c r="BV215" s="419">
        <f t="shared" si="95"/>
        <v>0</v>
      </c>
      <c r="BW215" s="419">
        <f t="shared" si="95"/>
        <v>0</v>
      </c>
      <c r="BX215" s="454"/>
      <c r="BY215" s="419">
        <f t="shared" si="95"/>
        <v>0</v>
      </c>
    </row>
    <row r="216" spans="1:77" ht="44.25" customHeight="1" outlineLevel="1">
      <c r="A216" s="420">
        <v>1</v>
      </c>
      <c r="B216" s="421" t="s">
        <v>2863</v>
      </c>
      <c r="C216" s="428" t="s">
        <v>2864</v>
      </c>
      <c r="D216" s="422" t="s">
        <v>2865</v>
      </c>
      <c r="E216" s="420" t="s">
        <v>49</v>
      </c>
      <c r="F216" s="431" t="s">
        <v>48</v>
      </c>
      <c r="G216" s="248">
        <v>7868830</v>
      </c>
      <c r="H216" s="420" t="s">
        <v>2866</v>
      </c>
      <c r="I216" s="420" t="s">
        <v>891</v>
      </c>
      <c r="J216" s="420"/>
      <c r="K216" s="422"/>
      <c r="L216" s="420" t="s">
        <v>2867</v>
      </c>
      <c r="M216" s="142">
        <v>1159</v>
      </c>
      <c r="N216" s="422"/>
      <c r="O216" s="422"/>
      <c r="P216" s="149">
        <v>604</v>
      </c>
      <c r="Q216" s="420"/>
      <c r="R216" s="420" t="s">
        <v>2866</v>
      </c>
      <c r="S216" s="422" t="s">
        <v>2868</v>
      </c>
      <c r="T216" s="422" t="s">
        <v>2865</v>
      </c>
      <c r="U216" s="143">
        <f t="shared" ref="U216:U233" si="96">V216+W216+X216</f>
        <v>0</v>
      </c>
      <c r="V216" s="420"/>
      <c r="W216" s="420"/>
      <c r="X216" s="143"/>
      <c r="Y216" s="143">
        <f t="shared" si="79"/>
        <v>604</v>
      </c>
      <c r="Z216" s="143"/>
      <c r="AA216" s="143"/>
      <c r="AB216" s="143">
        <f>AC216+AD216+AE216</f>
        <v>604</v>
      </c>
      <c r="AC216" s="143">
        <v>0</v>
      </c>
      <c r="AD216" s="143">
        <v>604</v>
      </c>
      <c r="AE216" s="143"/>
      <c r="AF216" s="143">
        <f t="shared" si="80"/>
        <v>604</v>
      </c>
      <c r="AG216" s="143"/>
      <c r="AH216" s="143"/>
      <c r="AI216" s="143">
        <f t="shared" si="81"/>
        <v>604</v>
      </c>
      <c r="AJ216" s="143">
        <v>0</v>
      </c>
      <c r="AK216" s="143">
        <v>604</v>
      </c>
      <c r="AL216" s="143"/>
      <c r="AM216" s="143">
        <v>603.42200000000003</v>
      </c>
      <c r="AN216" s="143"/>
      <c r="AO216" s="143"/>
      <c r="AP216" s="143">
        <v>603.42200000000003</v>
      </c>
      <c r="AQ216" s="143">
        <v>0</v>
      </c>
      <c r="AR216" s="143"/>
      <c r="AS216" s="143"/>
      <c r="AT216" s="143">
        <v>603.42200000000003</v>
      </c>
      <c r="AU216" s="143"/>
      <c r="AV216" s="143">
        <f t="shared" si="82"/>
        <v>0</v>
      </c>
      <c r="AW216" s="143"/>
      <c r="AX216" s="143"/>
      <c r="AY216" s="143">
        <f t="shared" si="83"/>
        <v>0</v>
      </c>
      <c r="AZ216" s="143">
        <v>0</v>
      </c>
      <c r="BA216" s="143">
        <v>0</v>
      </c>
      <c r="BB216" s="143"/>
      <c r="BC216" s="143">
        <v>0</v>
      </c>
      <c r="BD216" s="143"/>
      <c r="BE216" s="143"/>
      <c r="BF216" s="143">
        <v>0</v>
      </c>
      <c r="BG216" s="143">
        <v>0</v>
      </c>
      <c r="BH216" s="143"/>
      <c r="BI216" s="143"/>
      <c r="BJ216" s="143"/>
      <c r="BK216" s="143"/>
      <c r="BL216" s="143"/>
      <c r="BM216" s="143"/>
      <c r="BN216" s="143"/>
      <c r="BO216" s="143"/>
      <c r="BP216" s="143"/>
      <c r="BQ216" s="143"/>
      <c r="BR216" s="143"/>
      <c r="BS216" s="143"/>
      <c r="BT216" s="143"/>
      <c r="BU216" s="143"/>
      <c r="BV216" s="143"/>
      <c r="BW216" s="143"/>
      <c r="BX216" s="230"/>
      <c r="BY216" s="433"/>
    </row>
    <row r="217" spans="1:77" s="457" customFormat="1" ht="46.5" customHeight="1" outlineLevel="1">
      <c r="A217" s="430" t="s">
        <v>45</v>
      </c>
      <c r="B217" s="456" t="s">
        <v>51</v>
      </c>
      <c r="C217" s="418"/>
      <c r="D217" s="418"/>
      <c r="E217" s="418"/>
      <c r="F217" s="418"/>
      <c r="G217" s="418"/>
      <c r="H217" s="419">
        <f>SUM(H218:H240)</f>
        <v>0</v>
      </c>
      <c r="I217" s="418"/>
      <c r="J217" s="419"/>
      <c r="K217" s="419"/>
      <c r="L217" s="419"/>
      <c r="M217" s="419">
        <f>SUM(M218:M233)</f>
        <v>83271.191999999995</v>
      </c>
      <c r="N217" s="419">
        <f t="shared" ref="N217:BY217" si="97">SUM(N218:N233)</f>
        <v>0</v>
      </c>
      <c r="O217" s="419">
        <f t="shared" si="97"/>
        <v>12251</v>
      </c>
      <c r="P217" s="419">
        <f t="shared" si="97"/>
        <v>68848.2</v>
      </c>
      <c r="Q217" s="419">
        <f t="shared" si="97"/>
        <v>0</v>
      </c>
      <c r="R217" s="419">
        <f t="shared" si="97"/>
        <v>0</v>
      </c>
      <c r="S217" s="419">
        <f t="shared" si="97"/>
        <v>0</v>
      </c>
      <c r="T217" s="419">
        <f t="shared" si="97"/>
        <v>0</v>
      </c>
      <c r="U217" s="419">
        <f t="shared" si="97"/>
        <v>0</v>
      </c>
      <c r="V217" s="419">
        <f t="shared" si="97"/>
        <v>0</v>
      </c>
      <c r="W217" s="419">
        <f t="shared" si="97"/>
        <v>0</v>
      </c>
      <c r="X217" s="419">
        <f t="shared" si="97"/>
        <v>0</v>
      </c>
      <c r="Y217" s="419">
        <f t="shared" si="97"/>
        <v>64686</v>
      </c>
      <c r="Z217" s="419">
        <f t="shared" si="97"/>
        <v>0</v>
      </c>
      <c r="AA217" s="419">
        <f t="shared" si="97"/>
        <v>0</v>
      </c>
      <c r="AB217" s="419">
        <f t="shared" si="97"/>
        <v>64686</v>
      </c>
      <c r="AC217" s="419">
        <f t="shared" si="97"/>
        <v>13400</v>
      </c>
      <c r="AD217" s="419">
        <f t="shared" si="97"/>
        <v>49294</v>
      </c>
      <c r="AE217" s="419">
        <f t="shared" si="97"/>
        <v>1992</v>
      </c>
      <c r="AF217" s="419">
        <f t="shared" si="97"/>
        <v>58386.020000000004</v>
      </c>
      <c r="AG217" s="419">
        <f t="shared" si="97"/>
        <v>0</v>
      </c>
      <c r="AH217" s="419">
        <f t="shared" si="97"/>
        <v>0</v>
      </c>
      <c r="AI217" s="419">
        <f t="shared" si="97"/>
        <v>58386.020000000004</v>
      </c>
      <c r="AJ217" s="419">
        <f t="shared" si="97"/>
        <v>13400</v>
      </c>
      <c r="AK217" s="419">
        <f t="shared" si="97"/>
        <v>42252.020000000004</v>
      </c>
      <c r="AL217" s="419">
        <f t="shared" si="97"/>
        <v>2734</v>
      </c>
      <c r="AM217" s="419">
        <f t="shared" si="97"/>
        <v>49260.216429</v>
      </c>
      <c r="AN217" s="419">
        <f t="shared" si="97"/>
        <v>0</v>
      </c>
      <c r="AO217" s="419">
        <f t="shared" si="97"/>
        <v>740.89958200000001</v>
      </c>
      <c r="AP217" s="419">
        <f t="shared" si="97"/>
        <v>48519.316847000002</v>
      </c>
      <c r="AQ217" s="419">
        <f t="shared" si="97"/>
        <v>12022.821</v>
      </c>
      <c r="AR217" s="419">
        <f t="shared" si="97"/>
        <v>12022.821</v>
      </c>
      <c r="AS217" s="419">
        <f t="shared" si="97"/>
        <v>0</v>
      </c>
      <c r="AT217" s="419">
        <f t="shared" si="97"/>
        <v>34524.110947000001</v>
      </c>
      <c r="AU217" s="419">
        <f t="shared" si="97"/>
        <v>1972.3849</v>
      </c>
      <c r="AV217" s="419">
        <f t="shared" si="97"/>
        <v>7720.77</v>
      </c>
      <c r="AW217" s="419">
        <f t="shared" si="97"/>
        <v>0</v>
      </c>
      <c r="AX217" s="419">
        <f t="shared" si="97"/>
        <v>0</v>
      </c>
      <c r="AY217" s="419">
        <f t="shared" si="97"/>
        <v>7720.77</v>
      </c>
      <c r="AZ217" s="419">
        <f t="shared" si="97"/>
        <v>0</v>
      </c>
      <c r="BA217" s="419">
        <f t="shared" si="97"/>
        <v>7720.77</v>
      </c>
      <c r="BB217" s="419">
        <f t="shared" si="97"/>
        <v>0</v>
      </c>
      <c r="BC217" s="419">
        <f t="shared" si="97"/>
        <v>2696.368211</v>
      </c>
      <c r="BD217" s="419">
        <f t="shared" si="97"/>
        <v>0</v>
      </c>
      <c r="BE217" s="419">
        <f t="shared" si="97"/>
        <v>0</v>
      </c>
      <c r="BF217" s="419">
        <f t="shared" si="97"/>
        <v>2696.368211</v>
      </c>
      <c r="BG217" s="419">
        <f t="shared" si="97"/>
        <v>0</v>
      </c>
      <c r="BH217" s="419">
        <f t="shared" si="97"/>
        <v>0</v>
      </c>
      <c r="BI217" s="419">
        <f t="shared" si="97"/>
        <v>0</v>
      </c>
      <c r="BJ217" s="419">
        <f t="shared" si="97"/>
        <v>2696.368211</v>
      </c>
      <c r="BK217" s="419">
        <f t="shared" si="97"/>
        <v>0</v>
      </c>
      <c r="BL217" s="419">
        <f t="shared" si="97"/>
        <v>0</v>
      </c>
      <c r="BM217" s="419">
        <f t="shared" si="97"/>
        <v>0</v>
      </c>
      <c r="BN217" s="419">
        <f t="shared" si="97"/>
        <v>0</v>
      </c>
      <c r="BO217" s="419">
        <f t="shared" si="97"/>
        <v>0</v>
      </c>
      <c r="BP217" s="419">
        <f t="shared" si="97"/>
        <v>0</v>
      </c>
      <c r="BQ217" s="419">
        <f t="shared" si="97"/>
        <v>0</v>
      </c>
      <c r="BR217" s="419">
        <f t="shared" si="97"/>
        <v>0</v>
      </c>
      <c r="BS217" s="419">
        <f t="shared" si="97"/>
        <v>0</v>
      </c>
      <c r="BT217" s="419">
        <f t="shared" si="97"/>
        <v>10277</v>
      </c>
      <c r="BU217" s="419">
        <f t="shared" si="97"/>
        <v>0</v>
      </c>
      <c r="BV217" s="419">
        <f t="shared" si="97"/>
        <v>10277</v>
      </c>
      <c r="BW217" s="419">
        <f t="shared" si="97"/>
        <v>0</v>
      </c>
      <c r="BX217" s="454"/>
      <c r="BY217" s="419">
        <f t="shared" si="97"/>
        <v>0</v>
      </c>
    </row>
    <row r="218" spans="1:77" ht="46.15" outlineLevel="1">
      <c r="A218" s="420">
        <v>1</v>
      </c>
      <c r="B218" s="435" t="s">
        <v>2869</v>
      </c>
      <c r="C218" s="428" t="s">
        <v>2350</v>
      </c>
      <c r="D218" s="420" t="s">
        <v>2865</v>
      </c>
      <c r="E218" s="420" t="s">
        <v>49</v>
      </c>
      <c r="F218" s="431" t="s">
        <v>2343</v>
      </c>
      <c r="G218" s="147">
        <v>7914543</v>
      </c>
      <c r="H218" s="420" t="s">
        <v>2870</v>
      </c>
      <c r="I218" s="420" t="s">
        <v>76</v>
      </c>
      <c r="J218" s="422">
        <v>2022</v>
      </c>
      <c r="K218" s="422"/>
      <c r="L218" s="420" t="s">
        <v>2871</v>
      </c>
      <c r="M218" s="148">
        <v>9800</v>
      </c>
      <c r="N218" s="422"/>
      <c r="O218" s="422"/>
      <c r="P218" s="148">
        <v>9800</v>
      </c>
      <c r="Q218" s="420" t="s">
        <v>2872</v>
      </c>
      <c r="R218" s="420" t="s">
        <v>2870</v>
      </c>
      <c r="S218" s="422" t="s">
        <v>2868</v>
      </c>
      <c r="T218" s="422" t="s">
        <v>2865</v>
      </c>
      <c r="U218" s="143">
        <f t="shared" si="96"/>
        <v>0</v>
      </c>
      <c r="V218" s="420"/>
      <c r="W218" s="420"/>
      <c r="X218" s="420"/>
      <c r="Y218" s="143">
        <f t="shared" ref="Y218:Y267" si="98">SUM(Z218:AB218)</f>
        <v>9360</v>
      </c>
      <c r="Z218" s="143"/>
      <c r="AA218" s="143"/>
      <c r="AB218" s="143">
        <f t="shared" ref="AB218:AB233" si="99">AC218+AD218+AE218</f>
        <v>9360</v>
      </c>
      <c r="AC218" s="143">
        <v>2050</v>
      </c>
      <c r="AD218" s="144">
        <v>7310</v>
      </c>
      <c r="AE218" s="143"/>
      <c r="AF218" s="143">
        <f t="shared" ref="AF218:AF267" si="100">SUM(AG218:AI218)</f>
        <v>9360</v>
      </c>
      <c r="AG218" s="143"/>
      <c r="AH218" s="143"/>
      <c r="AI218" s="143">
        <f t="shared" ref="AI218:AI267" si="101">SUM(AJ218:AL218)</f>
        <v>9360</v>
      </c>
      <c r="AJ218" s="143">
        <v>2050</v>
      </c>
      <c r="AK218" s="144">
        <v>7310</v>
      </c>
      <c r="AL218" s="143"/>
      <c r="AM218" s="143">
        <v>9332.8209999999999</v>
      </c>
      <c r="AN218" s="143"/>
      <c r="AO218" s="143"/>
      <c r="AP218" s="143">
        <v>9332.8209999999999</v>
      </c>
      <c r="AQ218" s="143">
        <v>2022.8209999999999</v>
      </c>
      <c r="AR218" s="143">
        <v>2022.8209999999999</v>
      </c>
      <c r="AS218" s="143"/>
      <c r="AT218" s="144">
        <v>7310</v>
      </c>
      <c r="AU218" s="143"/>
      <c r="AV218" s="143">
        <f t="shared" ref="AV218:AV267" si="102">SUM(AW218:AY218)</f>
        <v>0</v>
      </c>
      <c r="AW218" s="143"/>
      <c r="AX218" s="143"/>
      <c r="AY218" s="143">
        <f t="shared" ref="AY218:AY267" si="103">SUM(AZ218:BB218)</f>
        <v>0</v>
      </c>
      <c r="AZ218" s="143">
        <v>0</v>
      </c>
      <c r="BA218" s="143"/>
      <c r="BB218" s="143"/>
      <c r="BC218" s="143">
        <v>0</v>
      </c>
      <c r="BD218" s="143"/>
      <c r="BE218" s="143"/>
      <c r="BF218" s="143">
        <v>0</v>
      </c>
      <c r="BG218" s="143">
        <v>0</v>
      </c>
      <c r="BH218" s="143">
        <v>0</v>
      </c>
      <c r="BI218" s="143"/>
      <c r="BJ218" s="143"/>
      <c r="BK218" s="143"/>
      <c r="BL218" s="143"/>
      <c r="BM218" s="143"/>
      <c r="BN218" s="143"/>
      <c r="BO218" s="143"/>
      <c r="BP218" s="143"/>
      <c r="BQ218" s="143"/>
      <c r="BR218" s="143"/>
      <c r="BS218" s="143"/>
      <c r="BT218" s="143"/>
      <c r="BU218" s="143"/>
      <c r="BV218" s="143"/>
      <c r="BW218" s="143"/>
      <c r="BX218" s="230"/>
      <c r="BY218" s="433"/>
    </row>
    <row r="219" spans="1:77" ht="61.5" outlineLevel="1">
      <c r="A219" s="420">
        <v>2</v>
      </c>
      <c r="B219" s="442" t="s">
        <v>2873</v>
      </c>
      <c r="C219" s="428" t="s">
        <v>2350</v>
      </c>
      <c r="D219" s="420" t="s">
        <v>2865</v>
      </c>
      <c r="E219" s="420" t="s">
        <v>49</v>
      </c>
      <c r="F219" s="431" t="s">
        <v>48</v>
      </c>
      <c r="G219" s="151">
        <v>7914540</v>
      </c>
      <c r="H219" s="437" t="s">
        <v>2862</v>
      </c>
      <c r="I219" s="420" t="s">
        <v>1036</v>
      </c>
      <c r="J219" s="422">
        <v>2023</v>
      </c>
      <c r="K219" s="422"/>
      <c r="L219" s="420" t="s">
        <v>2874</v>
      </c>
      <c r="M219" s="252">
        <v>17252</v>
      </c>
      <c r="N219" s="422"/>
      <c r="O219" s="422"/>
      <c r="P219" s="252">
        <v>17252</v>
      </c>
      <c r="Q219" s="420"/>
      <c r="R219" s="437" t="s">
        <v>2862</v>
      </c>
      <c r="S219" s="422" t="s">
        <v>2868</v>
      </c>
      <c r="T219" s="422" t="s">
        <v>2865</v>
      </c>
      <c r="U219" s="143">
        <f t="shared" si="96"/>
        <v>0</v>
      </c>
      <c r="V219" s="420"/>
      <c r="W219" s="420"/>
      <c r="X219" s="420"/>
      <c r="Y219" s="143">
        <f t="shared" si="98"/>
        <v>17000</v>
      </c>
      <c r="Z219" s="143"/>
      <c r="AA219" s="145"/>
      <c r="AB219" s="143">
        <f t="shared" si="99"/>
        <v>17000</v>
      </c>
      <c r="AC219" s="143">
        <v>5000</v>
      </c>
      <c r="AD219" s="143">
        <v>12000</v>
      </c>
      <c r="AE219" s="143"/>
      <c r="AF219" s="143">
        <f t="shared" si="100"/>
        <v>12000</v>
      </c>
      <c r="AG219" s="143"/>
      <c r="AH219" s="145"/>
      <c r="AI219" s="143">
        <f t="shared" si="101"/>
        <v>12000</v>
      </c>
      <c r="AJ219" s="143">
        <v>5000</v>
      </c>
      <c r="AK219" s="143">
        <v>7000</v>
      </c>
      <c r="AL219" s="143"/>
      <c r="AM219" s="143">
        <v>5000</v>
      </c>
      <c r="AN219" s="143"/>
      <c r="AO219" s="144"/>
      <c r="AP219" s="143">
        <v>5000</v>
      </c>
      <c r="AQ219" s="143">
        <v>5000</v>
      </c>
      <c r="AR219" s="143">
        <v>5000</v>
      </c>
      <c r="AS219" s="143"/>
      <c r="AT219" s="143">
        <v>0</v>
      </c>
      <c r="AU219" s="143"/>
      <c r="AV219" s="143">
        <f t="shared" si="102"/>
        <v>7000</v>
      </c>
      <c r="AW219" s="143"/>
      <c r="AX219" s="143"/>
      <c r="AY219" s="143">
        <f t="shared" si="103"/>
        <v>7000</v>
      </c>
      <c r="AZ219" s="143">
        <v>0</v>
      </c>
      <c r="BA219" s="143">
        <v>7000</v>
      </c>
      <c r="BB219" s="143"/>
      <c r="BC219" s="143">
        <v>1975.598211</v>
      </c>
      <c r="BD219" s="143"/>
      <c r="BE219" s="143"/>
      <c r="BF219" s="143">
        <v>1975.598211</v>
      </c>
      <c r="BG219" s="143">
        <v>0</v>
      </c>
      <c r="BH219" s="143">
        <v>0</v>
      </c>
      <c r="BI219" s="143"/>
      <c r="BJ219" s="143">
        <v>1975.598211</v>
      </c>
      <c r="BK219" s="143"/>
      <c r="BL219" s="143"/>
      <c r="BM219" s="143"/>
      <c r="BN219" s="143"/>
      <c r="BO219" s="143"/>
      <c r="BP219" s="143"/>
      <c r="BQ219" s="143"/>
      <c r="BR219" s="143"/>
      <c r="BS219" s="143"/>
      <c r="BT219" s="459">
        <v>10277</v>
      </c>
      <c r="BU219" s="143"/>
      <c r="BV219" s="459">
        <v>10277</v>
      </c>
      <c r="BW219" s="143"/>
      <c r="BX219" s="230"/>
      <c r="BY219" s="436"/>
    </row>
    <row r="220" spans="1:77" ht="30.75" outlineLevel="1">
      <c r="A220" s="420">
        <v>3</v>
      </c>
      <c r="B220" s="442" t="s">
        <v>2875</v>
      </c>
      <c r="C220" s="428" t="s">
        <v>2350</v>
      </c>
      <c r="D220" s="420" t="s">
        <v>2865</v>
      </c>
      <c r="E220" s="420" t="s">
        <v>49</v>
      </c>
      <c r="F220" s="431" t="s">
        <v>48</v>
      </c>
      <c r="G220" s="151">
        <v>7894828</v>
      </c>
      <c r="H220" s="437" t="s">
        <v>2862</v>
      </c>
      <c r="I220" s="420">
        <v>2021</v>
      </c>
      <c r="J220" s="422">
        <v>2021</v>
      </c>
      <c r="K220" s="422"/>
      <c r="L220" s="436" t="s">
        <v>2876</v>
      </c>
      <c r="M220" s="252">
        <v>9884</v>
      </c>
      <c r="N220" s="422"/>
      <c r="O220" s="422"/>
      <c r="P220" s="252">
        <v>9884</v>
      </c>
      <c r="Q220" s="420" t="s">
        <v>2877</v>
      </c>
      <c r="R220" s="437" t="s">
        <v>2862</v>
      </c>
      <c r="S220" s="422" t="s">
        <v>2868</v>
      </c>
      <c r="T220" s="422" t="s">
        <v>2865</v>
      </c>
      <c r="U220" s="143">
        <f t="shared" si="96"/>
        <v>0</v>
      </c>
      <c r="V220" s="420"/>
      <c r="W220" s="420"/>
      <c r="X220" s="420"/>
      <c r="Y220" s="143">
        <f t="shared" si="98"/>
        <v>7689</v>
      </c>
      <c r="Z220" s="143"/>
      <c r="AA220" s="143"/>
      <c r="AB220" s="143">
        <f t="shared" si="99"/>
        <v>7689</v>
      </c>
      <c r="AC220" s="143">
        <v>0</v>
      </c>
      <c r="AD220" s="143">
        <v>7689</v>
      </c>
      <c r="AE220" s="143"/>
      <c r="AF220" s="143">
        <f t="shared" si="100"/>
        <v>7687.9589999999998</v>
      </c>
      <c r="AG220" s="143"/>
      <c r="AH220" s="143"/>
      <c r="AI220" s="143">
        <f t="shared" si="101"/>
        <v>7687.9589999999998</v>
      </c>
      <c r="AJ220" s="143">
        <v>0</v>
      </c>
      <c r="AK220" s="143">
        <v>7687.9589999999998</v>
      </c>
      <c r="AL220" s="143"/>
      <c r="AM220" s="143">
        <v>7687.4690000000001</v>
      </c>
      <c r="AN220" s="143"/>
      <c r="AO220" s="143"/>
      <c r="AP220" s="143">
        <v>7687.4690000000001</v>
      </c>
      <c r="AQ220" s="143">
        <v>0</v>
      </c>
      <c r="AR220" s="143"/>
      <c r="AS220" s="143"/>
      <c r="AT220" s="143">
        <v>7687.4690000000001</v>
      </c>
      <c r="AU220" s="143"/>
      <c r="AV220" s="143">
        <f t="shared" si="102"/>
        <v>0</v>
      </c>
      <c r="AW220" s="143"/>
      <c r="AX220" s="143"/>
      <c r="AY220" s="143">
        <f t="shared" si="103"/>
        <v>0</v>
      </c>
      <c r="AZ220" s="143">
        <v>0</v>
      </c>
      <c r="BA220" s="143">
        <v>0</v>
      </c>
      <c r="BB220" s="143"/>
      <c r="BC220" s="143">
        <v>0</v>
      </c>
      <c r="BD220" s="143"/>
      <c r="BE220" s="143"/>
      <c r="BF220" s="143">
        <v>0</v>
      </c>
      <c r="BG220" s="143">
        <v>0</v>
      </c>
      <c r="BH220" s="143">
        <v>0</v>
      </c>
      <c r="BI220" s="143"/>
      <c r="BJ220" s="143"/>
      <c r="BK220" s="143"/>
      <c r="BL220" s="143"/>
      <c r="BM220" s="143"/>
      <c r="BN220" s="143"/>
      <c r="BO220" s="143"/>
      <c r="BP220" s="143"/>
      <c r="BQ220" s="143"/>
      <c r="BR220" s="143"/>
      <c r="BS220" s="143"/>
      <c r="BT220" s="143">
        <v>0</v>
      </c>
      <c r="BU220" s="143">
        <v>0</v>
      </c>
      <c r="BV220" s="143">
        <v>0</v>
      </c>
      <c r="BW220" s="143">
        <v>0</v>
      </c>
      <c r="BX220" s="230"/>
      <c r="BY220" s="433"/>
    </row>
    <row r="221" spans="1:77" ht="50.25" customHeight="1" outlineLevel="1">
      <c r="A221" s="420">
        <v>4</v>
      </c>
      <c r="B221" s="435" t="s">
        <v>2878</v>
      </c>
      <c r="C221" s="428" t="s">
        <v>2864</v>
      </c>
      <c r="D221" s="420" t="s">
        <v>2865</v>
      </c>
      <c r="E221" s="420" t="s">
        <v>49</v>
      </c>
      <c r="F221" s="431" t="s">
        <v>48</v>
      </c>
      <c r="G221" s="142">
        <v>7893541</v>
      </c>
      <c r="H221" s="420" t="s">
        <v>2879</v>
      </c>
      <c r="I221" s="420" t="s">
        <v>891</v>
      </c>
      <c r="J221" s="420"/>
      <c r="K221" s="422"/>
      <c r="L221" s="436" t="s">
        <v>2880</v>
      </c>
      <c r="M221" s="146">
        <v>580</v>
      </c>
      <c r="N221" s="422"/>
      <c r="O221" s="422"/>
      <c r="P221" s="146">
        <v>580</v>
      </c>
      <c r="Q221" s="420"/>
      <c r="R221" s="420" t="s">
        <v>2879</v>
      </c>
      <c r="S221" s="422" t="s">
        <v>2868</v>
      </c>
      <c r="T221" s="422" t="s">
        <v>2865</v>
      </c>
      <c r="U221" s="143">
        <f t="shared" si="96"/>
        <v>0</v>
      </c>
      <c r="V221" s="420"/>
      <c r="W221" s="420"/>
      <c r="X221" s="420"/>
      <c r="Y221" s="143">
        <f t="shared" si="98"/>
        <v>464</v>
      </c>
      <c r="Z221" s="143"/>
      <c r="AA221" s="143"/>
      <c r="AB221" s="143">
        <f t="shared" si="99"/>
        <v>464</v>
      </c>
      <c r="AC221" s="143">
        <v>0</v>
      </c>
      <c r="AD221" s="143">
        <v>464</v>
      </c>
      <c r="AE221" s="143"/>
      <c r="AF221" s="143">
        <f t="shared" si="100"/>
        <v>464</v>
      </c>
      <c r="AG221" s="143"/>
      <c r="AH221" s="143"/>
      <c r="AI221" s="143">
        <f t="shared" si="101"/>
        <v>464</v>
      </c>
      <c r="AJ221" s="143">
        <v>0</v>
      </c>
      <c r="AK221" s="143">
        <v>464</v>
      </c>
      <c r="AL221" s="143"/>
      <c r="AM221" s="143">
        <v>463.56920000000002</v>
      </c>
      <c r="AN221" s="143"/>
      <c r="AO221" s="143"/>
      <c r="AP221" s="143">
        <v>463.56920000000002</v>
      </c>
      <c r="AQ221" s="143">
        <v>0</v>
      </c>
      <c r="AR221" s="143"/>
      <c r="AS221" s="143"/>
      <c r="AT221" s="143">
        <v>463.56920000000002</v>
      </c>
      <c r="AU221" s="143"/>
      <c r="AV221" s="143">
        <f t="shared" si="102"/>
        <v>0</v>
      </c>
      <c r="AW221" s="143"/>
      <c r="AX221" s="143"/>
      <c r="AY221" s="143">
        <f t="shared" si="103"/>
        <v>0</v>
      </c>
      <c r="AZ221" s="143">
        <v>0</v>
      </c>
      <c r="BA221" s="143">
        <v>0</v>
      </c>
      <c r="BB221" s="143"/>
      <c r="BC221" s="143">
        <v>0</v>
      </c>
      <c r="BD221" s="143"/>
      <c r="BE221" s="143"/>
      <c r="BF221" s="143">
        <v>0</v>
      </c>
      <c r="BG221" s="143">
        <v>0</v>
      </c>
      <c r="BH221" s="143">
        <v>0</v>
      </c>
      <c r="BI221" s="143"/>
      <c r="BJ221" s="143"/>
      <c r="BK221" s="143"/>
      <c r="BL221" s="143"/>
      <c r="BM221" s="143"/>
      <c r="BN221" s="143"/>
      <c r="BO221" s="143"/>
      <c r="BP221" s="143"/>
      <c r="BQ221" s="143"/>
      <c r="BR221" s="143"/>
      <c r="BS221" s="143"/>
      <c r="BT221" s="143"/>
      <c r="BU221" s="143"/>
      <c r="BV221" s="143"/>
      <c r="BW221" s="143"/>
      <c r="BX221" s="230"/>
      <c r="BY221" s="433"/>
    </row>
    <row r="222" spans="1:77" ht="64.5" customHeight="1" outlineLevel="1">
      <c r="A222" s="420">
        <v>5</v>
      </c>
      <c r="B222" s="447" t="s">
        <v>2881</v>
      </c>
      <c r="C222" s="428" t="s">
        <v>2350</v>
      </c>
      <c r="D222" s="420" t="s">
        <v>2865</v>
      </c>
      <c r="E222" s="422" t="s">
        <v>49</v>
      </c>
      <c r="F222" s="431" t="s">
        <v>48</v>
      </c>
      <c r="G222" s="150">
        <v>7912216</v>
      </c>
      <c r="H222" s="250" t="s">
        <v>2879</v>
      </c>
      <c r="I222" s="420" t="s">
        <v>73</v>
      </c>
      <c r="J222" s="422">
        <v>2021</v>
      </c>
      <c r="K222" s="424"/>
      <c r="L222" s="420" t="s">
        <v>2882</v>
      </c>
      <c r="M222" s="149">
        <v>10901</v>
      </c>
      <c r="N222" s="424"/>
      <c r="O222" s="424"/>
      <c r="P222" s="149">
        <v>10901</v>
      </c>
      <c r="Q222" s="420" t="s">
        <v>2883</v>
      </c>
      <c r="R222" s="250" t="s">
        <v>2879</v>
      </c>
      <c r="S222" s="422" t="s">
        <v>2868</v>
      </c>
      <c r="T222" s="422" t="s">
        <v>2865</v>
      </c>
      <c r="U222" s="143">
        <f t="shared" si="96"/>
        <v>0</v>
      </c>
      <c r="V222" s="421"/>
      <c r="W222" s="421"/>
      <c r="X222" s="421"/>
      <c r="Y222" s="143">
        <f t="shared" si="98"/>
        <v>4601</v>
      </c>
      <c r="Z222" s="143"/>
      <c r="AA222" s="143"/>
      <c r="AB222" s="143">
        <f t="shared" si="99"/>
        <v>4601</v>
      </c>
      <c r="AC222" s="143">
        <v>0</v>
      </c>
      <c r="AD222" s="144">
        <v>4601</v>
      </c>
      <c r="AE222" s="144"/>
      <c r="AF222" s="143">
        <f t="shared" si="100"/>
        <v>4601</v>
      </c>
      <c r="AG222" s="143"/>
      <c r="AH222" s="143"/>
      <c r="AI222" s="143">
        <f t="shared" si="101"/>
        <v>4601</v>
      </c>
      <c r="AJ222" s="143">
        <v>0</v>
      </c>
      <c r="AK222" s="144">
        <v>4601</v>
      </c>
      <c r="AL222" s="144"/>
      <c r="AM222" s="143">
        <v>3905.8180000000002</v>
      </c>
      <c r="AN222" s="143"/>
      <c r="AO222" s="143"/>
      <c r="AP222" s="143">
        <v>3905.8180000000002</v>
      </c>
      <c r="AQ222" s="143">
        <v>0</v>
      </c>
      <c r="AR222" s="143"/>
      <c r="AS222" s="144"/>
      <c r="AT222" s="144">
        <v>3905.8180000000002</v>
      </c>
      <c r="AU222" s="144"/>
      <c r="AV222" s="143">
        <f t="shared" si="102"/>
        <v>695</v>
      </c>
      <c r="AW222" s="143"/>
      <c r="AX222" s="143"/>
      <c r="AY222" s="143">
        <f t="shared" si="103"/>
        <v>695</v>
      </c>
      <c r="AZ222" s="143">
        <v>0</v>
      </c>
      <c r="BA222" s="144">
        <v>695</v>
      </c>
      <c r="BB222" s="144"/>
      <c r="BC222" s="143">
        <v>695</v>
      </c>
      <c r="BD222" s="143"/>
      <c r="BE222" s="143"/>
      <c r="BF222" s="143">
        <v>695</v>
      </c>
      <c r="BG222" s="143">
        <v>0</v>
      </c>
      <c r="BH222" s="148">
        <v>0</v>
      </c>
      <c r="BI222" s="143"/>
      <c r="BJ222" s="148">
        <v>695</v>
      </c>
      <c r="BK222" s="148"/>
      <c r="BL222" s="148"/>
      <c r="BM222" s="148"/>
      <c r="BN222" s="148"/>
      <c r="BO222" s="148"/>
      <c r="BP222" s="148"/>
      <c r="BQ222" s="148"/>
      <c r="BR222" s="148"/>
      <c r="BS222" s="148"/>
      <c r="BT222" s="148">
        <v>0</v>
      </c>
      <c r="BU222" s="148">
        <v>0</v>
      </c>
      <c r="BV222" s="148">
        <v>0</v>
      </c>
      <c r="BW222" s="148">
        <v>0</v>
      </c>
      <c r="BX222" s="231"/>
      <c r="BY222" s="424"/>
    </row>
    <row r="223" spans="1:77" ht="46.15" outlineLevel="1">
      <c r="A223" s="420">
        <v>6</v>
      </c>
      <c r="B223" s="435" t="s">
        <v>2884</v>
      </c>
      <c r="C223" s="428" t="s">
        <v>2350</v>
      </c>
      <c r="D223" s="420" t="s">
        <v>2865</v>
      </c>
      <c r="E223" s="422" t="s">
        <v>49</v>
      </c>
      <c r="F223" s="422" t="s">
        <v>55</v>
      </c>
      <c r="G223" s="151">
        <v>7914541</v>
      </c>
      <c r="H223" s="420" t="s">
        <v>2870</v>
      </c>
      <c r="I223" s="420" t="s">
        <v>76</v>
      </c>
      <c r="J223" s="422">
        <v>2022</v>
      </c>
      <c r="K223" s="424"/>
      <c r="L223" s="420" t="s">
        <v>2885</v>
      </c>
      <c r="M223" s="150">
        <v>9500</v>
      </c>
      <c r="N223" s="424"/>
      <c r="O223" s="424"/>
      <c r="P223" s="150">
        <v>9500</v>
      </c>
      <c r="Q223" s="420" t="s">
        <v>2886</v>
      </c>
      <c r="R223" s="420" t="s">
        <v>2870</v>
      </c>
      <c r="S223" s="422" t="s">
        <v>2862</v>
      </c>
      <c r="T223" s="422" t="s">
        <v>2865</v>
      </c>
      <c r="U223" s="143">
        <f t="shared" si="96"/>
        <v>0</v>
      </c>
      <c r="V223" s="421"/>
      <c r="W223" s="421"/>
      <c r="X223" s="421"/>
      <c r="Y223" s="143">
        <f t="shared" si="98"/>
        <v>8081</v>
      </c>
      <c r="Z223" s="143"/>
      <c r="AA223" s="144"/>
      <c r="AB223" s="143">
        <f t="shared" si="99"/>
        <v>8081</v>
      </c>
      <c r="AC223" s="143">
        <v>0</v>
      </c>
      <c r="AD223" s="144">
        <v>8081</v>
      </c>
      <c r="AE223" s="144"/>
      <c r="AF223" s="143">
        <f t="shared" si="100"/>
        <v>7726.21</v>
      </c>
      <c r="AG223" s="143"/>
      <c r="AH223" s="145"/>
      <c r="AI223" s="143">
        <f t="shared" si="101"/>
        <v>7726.21</v>
      </c>
      <c r="AJ223" s="143">
        <v>0</v>
      </c>
      <c r="AK223" s="144">
        <v>6984.21</v>
      </c>
      <c r="AL223" s="144">
        <v>742</v>
      </c>
      <c r="AM223" s="143">
        <v>7725.109582</v>
      </c>
      <c r="AN223" s="143"/>
      <c r="AO223" s="144">
        <v>740.89958200000001</v>
      </c>
      <c r="AP223" s="143">
        <v>6984.21</v>
      </c>
      <c r="AQ223" s="143">
        <v>0</v>
      </c>
      <c r="AR223" s="144"/>
      <c r="AS223" s="144"/>
      <c r="AT223" s="144">
        <v>6984.21</v>
      </c>
      <c r="AU223" s="144"/>
      <c r="AV223" s="143">
        <f t="shared" si="102"/>
        <v>25.77</v>
      </c>
      <c r="AW223" s="143"/>
      <c r="AX223" s="143"/>
      <c r="AY223" s="143">
        <f t="shared" si="103"/>
        <v>25.77</v>
      </c>
      <c r="AZ223" s="143">
        <v>0</v>
      </c>
      <c r="BA223" s="144">
        <v>25.77</v>
      </c>
      <c r="BB223" s="144"/>
      <c r="BC223" s="143">
        <v>25.77</v>
      </c>
      <c r="BD223" s="143"/>
      <c r="BE223" s="143"/>
      <c r="BF223" s="143">
        <v>25.77</v>
      </c>
      <c r="BG223" s="143">
        <v>0</v>
      </c>
      <c r="BH223" s="148">
        <v>0</v>
      </c>
      <c r="BI223" s="143"/>
      <c r="BJ223" s="148">
        <v>25.77</v>
      </c>
      <c r="BK223" s="148"/>
      <c r="BL223" s="148"/>
      <c r="BM223" s="148"/>
      <c r="BN223" s="148"/>
      <c r="BO223" s="148"/>
      <c r="BP223" s="148"/>
      <c r="BQ223" s="148"/>
      <c r="BR223" s="148"/>
      <c r="BS223" s="148"/>
      <c r="BT223" s="148">
        <v>0</v>
      </c>
      <c r="BU223" s="148">
        <v>0</v>
      </c>
      <c r="BV223" s="148">
        <v>0</v>
      </c>
      <c r="BW223" s="148">
        <v>0</v>
      </c>
      <c r="BX223" s="231"/>
      <c r="BY223" s="421"/>
    </row>
    <row r="224" spans="1:77" ht="30.75" outlineLevel="1">
      <c r="A224" s="420">
        <v>7</v>
      </c>
      <c r="B224" s="442" t="s">
        <v>2887</v>
      </c>
      <c r="C224" s="428" t="s">
        <v>2888</v>
      </c>
      <c r="D224" s="420" t="s">
        <v>2865</v>
      </c>
      <c r="E224" s="422" t="s">
        <v>49</v>
      </c>
      <c r="F224" s="422" t="s">
        <v>125</v>
      </c>
      <c r="G224" s="151">
        <v>7907531</v>
      </c>
      <c r="H224" s="437" t="s">
        <v>2862</v>
      </c>
      <c r="I224" s="420" t="s">
        <v>73</v>
      </c>
      <c r="J224" s="420"/>
      <c r="K224" s="424"/>
      <c r="L224" s="420" t="s">
        <v>2889</v>
      </c>
      <c r="M224" s="150">
        <v>7660</v>
      </c>
      <c r="N224" s="424"/>
      <c r="O224" s="424"/>
      <c r="P224" s="150">
        <v>7660</v>
      </c>
      <c r="Q224" s="420"/>
      <c r="R224" s="437" t="s">
        <v>2862</v>
      </c>
      <c r="S224" s="422" t="s">
        <v>2862</v>
      </c>
      <c r="T224" s="422" t="s">
        <v>2865</v>
      </c>
      <c r="U224" s="143">
        <f t="shared" si="96"/>
        <v>0</v>
      </c>
      <c r="V224" s="421"/>
      <c r="W224" s="421"/>
      <c r="X224" s="421"/>
      <c r="Y224" s="143">
        <f t="shared" si="98"/>
        <v>6015</v>
      </c>
      <c r="Z224" s="143"/>
      <c r="AA224" s="143"/>
      <c r="AB224" s="143">
        <f t="shared" si="99"/>
        <v>6015</v>
      </c>
      <c r="AC224" s="143">
        <v>0</v>
      </c>
      <c r="AD224" s="144">
        <v>6015</v>
      </c>
      <c r="AE224" s="144"/>
      <c r="AF224" s="143">
        <f t="shared" si="100"/>
        <v>5086.0659999999998</v>
      </c>
      <c r="AG224" s="143"/>
      <c r="AH224" s="143"/>
      <c r="AI224" s="143">
        <f t="shared" si="101"/>
        <v>5086.0659999999998</v>
      </c>
      <c r="AJ224" s="143">
        <v>0</v>
      </c>
      <c r="AK224" s="144">
        <v>5086.0659999999998</v>
      </c>
      <c r="AL224" s="144"/>
      <c r="AM224" s="143">
        <v>5055.0717690000001</v>
      </c>
      <c r="AN224" s="143"/>
      <c r="AO224" s="143"/>
      <c r="AP224" s="143">
        <v>5055.0717690000001</v>
      </c>
      <c r="AQ224" s="143">
        <v>0</v>
      </c>
      <c r="AR224" s="143"/>
      <c r="AS224" s="144"/>
      <c r="AT224" s="144">
        <v>5055.0717690000001</v>
      </c>
      <c r="AU224" s="144"/>
      <c r="AV224" s="143">
        <f t="shared" si="102"/>
        <v>0</v>
      </c>
      <c r="AW224" s="143"/>
      <c r="AX224" s="143"/>
      <c r="AY224" s="143">
        <f t="shared" si="103"/>
        <v>0</v>
      </c>
      <c r="AZ224" s="143">
        <v>0</v>
      </c>
      <c r="BA224" s="144">
        <v>0</v>
      </c>
      <c r="BB224" s="144"/>
      <c r="BC224" s="143">
        <v>0</v>
      </c>
      <c r="BD224" s="143"/>
      <c r="BE224" s="143"/>
      <c r="BF224" s="143">
        <v>0</v>
      </c>
      <c r="BG224" s="143">
        <v>0</v>
      </c>
      <c r="BH224" s="148">
        <v>0</v>
      </c>
      <c r="BI224" s="143"/>
      <c r="BJ224" s="148"/>
      <c r="BK224" s="148"/>
      <c r="BL224" s="148"/>
      <c r="BM224" s="148"/>
      <c r="BN224" s="148"/>
      <c r="BO224" s="148"/>
      <c r="BP224" s="148"/>
      <c r="BQ224" s="148"/>
      <c r="BR224" s="148"/>
      <c r="BS224" s="148"/>
      <c r="BT224" s="148"/>
      <c r="BU224" s="148"/>
      <c r="BV224" s="148"/>
      <c r="BW224" s="148"/>
      <c r="BX224" s="231"/>
      <c r="BY224" s="424"/>
    </row>
    <row r="225" spans="1:77" ht="46.15" outlineLevel="1">
      <c r="A225" s="420">
        <v>8</v>
      </c>
      <c r="B225" s="435" t="s">
        <v>2890</v>
      </c>
      <c r="C225" s="428" t="s">
        <v>2864</v>
      </c>
      <c r="D225" s="420" t="s">
        <v>2865</v>
      </c>
      <c r="E225" s="422" t="s">
        <v>49</v>
      </c>
      <c r="F225" s="422" t="s">
        <v>48</v>
      </c>
      <c r="G225" s="142">
        <v>7893542</v>
      </c>
      <c r="H225" s="420" t="s">
        <v>2879</v>
      </c>
      <c r="I225" s="420" t="s">
        <v>891</v>
      </c>
      <c r="J225" s="420"/>
      <c r="K225" s="424"/>
      <c r="L225" s="436" t="s">
        <v>2891</v>
      </c>
      <c r="M225" s="146">
        <v>290</v>
      </c>
      <c r="N225" s="424"/>
      <c r="O225" s="424"/>
      <c r="P225" s="146">
        <v>290</v>
      </c>
      <c r="Q225" s="420"/>
      <c r="R225" s="420" t="s">
        <v>2879</v>
      </c>
      <c r="S225" s="422" t="s">
        <v>2862</v>
      </c>
      <c r="T225" s="422" t="s">
        <v>2865</v>
      </c>
      <c r="U225" s="143">
        <f t="shared" si="96"/>
        <v>0</v>
      </c>
      <c r="V225" s="421"/>
      <c r="W225" s="421"/>
      <c r="X225" s="421"/>
      <c r="Y225" s="143">
        <f t="shared" si="98"/>
        <v>257</v>
      </c>
      <c r="Z225" s="143"/>
      <c r="AA225" s="143"/>
      <c r="AB225" s="143">
        <f t="shared" si="99"/>
        <v>257</v>
      </c>
      <c r="AC225" s="143">
        <v>0</v>
      </c>
      <c r="AD225" s="144">
        <v>257</v>
      </c>
      <c r="AE225" s="144"/>
      <c r="AF225" s="143">
        <f t="shared" si="100"/>
        <v>259</v>
      </c>
      <c r="AG225" s="143"/>
      <c r="AH225" s="143"/>
      <c r="AI225" s="143">
        <f t="shared" si="101"/>
        <v>259</v>
      </c>
      <c r="AJ225" s="143">
        <v>0</v>
      </c>
      <c r="AK225" s="144">
        <v>259</v>
      </c>
      <c r="AL225" s="144"/>
      <c r="AM225" s="143">
        <v>258.392</v>
      </c>
      <c r="AN225" s="143"/>
      <c r="AO225" s="143"/>
      <c r="AP225" s="143">
        <v>258.392</v>
      </c>
      <c r="AQ225" s="143">
        <v>0</v>
      </c>
      <c r="AR225" s="143"/>
      <c r="AS225" s="144"/>
      <c r="AT225" s="144">
        <v>258.392</v>
      </c>
      <c r="AU225" s="144"/>
      <c r="AV225" s="143">
        <f t="shared" si="102"/>
        <v>0</v>
      </c>
      <c r="AW225" s="143"/>
      <c r="AX225" s="143"/>
      <c r="AY225" s="143">
        <f t="shared" si="103"/>
        <v>0</v>
      </c>
      <c r="AZ225" s="143">
        <v>0</v>
      </c>
      <c r="BA225" s="144">
        <v>0</v>
      </c>
      <c r="BB225" s="144"/>
      <c r="BC225" s="143">
        <v>0</v>
      </c>
      <c r="BD225" s="143"/>
      <c r="BE225" s="143"/>
      <c r="BF225" s="143">
        <v>0</v>
      </c>
      <c r="BG225" s="143">
        <v>0</v>
      </c>
      <c r="BH225" s="148">
        <v>0</v>
      </c>
      <c r="BI225" s="143"/>
      <c r="BJ225" s="148"/>
      <c r="BK225" s="148"/>
      <c r="BL225" s="148"/>
      <c r="BM225" s="148"/>
      <c r="BN225" s="148"/>
      <c r="BO225" s="148"/>
      <c r="BP225" s="148"/>
      <c r="BQ225" s="148"/>
      <c r="BR225" s="148"/>
      <c r="BS225" s="148"/>
      <c r="BT225" s="148"/>
      <c r="BU225" s="148"/>
      <c r="BV225" s="148"/>
      <c r="BW225" s="148"/>
      <c r="BX225" s="231"/>
      <c r="BY225" s="424"/>
    </row>
    <row r="226" spans="1:77" ht="46.15" outlineLevel="1">
      <c r="A226" s="420">
        <v>9</v>
      </c>
      <c r="B226" s="435" t="s">
        <v>2892</v>
      </c>
      <c r="C226" s="428" t="s">
        <v>2864</v>
      </c>
      <c r="D226" s="420" t="s">
        <v>2865</v>
      </c>
      <c r="E226" s="422" t="s">
        <v>49</v>
      </c>
      <c r="F226" s="422" t="s">
        <v>48</v>
      </c>
      <c r="G226" s="142">
        <v>7893539</v>
      </c>
      <c r="H226" s="420" t="s">
        <v>2879</v>
      </c>
      <c r="I226" s="420" t="s">
        <v>891</v>
      </c>
      <c r="J226" s="420"/>
      <c r="K226" s="424"/>
      <c r="L226" s="436" t="s">
        <v>2893</v>
      </c>
      <c r="M226" s="146">
        <v>2200</v>
      </c>
      <c r="N226" s="424"/>
      <c r="O226" s="424"/>
      <c r="P226" s="146">
        <v>2200</v>
      </c>
      <c r="Q226" s="420"/>
      <c r="R226" s="420" t="s">
        <v>2879</v>
      </c>
      <c r="S226" s="422" t="s">
        <v>2862</v>
      </c>
      <c r="T226" s="422" t="s">
        <v>2865</v>
      </c>
      <c r="U226" s="143">
        <f t="shared" si="96"/>
        <v>0</v>
      </c>
      <c r="V226" s="421"/>
      <c r="W226" s="421"/>
      <c r="X226" s="421"/>
      <c r="Y226" s="143">
        <f t="shared" si="98"/>
        <v>2097</v>
      </c>
      <c r="Z226" s="143"/>
      <c r="AA226" s="143"/>
      <c r="AB226" s="143">
        <f t="shared" si="99"/>
        <v>2097</v>
      </c>
      <c r="AC226" s="143">
        <v>0</v>
      </c>
      <c r="AD226" s="144">
        <v>2097</v>
      </c>
      <c r="AE226" s="144"/>
      <c r="AF226" s="143">
        <f t="shared" si="100"/>
        <v>2097</v>
      </c>
      <c r="AG226" s="143"/>
      <c r="AH226" s="143"/>
      <c r="AI226" s="143">
        <f t="shared" si="101"/>
        <v>2097</v>
      </c>
      <c r="AJ226" s="143">
        <v>0</v>
      </c>
      <c r="AK226" s="144">
        <v>2097</v>
      </c>
      <c r="AL226" s="144"/>
      <c r="AM226" s="143">
        <v>2096.7968719999999</v>
      </c>
      <c r="AN226" s="143"/>
      <c r="AO226" s="143"/>
      <c r="AP226" s="143">
        <v>2096.7968719999999</v>
      </c>
      <c r="AQ226" s="143">
        <v>0</v>
      </c>
      <c r="AR226" s="143"/>
      <c r="AS226" s="144"/>
      <c r="AT226" s="144">
        <v>2096.7968719999999</v>
      </c>
      <c r="AU226" s="144"/>
      <c r="AV226" s="143">
        <f t="shared" si="102"/>
        <v>0</v>
      </c>
      <c r="AW226" s="143"/>
      <c r="AX226" s="143"/>
      <c r="AY226" s="143">
        <f t="shared" si="103"/>
        <v>0</v>
      </c>
      <c r="AZ226" s="143">
        <v>0</v>
      </c>
      <c r="BA226" s="144">
        <v>0</v>
      </c>
      <c r="BB226" s="144"/>
      <c r="BC226" s="143">
        <v>0</v>
      </c>
      <c r="BD226" s="143"/>
      <c r="BE226" s="143"/>
      <c r="BF226" s="143">
        <v>0</v>
      </c>
      <c r="BG226" s="143">
        <v>0</v>
      </c>
      <c r="BH226" s="148">
        <v>0</v>
      </c>
      <c r="BI226" s="143"/>
      <c r="BJ226" s="148"/>
      <c r="BK226" s="148"/>
      <c r="BL226" s="148"/>
      <c r="BM226" s="148"/>
      <c r="BN226" s="148"/>
      <c r="BO226" s="148"/>
      <c r="BP226" s="148"/>
      <c r="BQ226" s="148"/>
      <c r="BR226" s="148"/>
      <c r="BS226" s="148"/>
      <c r="BT226" s="148"/>
      <c r="BU226" s="148"/>
      <c r="BV226" s="148"/>
      <c r="BW226" s="148"/>
      <c r="BX226" s="231"/>
      <c r="BY226" s="424"/>
    </row>
    <row r="227" spans="1:77" ht="46.15" outlineLevel="1">
      <c r="A227" s="420">
        <v>10</v>
      </c>
      <c r="B227" s="435" t="s">
        <v>2894</v>
      </c>
      <c r="C227" s="428" t="s">
        <v>2864</v>
      </c>
      <c r="D227" s="420" t="s">
        <v>2865</v>
      </c>
      <c r="E227" s="422" t="s">
        <v>49</v>
      </c>
      <c r="F227" s="422" t="s">
        <v>48</v>
      </c>
      <c r="G227" s="142">
        <v>7893540</v>
      </c>
      <c r="H227" s="420" t="s">
        <v>2879</v>
      </c>
      <c r="I227" s="420" t="s">
        <v>891</v>
      </c>
      <c r="J227" s="420"/>
      <c r="K227" s="424"/>
      <c r="L227" s="436" t="s">
        <v>2895</v>
      </c>
      <c r="M227" s="146">
        <v>550</v>
      </c>
      <c r="N227" s="424"/>
      <c r="O227" s="424"/>
      <c r="P227" s="146">
        <v>550</v>
      </c>
      <c r="Q227" s="420"/>
      <c r="R227" s="420" t="s">
        <v>2879</v>
      </c>
      <c r="S227" s="422" t="s">
        <v>2862</v>
      </c>
      <c r="T227" s="422" t="s">
        <v>2865</v>
      </c>
      <c r="U227" s="143">
        <f t="shared" si="96"/>
        <v>0</v>
      </c>
      <c r="V227" s="421"/>
      <c r="W227" s="421"/>
      <c r="X227" s="421"/>
      <c r="Y227" s="143">
        <f t="shared" si="98"/>
        <v>549</v>
      </c>
      <c r="Z227" s="143"/>
      <c r="AA227" s="143"/>
      <c r="AB227" s="143">
        <f t="shared" si="99"/>
        <v>549</v>
      </c>
      <c r="AC227" s="143">
        <v>0</v>
      </c>
      <c r="AD227" s="144">
        <v>549</v>
      </c>
      <c r="AE227" s="144"/>
      <c r="AF227" s="143">
        <f t="shared" si="100"/>
        <v>534</v>
      </c>
      <c r="AG227" s="143"/>
      <c r="AH227" s="143"/>
      <c r="AI227" s="143">
        <f t="shared" si="101"/>
        <v>534</v>
      </c>
      <c r="AJ227" s="143">
        <v>0</v>
      </c>
      <c r="AK227" s="144">
        <v>534</v>
      </c>
      <c r="AL227" s="144"/>
      <c r="AM227" s="143">
        <v>534</v>
      </c>
      <c r="AN227" s="143"/>
      <c r="AO227" s="143"/>
      <c r="AP227" s="143">
        <v>534</v>
      </c>
      <c r="AQ227" s="143">
        <v>0</v>
      </c>
      <c r="AR227" s="143"/>
      <c r="AS227" s="144"/>
      <c r="AT227" s="144">
        <v>534</v>
      </c>
      <c r="AU227" s="144"/>
      <c r="AV227" s="143">
        <f t="shared" si="102"/>
        <v>0</v>
      </c>
      <c r="AW227" s="143"/>
      <c r="AX227" s="143"/>
      <c r="AY227" s="143">
        <f t="shared" si="103"/>
        <v>0</v>
      </c>
      <c r="AZ227" s="143">
        <v>0</v>
      </c>
      <c r="BA227" s="144">
        <v>0</v>
      </c>
      <c r="BB227" s="144"/>
      <c r="BC227" s="143">
        <v>0</v>
      </c>
      <c r="BD227" s="143"/>
      <c r="BE227" s="143"/>
      <c r="BF227" s="143">
        <v>0</v>
      </c>
      <c r="BG227" s="143">
        <v>0</v>
      </c>
      <c r="BH227" s="148">
        <v>0</v>
      </c>
      <c r="BI227" s="143"/>
      <c r="BJ227" s="148"/>
      <c r="BK227" s="148"/>
      <c r="BL227" s="148"/>
      <c r="BM227" s="148"/>
      <c r="BN227" s="148"/>
      <c r="BO227" s="148"/>
      <c r="BP227" s="148"/>
      <c r="BQ227" s="148"/>
      <c r="BR227" s="148"/>
      <c r="BS227" s="148"/>
      <c r="BT227" s="148"/>
      <c r="BU227" s="148"/>
      <c r="BV227" s="148"/>
      <c r="BW227" s="148"/>
      <c r="BX227" s="231"/>
      <c r="BY227" s="424"/>
    </row>
    <row r="228" spans="1:77" ht="46.15" outlineLevel="1">
      <c r="A228" s="420">
        <v>11</v>
      </c>
      <c r="B228" s="421" t="s">
        <v>2896</v>
      </c>
      <c r="C228" s="420" t="s">
        <v>2864</v>
      </c>
      <c r="D228" s="420" t="s">
        <v>2865</v>
      </c>
      <c r="E228" s="422" t="s">
        <v>49</v>
      </c>
      <c r="F228" s="422" t="s">
        <v>48</v>
      </c>
      <c r="G228" s="150">
        <v>7939767</v>
      </c>
      <c r="H228" s="437" t="s">
        <v>2879</v>
      </c>
      <c r="I228" s="420" t="s">
        <v>906</v>
      </c>
      <c r="J228" s="420"/>
      <c r="K228" s="424"/>
      <c r="L228" s="420" t="s">
        <v>2897</v>
      </c>
      <c r="M228" s="440">
        <v>231.2</v>
      </c>
      <c r="N228" s="424"/>
      <c r="O228" s="424"/>
      <c r="P228" s="440">
        <v>231.2</v>
      </c>
      <c r="Q228" s="420"/>
      <c r="R228" s="437" t="s">
        <v>2879</v>
      </c>
      <c r="S228" s="422" t="s">
        <v>2862</v>
      </c>
      <c r="T228" s="422" t="s">
        <v>2865</v>
      </c>
      <c r="U228" s="143">
        <f t="shared" si="96"/>
        <v>0</v>
      </c>
      <c r="V228" s="421"/>
      <c r="W228" s="421"/>
      <c r="X228" s="421"/>
      <c r="Y228" s="143">
        <f t="shared" si="98"/>
        <v>231</v>
      </c>
      <c r="Z228" s="143"/>
      <c r="AA228" s="143"/>
      <c r="AB228" s="143">
        <f t="shared" si="99"/>
        <v>231</v>
      </c>
      <c r="AC228" s="143">
        <v>0</v>
      </c>
      <c r="AD228" s="144">
        <v>231</v>
      </c>
      <c r="AE228" s="144"/>
      <c r="AF228" s="143">
        <f t="shared" si="100"/>
        <v>228.785</v>
      </c>
      <c r="AG228" s="143"/>
      <c r="AH228" s="143"/>
      <c r="AI228" s="143">
        <f t="shared" si="101"/>
        <v>228.785</v>
      </c>
      <c r="AJ228" s="143">
        <v>0</v>
      </c>
      <c r="AK228" s="144">
        <v>228.785</v>
      </c>
      <c r="AL228" s="144"/>
      <c r="AM228" s="143">
        <v>228.78410600000001</v>
      </c>
      <c r="AN228" s="143"/>
      <c r="AO228" s="143"/>
      <c r="AP228" s="143">
        <v>228.78410600000001</v>
      </c>
      <c r="AQ228" s="143">
        <v>0</v>
      </c>
      <c r="AR228" s="143"/>
      <c r="AS228" s="144"/>
      <c r="AT228" s="144">
        <v>228.78410600000001</v>
      </c>
      <c r="AU228" s="144"/>
      <c r="AV228" s="143">
        <f t="shared" si="102"/>
        <v>0</v>
      </c>
      <c r="AW228" s="143"/>
      <c r="AX228" s="143"/>
      <c r="AY228" s="143">
        <f t="shared" si="103"/>
        <v>0</v>
      </c>
      <c r="AZ228" s="143">
        <v>0</v>
      </c>
      <c r="BA228" s="144">
        <v>0</v>
      </c>
      <c r="BB228" s="144"/>
      <c r="BC228" s="143">
        <v>0</v>
      </c>
      <c r="BD228" s="143"/>
      <c r="BE228" s="143"/>
      <c r="BF228" s="143">
        <v>0</v>
      </c>
      <c r="BG228" s="143">
        <v>0</v>
      </c>
      <c r="BH228" s="148">
        <v>0</v>
      </c>
      <c r="BI228" s="143"/>
      <c r="BJ228" s="148"/>
      <c r="BK228" s="148"/>
      <c r="BL228" s="148"/>
      <c r="BM228" s="148"/>
      <c r="BN228" s="148"/>
      <c r="BO228" s="148"/>
      <c r="BP228" s="148"/>
      <c r="BQ228" s="148"/>
      <c r="BR228" s="148"/>
      <c r="BS228" s="148"/>
      <c r="BT228" s="148"/>
      <c r="BU228" s="148"/>
      <c r="BV228" s="148"/>
      <c r="BW228" s="148"/>
      <c r="BX228" s="231"/>
      <c r="BY228" s="424"/>
    </row>
    <row r="229" spans="1:77" ht="46.15" outlineLevel="1">
      <c r="A229" s="420">
        <v>12</v>
      </c>
      <c r="B229" s="442" t="s">
        <v>2898</v>
      </c>
      <c r="C229" s="428" t="s">
        <v>2888</v>
      </c>
      <c r="D229" s="420" t="s">
        <v>2865</v>
      </c>
      <c r="E229" s="422" t="s">
        <v>49</v>
      </c>
      <c r="F229" s="422" t="s">
        <v>125</v>
      </c>
      <c r="G229" s="142">
        <v>7912219</v>
      </c>
      <c r="H229" s="437" t="s">
        <v>2868</v>
      </c>
      <c r="I229" s="420" t="s">
        <v>891</v>
      </c>
      <c r="J229" s="420"/>
      <c r="K229" s="424"/>
      <c r="L229" s="436" t="s">
        <v>2899</v>
      </c>
      <c r="M229" s="146">
        <v>510</v>
      </c>
      <c r="N229" s="424"/>
      <c r="O229" s="424"/>
      <c r="P229" s="424"/>
      <c r="Q229" s="420"/>
      <c r="R229" s="437" t="s">
        <v>2868</v>
      </c>
      <c r="S229" s="422" t="s">
        <v>2862</v>
      </c>
      <c r="T229" s="422" t="s">
        <v>2865</v>
      </c>
      <c r="U229" s="143">
        <f t="shared" si="96"/>
        <v>0</v>
      </c>
      <c r="V229" s="421"/>
      <c r="W229" s="421"/>
      <c r="X229" s="421"/>
      <c r="Y229" s="143">
        <f t="shared" si="98"/>
        <v>419</v>
      </c>
      <c r="Z229" s="143"/>
      <c r="AA229" s="143"/>
      <c r="AB229" s="143">
        <f t="shared" si="99"/>
        <v>419</v>
      </c>
      <c r="AC229" s="143">
        <v>0</v>
      </c>
      <c r="AD229" s="144"/>
      <c r="AE229" s="144">
        <v>419</v>
      </c>
      <c r="AF229" s="143">
        <f t="shared" si="100"/>
        <v>419</v>
      </c>
      <c r="AG229" s="143"/>
      <c r="AH229" s="143"/>
      <c r="AI229" s="143">
        <f t="shared" si="101"/>
        <v>419</v>
      </c>
      <c r="AJ229" s="143">
        <v>0</v>
      </c>
      <c r="AK229" s="144"/>
      <c r="AL229" s="144">
        <v>419</v>
      </c>
      <c r="AM229" s="143">
        <v>416.77820000000003</v>
      </c>
      <c r="AN229" s="143"/>
      <c r="AO229" s="143"/>
      <c r="AP229" s="143">
        <v>416.77820000000003</v>
      </c>
      <c r="AQ229" s="143">
        <v>0</v>
      </c>
      <c r="AR229" s="144"/>
      <c r="AS229" s="144"/>
      <c r="AT229" s="144"/>
      <c r="AU229" s="144">
        <v>416.77820000000003</v>
      </c>
      <c r="AV229" s="143">
        <f t="shared" si="102"/>
        <v>0</v>
      </c>
      <c r="AW229" s="143"/>
      <c r="AX229" s="143"/>
      <c r="AY229" s="143">
        <f t="shared" si="103"/>
        <v>0</v>
      </c>
      <c r="AZ229" s="143">
        <v>0</v>
      </c>
      <c r="BA229" s="144"/>
      <c r="BB229" s="144"/>
      <c r="BC229" s="143">
        <v>0</v>
      </c>
      <c r="BD229" s="143"/>
      <c r="BE229" s="143"/>
      <c r="BF229" s="143">
        <v>0</v>
      </c>
      <c r="BG229" s="143">
        <v>0</v>
      </c>
      <c r="BH229" s="148">
        <v>0</v>
      </c>
      <c r="BI229" s="143"/>
      <c r="BJ229" s="148"/>
      <c r="BK229" s="148"/>
      <c r="BL229" s="148"/>
      <c r="BM229" s="148"/>
      <c r="BN229" s="148"/>
      <c r="BO229" s="148"/>
      <c r="BP229" s="148"/>
      <c r="BQ229" s="148"/>
      <c r="BR229" s="148"/>
      <c r="BS229" s="148"/>
      <c r="BT229" s="148"/>
      <c r="BU229" s="148"/>
      <c r="BV229" s="148"/>
      <c r="BW229" s="148"/>
      <c r="BX229" s="231"/>
      <c r="BY229" s="424"/>
    </row>
    <row r="230" spans="1:77" ht="46.15" outlineLevel="1">
      <c r="A230" s="420">
        <v>13</v>
      </c>
      <c r="B230" s="442" t="s">
        <v>2900</v>
      </c>
      <c r="C230" s="428" t="s">
        <v>2888</v>
      </c>
      <c r="D230" s="420" t="s">
        <v>2865</v>
      </c>
      <c r="E230" s="422" t="s">
        <v>49</v>
      </c>
      <c r="F230" s="422" t="s">
        <v>125</v>
      </c>
      <c r="G230" s="142">
        <v>7912218</v>
      </c>
      <c r="H230" s="437" t="s">
        <v>2868</v>
      </c>
      <c r="I230" s="420" t="s">
        <v>891</v>
      </c>
      <c r="J230" s="420"/>
      <c r="K230" s="424"/>
      <c r="L230" s="436" t="s">
        <v>2901</v>
      </c>
      <c r="M230" s="146">
        <v>999.99199999999996</v>
      </c>
      <c r="N230" s="424"/>
      <c r="O230" s="424"/>
      <c r="P230" s="424"/>
      <c r="Q230" s="420"/>
      <c r="R230" s="437" t="s">
        <v>2868</v>
      </c>
      <c r="S230" s="422" t="s">
        <v>2862</v>
      </c>
      <c r="T230" s="422" t="s">
        <v>2865</v>
      </c>
      <c r="U230" s="143">
        <f t="shared" si="96"/>
        <v>0</v>
      </c>
      <c r="V230" s="421"/>
      <c r="W230" s="421"/>
      <c r="X230" s="421"/>
      <c r="Y230" s="143">
        <f t="shared" si="98"/>
        <v>973</v>
      </c>
      <c r="Z230" s="143"/>
      <c r="AA230" s="143"/>
      <c r="AB230" s="143">
        <f t="shared" si="99"/>
        <v>973</v>
      </c>
      <c r="AC230" s="143">
        <v>0</v>
      </c>
      <c r="AD230" s="144"/>
      <c r="AE230" s="144">
        <v>973</v>
      </c>
      <c r="AF230" s="143">
        <f t="shared" si="100"/>
        <v>973</v>
      </c>
      <c r="AG230" s="143"/>
      <c r="AH230" s="143"/>
      <c r="AI230" s="143">
        <f t="shared" si="101"/>
        <v>973</v>
      </c>
      <c r="AJ230" s="143">
        <v>0</v>
      </c>
      <c r="AK230" s="144"/>
      <c r="AL230" s="144">
        <v>973</v>
      </c>
      <c r="AM230" s="143">
        <v>969.88509999999997</v>
      </c>
      <c r="AN230" s="143"/>
      <c r="AO230" s="143"/>
      <c r="AP230" s="143">
        <v>969.88509999999997</v>
      </c>
      <c r="AQ230" s="143">
        <v>0</v>
      </c>
      <c r="AR230" s="144"/>
      <c r="AS230" s="144"/>
      <c r="AT230" s="144"/>
      <c r="AU230" s="144">
        <v>969.88509999999997</v>
      </c>
      <c r="AV230" s="143">
        <f t="shared" si="102"/>
        <v>0</v>
      </c>
      <c r="AW230" s="143"/>
      <c r="AX230" s="143"/>
      <c r="AY230" s="143">
        <f t="shared" si="103"/>
        <v>0</v>
      </c>
      <c r="AZ230" s="143">
        <v>0</v>
      </c>
      <c r="BA230" s="144"/>
      <c r="BB230" s="144"/>
      <c r="BC230" s="143">
        <v>0</v>
      </c>
      <c r="BD230" s="143"/>
      <c r="BE230" s="143"/>
      <c r="BF230" s="143">
        <v>0</v>
      </c>
      <c r="BG230" s="143">
        <v>0</v>
      </c>
      <c r="BH230" s="148">
        <v>0</v>
      </c>
      <c r="BI230" s="143"/>
      <c r="BJ230" s="148"/>
      <c r="BK230" s="148"/>
      <c r="BL230" s="148"/>
      <c r="BM230" s="148"/>
      <c r="BN230" s="148"/>
      <c r="BO230" s="148"/>
      <c r="BP230" s="148"/>
      <c r="BQ230" s="148"/>
      <c r="BR230" s="148"/>
      <c r="BS230" s="148"/>
      <c r="BT230" s="148"/>
      <c r="BU230" s="148"/>
      <c r="BV230" s="148"/>
      <c r="BW230" s="148"/>
      <c r="BX230" s="231"/>
      <c r="BY230" s="424"/>
    </row>
    <row r="231" spans="1:77" ht="30.75" outlineLevel="1">
      <c r="A231" s="420">
        <v>14</v>
      </c>
      <c r="B231" s="421" t="s">
        <v>2902</v>
      </c>
      <c r="C231" s="428" t="s">
        <v>2903</v>
      </c>
      <c r="D231" s="420" t="s">
        <v>2865</v>
      </c>
      <c r="E231" s="422" t="s">
        <v>49</v>
      </c>
      <c r="F231" s="422" t="s">
        <v>125</v>
      </c>
      <c r="G231" s="150">
        <v>8023607</v>
      </c>
      <c r="H231" s="437" t="s">
        <v>2870</v>
      </c>
      <c r="I231" s="420" t="s">
        <v>910</v>
      </c>
      <c r="J231" s="420"/>
      <c r="K231" s="424"/>
      <c r="L231" s="420" t="s">
        <v>2904</v>
      </c>
      <c r="M231" s="453">
        <v>600</v>
      </c>
      <c r="N231" s="424"/>
      <c r="O231" s="424"/>
      <c r="P231" s="424"/>
      <c r="Q231" s="420"/>
      <c r="R231" s="437" t="s">
        <v>2870</v>
      </c>
      <c r="S231" s="422" t="s">
        <v>2862</v>
      </c>
      <c r="T231" s="422" t="s">
        <v>2865</v>
      </c>
      <c r="U231" s="143">
        <f t="shared" si="96"/>
        <v>0</v>
      </c>
      <c r="V231" s="421"/>
      <c r="W231" s="421"/>
      <c r="X231" s="421"/>
      <c r="Y231" s="143">
        <f t="shared" si="98"/>
        <v>600</v>
      </c>
      <c r="Z231" s="143"/>
      <c r="AA231" s="143"/>
      <c r="AB231" s="143">
        <f t="shared" si="99"/>
        <v>600</v>
      </c>
      <c r="AC231" s="143">
        <v>0</v>
      </c>
      <c r="AD231" s="144"/>
      <c r="AE231" s="144">
        <v>600</v>
      </c>
      <c r="AF231" s="143">
        <f t="shared" si="100"/>
        <v>600</v>
      </c>
      <c r="AG231" s="143"/>
      <c r="AH231" s="143"/>
      <c r="AI231" s="143">
        <f t="shared" si="101"/>
        <v>600</v>
      </c>
      <c r="AJ231" s="143">
        <v>0</v>
      </c>
      <c r="AK231" s="144"/>
      <c r="AL231" s="144">
        <v>600</v>
      </c>
      <c r="AM231" s="143">
        <v>585.72159999999997</v>
      </c>
      <c r="AN231" s="143"/>
      <c r="AO231" s="143"/>
      <c r="AP231" s="143">
        <v>585.72159999999997</v>
      </c>
      <c r="AQ231" s="143">
        <v>0</v>
      </c>
      <c r="AR231" s="144"/>
      <c r="AS231" s="144"/>
      <c r="AT231" s="144"/>
      <c r="AU231" s="144">
        <v>585.72159999999997</v>
      </c>
      <c r="AV231" s="143">
        <f t="shared" si="102"/>
        <v>0</v>
      </c>
      <c r="AW231" s="143"/>
      <c r="AX231" s="143"/>
      <c r="AY231" s="143">
        <f t="shared" si="103"/>
        <v>0</v>
      </c>
      <c r="AZ231" s="143">
        <v>0</v>
      </c>
      <c r="BA231" s="144"/>
      <c r="BB231" s="144"/>
      <c r="BC231" s="143">
        <v>0</v>
      </c>
      <c r="BD231" s="143"/>
      <c r="BE231" s="143"/>
      <c r="BF231" s="143">
        <v>0</v>
      </c>
      <c r="BG231" s="143">
        <v>0</v>
      </c>
      <c r="BH231" s="148">
        <v>0</v>
      </c>
      <c r="BI231" s="143"/>
      <c r="BJ231" s="148"/>
      <c r="BK231" s="153"/>
      <c r="BL231" s="153"/>
      <c r="BM231" s="153"/>
      <c r="BN231" s="153"/>
      <c r="BO231" s="153"/>
      <c r="BP231" s="153"/>
      <c r="BQ231" s="153"/>
      <c r="BR231" s="153"/>
      <c r="BS231" s="153"/>
      <c r="BT231" s="153"/>
      <c r="BU231" s="153"/>
      <c r="BV231" s="153"/>
      <c r="BW231" s="153"/>
      <c r="BX231" s="232"/>
      <c r="BY231" s="426"/>
    </row>
    <row r="232" spans="1:77" ht="46.15" outlineLevel="1">
      <c r="A232" s="420">
        <v>15</v>
      </c>
      <c r="B232" s="447" t="s">
        <v>2881</v>
      </c>
      <c r="C232" s="428" t="s">
        <v>2350</v>
      </c>
      <c r="D232" s="420" t="s">
        <v>2865</v>
      </c>
      <c r="E232" s="422" t="s">
        <v>49</v>
      </c>
      <c r="F232" s="422" t="s">
        <v>48</v>
      </c>
      <c r="G232" s="464">
        <v>7912216</v>
      </c>
      <c r="H232" s="250" t="s">
        <v>2879</v>
      </c>
      <c r="I232" s="420" t="s">
        <v>73</v>
      </c>
      <c r="J232" s="422">
        <v>2021</v>
      </c>
      <c r="K232" s="424"/>
      <c r="L232" s="420" t="s">
        <v>2882</v>
      </c>
      <c r="M232" s="149">
        <v>10901</v>
      </c>
      <c r="N232" s="424"/>
      <c r="O232" s="149">
        <v>10901</v>
      </c>
      <c r="P232" s="424"/>
      <c r="Q232" s="420" t="s">
        <v>2905</v>
      </c>
      <c r="R232" s="250" t="s">
        <v>2879</v>
      </c>
      <c r="S232" s="422" t="s">
        <v>2862</v>
      </c>
      <c r="T232" s="422" t="s">
        <v>2865</v>
      </c>
      <c r="U232" s="143">
        <f t="shared" si="96"/>
        <v>0</v>
      </c>
      <c r="V232" s="421"/>
      <c r="W232" s="421"/>
      <c r="X232" s="421"/>
      <c r="Y232" s="143">
        <f t="shared" si="98"/>
        <v>5000</v>
      </c>
      <c r="Z232" s="144"/>
      <c r="AA232" s="145"/>
      <c r="AB232" s="143">
        <f t="shared" si="99"/>
        <v>5000</v>
      </c>
      <c r="AC232" s="143">
        <v>5000</v>
      </c>
      <c r="AD232" s="144"/>
      <c r="AE232" s="144"/>
      <c r="AF232" s="143">
        <f t="shared" si="100"/>
        <v>5000</v>
      </c>
      <c r="AG232" s="144"/>
      <c r="AH232" s="145"/>
      <c r="AI232" s="143">
        <f t="shared" si="101"/>
        <v>5000</v>
      </c>
      <c r="AJ232" s="143">
        <v>5000</v>
      </c>
      <c r="AK232" s="144"/>
      <c r="AL232" s="144"/>
      <c r="AM232" s="143">
        <v>5000</v>
      </c>
      <c r="AN232" s="144"/>
      <c r="AO232" s="144"/>
      <c r="AP232" s="143">
        <v>5000</v>
      </c>
      <c r="AQ232" s="143">
        <v>5000</v>
      </c>
      <c r="AR232" s="144">
        <v>5000</v>
      </c>
      <c r="AS232" s="144"/>
      <c r="AT232" s="144"/>
      <c r="AU232" s="144"/>
      <c r="AV232" s="143">
        <f t="shared" si="102"/>
        <v>0</v>
      </c>
      <c r="AW232" s="144"/>
      <c r="AX232" s="144"/>
      <c r="AY232" s="143">
        <f t="shared" si="103"/>
        <v>0</v>
      </c>
      <c r="AZ232" s="143">
        <v>0</v>
      </c>
      <c r="BA232" s="144"/>
      <c r="BB232" s="144"/>
      <c r="BC232" s="143">
        <v>0</v>
      </c>
      <c r="BD232" s="144"/>
      <c r="BE232" s="144"/>
      <c r="BF232" s="148"/>
      <c r="BG232" s="143">
        <v>0</v>
      </c>
      <c r="BH232" s="148">
        <v>0</v>
      </c>
      <c r="BI232" s="143"/>
      <c r="BJ232" s="148"/>
      <c r="BK232" s="153"/>
      <c r="BL232" s="153">
        <v>0</v>
      </c>
      <c r="BM232" s="153"/>
      <c r="BN232" s="153"/>
      <c r="BO232" s="153"/>
      <c r="BP232" s="153">
        <v>0</v>
      </c>
      <c r="BQ232" s="153"/>
      <c r="BR232" s="153"/>
      <c r="BS232" s="153"/>
      <c r="BT232" s="153"/>
      <c r="BU232" s="153"/>
      <c r="BV232" s="153"/>
      <c r="BW232" s="153"/>
      <c r="BX232" s="232"/>
      <c r="BY232" s="421"/>
    </row>
    <row r="233" spans="1:77" ht="30.75" outlineLevel="1">
      <c r="A233" s="420">
        <v>16</v>
      </c>
      <c r="B233" s="421" t="s">
        <v>2906</v>
      </c>
      <c r="C233" s="423" t="s">
        <v>2903</v>
      </c>
      <c r="D233" s="420" t="s">
        <v>2865</v>
      </c>
      <c r="E233" s="422" t="s">
        <v>49</v>
      </c>
      <c r="F233" s="431" t="s">
        <v>48</v>
      </c>
      <c r="G233" s="421"/>
      <c r="H233" s="423" t="s">
        <v>2870</v>
      </c>
      <c r="I233" s="420" t="s">
        <v>1127</v>
      </c>
      <c r="J233" s="420"/>
      <c r="K233" s="424"/>
      <c r="L233" s="420" t="s">
        <v>2907</v>
      </c>
      <c r="M233" s="149">
        <v>1412</v>
      </c>
      <c r="N233" s="424"/>
      <c r="O233" s="149">
        <v>1350</v>
      </c>
      <c r="P233" s="424"/>
      <c r="Q233" s="420"/>
      <c r="R233" s="423" t="s">
        <v>2870</v>
      </c>
      <c r="S233" s="422" t="s">
        <v>2862</v>
      </c>
      <c r="T233" s="422" t="s">
        <v>2865</v>
      </c>
      <c r="U233" s="143">
        <f t="shared" si="96"/>
        <v>0</v>
      </c>
      <c r="V233" s="421"/>
      <c r="W233" s="421"/>
      <c r="X233" s="421"/>
      <c r="Y233" s="143">
        <f t="shared" si="98"/>
        <v>1350</v>
      </c>
      <c r="Z233" s="144"/>
      <c r="AA233" s="145"/>
      <c r="AB233" s="143">
        <f t="shared" si="99"/>
        <v>1350</v>
      </c>
      <c r="AC233" s="143">
        <v>1350</v>
      </c>
      <c r="AD233" s="144"/>
      <c r="AE233" s="144"/>
      <c r="AF233" s="143">
        <f t="shared" si="100"/>
        <v>1350</v>
      </c>
      <c r="AG233" s="144"/>
      <c r="AH233" s="145"/>
      <c r="AI233" s="143">
        <f t="shared" si="101"/>
        <v>1350</v>
      </c>
      <c r="AJ233" s="143">
        <v>1350</v>
      </c>
      <c r="AK233" s="144"/>
      <c r="AL233" s="144"/>
      <c r="AM233" s="143">
        <v>0</v>
      </c>
      <c r="AN233" s="144"/>
      <c r="AO233" s="144"/>
      <c r="AP233" s="143">
        <v>0</v>
      </c>
      <c r="AQ233" s="143">
        <v>0</v>
      </c>
      <c r="AR233" s="144">
        <v>0</v>
      </c>
      <c r="AS233" s="144"/>
      <c r="AT233" s="144"/>
      <c r="AU233" s="144"/>
      <c r="AV233" s="143">
        <f t="shared" si="102"/>
        <v>0</v>
      </c>
      <c r="AW233" s="144"/>
      <c r="AX233" s="144"/>
      <c r="AY233" s="143">
        <f t="shared" si="103"/>
        <v>0</v>
      </c>
      <c r="AZ233" s="143">
        <v>0</v>
      </c>
      <c r="BA233" s="144"/>
      <c r="BB233" s="144"/>
      <c r="BC233" s="143">
        <v>0</v>
      </c>
      <c r="BD233" s="144"/>
      <c r="BE233" s="144"/>
      <c r="BF233" s="148"/>
      <c r="BG233" s="143">
        <v>0</v>
      </c>
      <c r="BH233" s="148">
        <v>0</v>
      </c>
      <c r="BI233" s="143"/>
      <c r="BJ233" s="148"/>
      <c r="BK233" s="153"/>
      <c r="BL233" s="153">
        <v>0</v>
      </c>
      <c r="BM233" s="153"/>
      <c r="BN233" s="153"/>
      <c r="BO233" s="153"/>
      <c r="BP233" s="153">
        <v>0</v>
      </c>
      <c r="BQ233" s="153"/>
      <c r="BR233" s="153"/>
      <c r="BS233" s="153"/>
      <c r="BT233" s="153"/>
      <c r="BU233" s="153"/>
      <c r="BV233" s="153"/>
      <c r="BW233" s="153"/>
      <c r="BX233" s="232"/>
      <c r="BY233" s="421"/>
    </row>
    <row r="234" spans="1:77" s="457" customFormat="1" ht="43.5" customHeight="1" outlineLevel="1">
      <c r="A234" s="430" t="s">
        <v>45</v>
      </c>
      <c r="B234" s="456" t="s">
        <v>2513</v>
      </c>
      <c r="C234" s="418"/>
      <c r="D234" s="418"/>
      <c r="E234" s="418"/>
      <c r="F234" s="418"/>
      <c r="G234" s="418"/>
      <c r="H234" s="419">
        <f>SUM(H263:H265)</f>
        <v>0</v>
      </c>
      <c r="I234" s="418"/>
      <c r="J234" s="419"/>
      <c r="K234" s="419"/>
      <c r="L234" s="419"/>
      <c r="M234" s="419">
        <f>SUM(M235:M240)</f>
        <v>30230.2</v>
      </c>
      <c r="N234" s="419">
        <f t="shared" ref="N234:BY234" si="104">SUM(N235:N240)</f>
        <v>0</v>
      </c>
      <c r="O234" s="419">
        <f t="shared" si="104"/>
        <v>0</v>
      </c>
      <c r="P234" s="419">
        <f t="shared" si="104"/>
        <v>30230.2</v>
      </c>
      <c r="Q234" s="419">
        <f t="shared" si="104"/>
        <v>0</v>
      </c>
      <c r="R234" s="419">
        <f t="shared" si="104"/>
        <v>0</v>
      </c>
      <c r="S234" s="419">
        <f t="shared" si="104"/>
        <v>0</v>
      </c>
      <c r="T234" s="419">
        <f t="shared" si="104"/>
        <v>0</v>
      </c>
      <c r="U234" s="419">
        <f t="shared" si="104"/>
        <v>0</v>
      </c>
      <c r="V234" s="419">
        <f t="shared" si="104"/>
        <v>0</v>
      </c>
      <c r="W234" s="419">
        <f t="shared" si="104"/>
        <v>0</v>
      </c>
      <c r="X234" s="419">
        <f t="shared" si="104"/>
        <v>0</v>
      </c>
      <c r="Y234" s="419">
        <f t="shared" si="104"/>
        <v>11133</v>
      </c>
      <c r="Z234" s="419">
        <f t="shared" si="104"/>
        <v>0</v>
      </c>
      <c r="AA234" s="419">
        <f t="shared" si="104"/>
        <v>0</v>
      </c>
      <c r="AB234" s="419">
        <f t="shared" si="104"/>
        <v>11133</v>
      </c>
      <c r="AC234" s="419">
        <f t="shared" si="104"/>
        <v>0</v>
      </c>
      <c r="AD234" s="419">
        <f t="shared" si="104"/>
        <v>11133</v>
      </c>
      <c r="AE234" s="419">
        <f t="shared" si="104"/>
        <v>0</v>
      </c>
      <c r="AF234" s="419">
        <f t="shared" si="104"/>
        <v>0</v>
      </c>
      <c r="AG234" s="419">
        <f t="shared" si="104"/>
        <v>0</v>
      </c>
      <c r="AH234" s="419">
        <f t="shared" si="104"/>
        <v>0</v>
      </c>
      <c r="AI234" s="419">
        <f t="shared" si="104"/>
        <v>0</v>
      </c>
      <c r="AJ234" s="419">
        <f t="shared" si="104"/>
        <v>0</v>
      </c>
      <c r="AK234" s="419">
        <f t="shared" si="104"/>
        <v>0</v>
      </c>
      <c r="AL234" s="419">
        <f t="shared" si="104"/>
        <v>0</v>
      </c>
      <c r="AM234" s="419">
        <f t="shared" si="104"/>
        <v>0</v>
      </c>
      <c r="AN234" s="419">
        <f t="shared" si="104"/>
        <v>0</v>
      </c>
      <c r="AO234" s="419">
        <f t="shared" si="104"/>
        <v>0</v>
      </c>
      <c r="AP234" s="419">
        <f t="shared" si="104"/>
        <v>0</v>
      </c>
      <c r="AQ234" s="419">
        <f t="shared" si="104"/>
        <v>0</v>
      </c>
      <c r="AR234" s="419">
        <f t="shared" si="104"/>
        <v>0</v>
      </c>
      <c r="AS234" s="419">
        <f t="shared" si="104"/>
        <v>0</v>
      </c>
      <c r="AT234" s="419">
        <f t="shared" si="104"/>
        <v>0</v>
      </c>
      <c r="AU234" s="419">
        <f t="shared" si="104"/>
        <v>0</v>
      </c>
      <c r="AV234" s="419">
        <f t="shared" si="104"/>
        <v>0</v>
      </c>
      <c r="AW234" s="419">
        <f t="shared" si="104"/>
        <v>0</v>
      </c>
      <c r="AX234" s="419">
        <f t="shared" si="104"/>
        <v>0</v>
      </c>
      <c r="AY234" s="419">
        <f t="shared" si="104"/>
        <v>0</v>
      </c>
      <c r="AZ234" s="419">
        <f t="shared" si="104"/>
        <v>0</v>
      </c>
      <c r="BA234" s="419">
        <f t="shared" si="104"/>
        <v>0</v>
      </c>
      <c r="BB234" s="419">
        <f t="shared" si="104"/>
        <v>0</v>
      </c>
      <c r="BC234" s="419">
        <f t="shared" si="104"/>
        <v>0</v>
      </c>
      <c r="BD234" s="419">
        <f t="shared" si="104"/>
        <v>0</v>
      </c>
      <c r="BE234" s="419">
        <f t="shared" si="104"/>
        <v>0</v>
      </c>
      <c r="BF234" s="419">
        <f t="shared" si="104"/>
        <v>0</v>
      </c>
      <c r="BG234" s="419">
        <f t="shared" si="104"/>
        <v>0</v>
      </c>
      <c r="BH234" s="419">
        <f t="shared" si="104"/>
        <v>0</v>
      </c>
      <c r="BI234" s="419">
        <f t="shared" si="104"/>
        <v>0</v>
      </c>
      <c r="BJ234" s="419">
        <f t="shared" si="104"/>
        <v>0</v>
      </c>
      <c r="BK234" s="419">
        <f t="shared" si="104"/>
        <v>0</v>
      </c>
      <c r="BL234" s="419">
        <f t="shared" si="104"/>
        <v>0</v>
      </c>
      <c r="BM234" s="419">
        <f t="shared" si="104"/>
        <v>0</v>
      </c>
      <c r="BN234" s="419">
        <f t="shared" si="104"/>
        <v>0</v>
      </c>
      <c r="BO234" s="419">
        <f t="shared" si="104"/>
        <v>0</v>
      </c>
      <c r="BP234" s="419">
        <f t="shared" si="104"/>
        <v>0</v>
      </c>
      <c r="BQ234" s="419">
        <f t="shared" si="104"/>
        <v>0</v>
      </c>
      <c r="BR234" s="419">
        <f t="shared" si="104"/>
        <v>0</v>
      </c>
      <c r="BS234" s="419">
        <f t="shared" si="104"/>
        <v>0</v>
      </c>
      <c r="BT234" s="419">
        <f t="shared" si="104"/>
        <v>0</v>
      </c>
      <c r="BU234" s="419">
        <f t="shared" si="104"/>
        <v>0</v>
      </c>
      <c r="BV234" s="419">
        <f t="shared" si="104"/>
        <v>0</v>
      </c>
      <c r="BW234" s="419">
        <f t="shared" si="104"/>
        <v>0</v>
      </c>
      <c r="BX234" s="454"/>
      <c r="BY234" s="419">
        <f t="shared" si="104"/>
        <v>0</v>
      </c>
    </row>
    <row r="235" spans="1:77" ht="30.75" outlineLevel="1">
      <c r="A235" s="420">
        <v>1</v>
      </c>
      <c r="B235" s="442" t="s">
        <v>2908</v>
      </c>
      <c r="C235" s="428" t="s">
        <v>2350</v>
      </c>
      <c r="D235" s="420" t="s">
        <v>2865</v>
      </c>
      <c r="E235" s="420" t="s">
        <v>49</v>
      </c>
      <c r="F235" s="431" t="s">
        <v>48</v>
      </c>
      <c r="G235" s="151"/>
      <c r="H235" s="437" t="s">
        <v>2862</v>
      </c>
      <c r="I235" s="420" t="s">
        <v>2502</v>
      </c>
      <c r="J235" s="420" t="s">
        <v>2503</v>
      </c>
      <c r="K235" s="422"/>
      <c r="L235" s="420" t="s">
        <v>2909</v>
      </c>
      <c r="M235" s="252">
        <v>4963.2</v>
      </c>
      <c r="N235" s="422"/>
      <c r="O235" s="422"/>
      <c r="P235" s="252">
        <v>4963.2</v>
      </c>
      <c r="Q235" s="420"/>
      <c r="R235" s="437" t="s">
        <v>2862</v>
      </c>
      <c r="S235" s="422" t="s">
        <v>2862</v>
      </c>
      <c r="T235" s="422" t="s">
        <v>2865</v>
      </c>
      <c r="U235" s="143">
        <f t="shared" ref="U235:U240" si="105">V235+W235+X235</f>
        <v>0</v>
      </c>
      <c r="V235" s="420"/>
      <c r="W235" s="420"/>
      <c r="X235" s="420"/>
      <c r="Y235" s="143">
        <f t="shared" ref="Y235:Y240" si="106">SUM(Z235:AB235)</f>
        <v>0</v>
      </c>
      <c r="Z235" s="143"/>
      <c r="AA235" s="143"/>
      <c r="AB235" s="143">
        <f t="shared" ref="AB235:AB240" si="107">AC235+AD235+AE235</f>
        <v>0</v>
      </c>
      <c r="AC235" s="143">
        <v>0</v>
      </c>
      <c r="AD235" s="143">
        <v>0</v>
      </c>
      <c r="AE235" s="143"/>
      <c r="AF235" s="143">
        <f t="shared" ref="AF235:AF240" si="108">SUM(AG235:AI235)</f>
        <v>0</v>
      </c>
      <c r="AG235" s="143"/>
      <c r="AH235" s="143"/>
      <c r="AI235" s="143">
        <f t="shared" ref="AI235:AI240" si="109">SUM(AJ235:AL235)</f>
        <v>0</v>
      </c>
      <c r="AJ235" s="143">
        <v>0</v>
      </c>
      <c r="AK235" s="143">
        <v>0</v>
      </c>
      <c r="AL235" s="143"/>
      <c r="AM235" s="143">
        <v>0</v>
      </c>
      <c r="AN235" s="143"/>
      <c r="AO235" s="143"/>
      <c r="AP235" s="143">
        <v>0</v>
      </c>
      <c r="AQ235" s="143">
        <v>0</v>
      </c>
      <c r="AR235" s="143"/>
      <c r="AS235" s="143"/>
      <c r="AT235" s="143">
        <v>0</v>
      </c>
      <c r="AU235" s="143"/>
      <c r="AV235" s="143">
        <f t="shared" ref="AV235:AV240" si="110">SUM(AW235:AY235)</f>
        <v>0</v>
      </c>
      <c r="AW235" s="143"/>
      <c r="AX235" s="143"/>
      <c r="AY235" s="143">
        <f t="shared" ref="AY235:AY240" si="111">SUM(AZ235:BB235)</f>
        <v>0</v>
      </c>
      <c r="AZ235" s="143">
        <v>0</v>
      </c>
      <c r="BA235" s="143">
        <v>0</v>
      </c>
      <c r="BB235" s="143"/>
      <c r="BC235" s="143">
        <v>0</v>
      </c>
      <c r="BD235" s="143"/>
      <c r="BE235" s="143"/>
      <c r="BF235" s="143">
        <v>0</v>
      </c>
      <c r="BG235" s="143">
        <v>0</v>
      </c>
      <c r="BH235" s="143"/>
      <c r="BI235" s="143"/>
      <c r="BJ235" s="143"/>
      <c r="BK235" s="143"/>
      <c r="BL235" s="143"/>
      <c r="BM235" s="143"/>
      <c r="BN235" s="143"/>
      <c r="BO235" s="143"/>
      <c r="BP235" s="143"/>
      <c r="BQ235" s="143"/>
      <c r="BR235" s="143"/>
      <c r="BS235" s="143"/>
      <c r="BT235" s="143"/>
      <c r="BU235" s="143"/>
      <c r="BV235" s="143"/>
      <c r="BW235" s="143"/>
      <c r="BX235" s="230"/>
      <c r="BY235" s="433"/>
    </row>
    <row r="236" spans="1:77" ht="30.75" outlineLevel="1">
      <c r="A236" s="420">
        <v>2</v>
      </c>
      <c r="B236" s="442" t="s">
        <v>2910</v>
      </c>
      <c r="C236" s="428" t="s">
        <v>2350</v>
      </c>
      <c r="D236" s="420" t="s">
        <v>2865</v>
      </c>
      <c r="E236" s="420" t="s">
        <v>49</v>
      </c>
      <c r="F236" s="431" t="s">
        <v>48</v>
      </c>
      <c r="G236" s="142">
        <v>7920777</v>
      </c>
      <c r="H236" s="437" t="s">
        <v>2862</v>
      </c>
      <c r="I236" s="420" t="s">
        <v>2502</v>
      </c>
      <c r="J236" s="420" t="s">
        <v>2503</v>
      </c>
      <c r="K236" s="422"/>
      <c r="L236" s="420" t="s">
        <v>2911</v>
      </c>
      <c r="M236" s="252">
        <v>18175</v>
      </c>
      <c r="N236" s="422"/>
      <c r="O236" s="422"/>
      <c r="P236" s="252">
        <v>18175</v>
      </c>
      <c r="Q236" s="420"/>
      <c r="R236" s="437" t="s">
        <v>2862</v>
      </c>
      <c r="S236" s="422" t="s">
        <v>2862</v>
      </c>
      <c r="T236" s="422" t="s">
        <v>2865</v>
      </c>
      <c r="U236" s="143">
        <f t="shared" si="105"/>
        <v>0</v>
      </c>
      <c r="V236" s="420"/>
      <c r="W236" s="420"/>
      <c r="X236" s="420"/>
      <c r="Y236" s="143">
        <f t="shared" si="106"/>
        <v>4158</v>
      </c>
      <c r="Z236" s="143"/>
      <c r="AA236" s="143"/>
      <c r="AB236" s="143">
        <f t="shared" si="107"/>
        <v>4158</v>
      </c>
      <c r="AC236" s="143">
        <v>0</v>
      </c>
      <c r="AD236" s="143">
        <v>4158</v>
      </c>
      <c r="AE236" s="143"/>
      <c r="AF236" s="143">
        <f t="shared" si="108"/>
        <v>0</v>
      </c>
      <c r="AG236" s="143"/>
      <c r="AH236" s="143"/>
      <c r="AI236" s="143">
        <f t="shared" si="109"/>
        <v>0</v>
      </c>
      <c r="AJ236" s="143">
        <v>0</v>
      </c>
      <c r="AK236" s="143">
        <v>0</v>
      </c>
      <c r="AL236" s="143"/>
      <c r="AM236" s="143">
        <v>0</v>
      </c>
      <c r="AN236" s="143"/>
      <c r="AO236" s="143"/>
      <c r="AP236" s="143">
        <v>0</v>
      </c>
      <c r="AQ236" s="143">
        <v>0</v>
      </c>
      <c r="AR236" s="143"/>
      <c r="AS236" s="143"/>
      <c r="AT236" s="143">
        <v>0</v>
      </c>
      <c r="AU236" s="143"/>
      <c r="AV236" s="143">
        <f t="shared" si="110"/>
        <v>0</v>
      </c>
      <c r="AW236" s="143"/>
      <c r="AX236" s="143"/>
      <c r="AY236" s="143">
        <f t="shared" si="111"/>
        <v>0</v>
      </c>
      <c r="AZ236" s="143">
        <v>0</v>
      </c>
      <c r="BA236" s="143">
        <v>0</v>
      </c>
      <c r="BB236" s="143"/>
      <c r="BC236" s="143">
        <v>0</v>
      </c>
      <c r="BD236" s="143"/>
      <c r="BE236" s="143"/>
      <c r="BF236" s="143">
        <v>0</v>
      </c>
      <c r="BG236" s="143">
        <v>0</v>
      </c>
      <c r="BH236" s="143"/>
      <c r="BI236" s="143"/>
      <c r="BJ236" s="143"/>
      <c r="BK236" s="143"/>
      <c r="BL236" s="143"/>
      <c r="BM236" s="143"/>
      <c r="BN236" s="143"/>
      <c r="BO236" s="143"/>
      <c r="BP236" s="143"/>
      <c r="BQ236" s="143"/>
      <c r="BR236" s="143"/>
      <c r="BS236" s="143"/>
      <c r="BT236" s="143"/>
      <c r="BU236" s="143"/>
      <c r="BV236" s="143"/>
      <c r="BW236" s="143"/>
      <c r="BX236" s="230"/>
      <c r="BY236" s="433"/>
    </row>
    <row r="237" spans="1:77" ht="39.75" customHeight="1" outlineLevel="1">
      <c r="A237" s="420">
        <v>3</v>
      </c>
      <c r="B237" s="421" t="s">
        <v>2912</v>
      </c>
      <c r="C237" s="420" t="s">
        <v>2888</v>
      </c>
      <c r="D237" s="420" t="s">
        <v>2865</v>
      </c>
      <c r="E237" s="422" t="s">
        <v>49</v>
      </c>
      <c r="F237" s="422" t="s">
        <v>125</v>
      </c>
      <c r="G237" s="151"/>
      <c r="H237" s="437" t="s">
        <v>2868</v>
      </c>
      <c r="I237" s="420" t="s">
        <v>2706</v>
      </c>
      <c r="J237" s="420"/>
      <c r="K237" s="424"/>
      <c r="L237" s="420" t="s">
        <v>2913</v>
      </c>
      <c r="M237" s="453">
        <v>600</v>
      </c>
      <c r="N237" s="424"/>
      <c r="O237" s="424"/>
      <c r="P237" s="421">
        <v>600</v>
      </c>
      <c r="Q237" s="420"/>
      <c r="R237" s="437" t="s">
        <v>2868</v>
      </c>
      <c r="S237" s="422" t="s">
        <v>2862</v>
      </c>
      <c r="T237" s="422" t="s">
        <v>2865</v>
      </c>
      <c r="U237" s="143">
        <f t="shared" si="105"/>
        <v>0</v>
      </c>
      <c r="V237" s="421"/>
      <c r="W237" s="421"/>
      <c r="X237" s="421"/>
      <c r="Y237" s="143">
        <f t="shared" si="106"/>
        <v>600</v>
      </c>
      <c r="Z237" s="143"/>
      <c r="AA237" s="143"/>
      <c r="AB237" s="143">
        <f t="shared" si="107"/>
        <v>600</v>
      </c>
      <c r="AC237" s="143">
        <v>0</v>
      </c>
      <c r="AD237" s="144">
        <v>600</v>
      </c>
      <c r="AE237" s="144"/>
      <c r="AF237" s="143">
        <f t="shared" si="108"/>
        <v>0</v>
      </c>
      <c r="AG237" s="143"/>
      <c r="AH237" s="143"/>
      <c r="AI237" s="143">
        <f t="shared" si="109"/>
        <v>0</v>
      </c>
      <c r="AJ237" s="143">
        <v>0</v>
      </c>
      <c r="AK237" s="144">
        <v>0</v>
      </c>
      <c r="AL237" s="144"/>
      <c r="AM237" s="143">
        <v>0</v>
      </c>
      <c r="AN237" s="143"/>
      <c r="AO237" s="143"/>
      <c r="AP237" s="143">
        <v>0</v>
      </c>
      <c r="AQ237" s="143">
        <v>0</v>
      </c>
      <c r="AR237" s="143"/>
      <c r="AS237" s="144"/>
      <c r="AT237" s="144">
        <v>0</v>
      </c>
      <c r="AU237" s="144"/>
      <c r="AV237" s="143">
        <f t="shared" si="110"/>
        <v>0</v>
      </c>
      <c r="AW237" s="143"/>
      <c r="AX237" s="143"/>
      <c r="AY237" s="143">
        <f t="shared" si="111"/>
        <v>0</v>
      </c>
      <c r="AZ237" s="143">
        <v>0</v>
      </c>
      <c r="BA237" s="144">
        <v>0</v>
      </c>
      <c r="BB237" s="144"/>
      <c r="BC237" s="143">
        <v>0</v>
      </c>
      <c r="BD237" s="143"/>
      <c r="BE237" s="143"/>
      <c r="BF237" s="143">
        <v>0</v>
      </c>
      <c r="BG237" s="143">
        <v>0</v>
      </c>
      <c r="BH237" s="148"/>
      <c r="BI237" s="148"/>
      <c r="BJ237" s="148"/>
      <c r="BK237" s="148"/>
      <c r="BL237" s="148"/>
      <c r="BM237" s="148"/>
      <c r="BN237" s="148"/>
      <c r="BO237" s="148"/>
      <c r="BP237" s="148"/>
      <c r="BQ237" s="148"/>
      <c r="BR237" s="148"/>
      <c r="BS237" s="148"/>
      <c r="BT237" s="148"/>
      <c r="BU237" s="148"/>
      <c r="BV237" s="148"/>
      <c r="BW237" s="148"/>
      <c r="BX237" s="231"/>
      <c r="BY237" s="424"/>
    </row>
    <row r="238" spans="1:77" ht="36" customHeight="1" outlineLevel="1">
      <c r="A238" s="420">
        <v>4</v>
      </c>
      <c r="B238" s="421" t="s">
        <v>2914</v>
      </c>
      <c r="C238" s="420" t="s">
        <v>2864</v>
      </c>
      <c r="D238" s="420" t="s">
        <v>2865</v>
      </c>
      <c r="E238" s="422" t="s">
        <v>49</v>
      </c>
      <c r="F238" s="422" t="s">
        <v>125</v>
      </c>
      <c r="G238" s="151"/>
      <c r="H238" s="437" t="s">
        <v>2879</v>
      </c>
      <c r="I238" s="420" t="s">
        <v>2706</v>
      </c>
      <c r="J238" s="420"/>
      <c r="K238" s="424"/>
      <c r="L238" s="420" t="s">
        <v>2915</v>
      </c>
      <c r="M238" s="453">
        <v>600</v>
      </c>
      <c r="N238" s="424"/>
      <c r="O238" s="424"/>
      <c r="P238" s="421">
        <v>600</v>
      </c>
      <c r="Q238" s="420"/>
      <c r="R238" s="437" t="s">
        <v>2879</v>
      </c>
      <c r="S238" s="422" t="s">
        <v>2862</v>
      </c>
      <c r="T238" s="422" t="s">
        <v>2865</v>
      </c>
      <c r="U238" s="143">
        <f t="shared" si="105"/>
        <v>0</v>
      </c>
      <c r="V238" s="421"/>
      <c r="W238" s="421"/>
      <c r="X238" s="421"/>
      <c r="Y238" s="143">
        <f t="shared" si="106"/>
        <v>600</v>
      </c>
      <c r="Z238" s="143"/>
      <c r="AA238" s="143"/>
      <c r="AB238" s="143">
        <f t="shared" si="107"/>
        <v>600</v>
      </c>
      <c r="AC238" s="143">
        <v>0</v>
      </c>
      <c r="AD238" s="144">
        <v>600</v>
      </c>
      <c r="AE238" s="144"/>
      <c r="AF238" s="143">
        <f t="shared" si="108"/>
        <v>0</v>
      </c>
      <c r="AG238" s="143"/>
      <c r="AH238" s="143"/>
      <c r="AI238" s="143">
        <f t="shared" si="109"/>
        <v>0</v>
      </c>
      <c r="AJ238" s="143">
        <v>0</v>
      </c>
      <c r="AK238" s="144">
        <v>0</v>
      </c>
      <c r="AL238" s="144"/>
      <c r="AM238" s="143">
        <v>0</v>
      </c>
      <c r="AN238" s="143"/>
      <c r="AO238" s="143"/>
      <c r="AP238" s="143">
        <v>0</v>
      </c>
      <c r="AQ238" s="143">
        <v>0</v>
      </c>
      <c r="AR238" s="143"/>
      <c r="AS238" s="144"/>
      <c r="AT238" s="144">
        <v>0</v>
      </c>
      <c r="AU238" s="144"/>
      <c r="AV238" s="143">
        <f t="shared" si="110"/>
        <v>0</v>
      </c>
      <c r="AW238" s="143"/>
      <c r="AX238" s="143"/>
      <c r="AY238" s="143">
        <f t="shared" si="111"/>
        <v>0</v>
      </c>
      <c r="AZ238" s="143">
        <v>0</v>
      </c>
      <c r="BA238" s="144">
        <v>0</v>
      </c>
      <c r="BB238" s="144"/>
      <c r="BC238" s="143">
        <v>0</v>
      </c>
      <c r="BD238" s="143"/>
      <c r="BE238" s="143"/>
      <c r="BF238" s="143">
        <v>0</v>
      </c>
      <c r="BG238" s="143">
        <v>0</v>
      </c>
      <c r="BH238" s="148"/>
      <c r="BI238" s="148"/>
      <c r="BJ238" s="148"/>
      <c r="BK238" s="148"/>
      <c r="BL238" s="148"/>
      <c r="BM238" s="148"/>
      <c r="BN238" s="148"/>
      <c r="BO238" s="148"/>
      <c r="BP238" s="148"/>
      <c r="BQ238" s="148"/>
      <c r="BR238" s="148"/>
      <c r="BS238" s="148"/>
      <c r="BT238" s="148"/>
      <c r="BU238" s="148"/>
      <c r="BV238" s="148"/>
      <c r="BW238" s="148"/>
      <c r="BX238" s="231"/>
      <c r="BY238" s="424"/>
    </row>
    <row r="239" spans="1:77" ht="46.15" outlineLevel="1">
      <c r="A239" s="420">
        <v>5</v>
      </c>
      <c r="B239" s="421" t="s">
        <v>2916</v>
      </c>
      <c r="C239" s="420" t="s">
        <v>2888</v>
      </c>
      <c r="D239" s="420" t="s">
        <v>2865</v>
      </c>
      <c r="E239" s="422" t="s">
        <v>49</v>
      </c>
      <c r="F239" s="422" t="s">
        <v>125</v>
      </c>
      <c r="G239" s="150"/>
      <c r="H239" s="437" t="s">
        <v>2868</v>
      </c>
      <c r="I239" s="420" t="s">
        <v>2706</v>
      </c>
      <c r="J239" s="420"/>
      <c r="K239" s="424"/>
      <c r="L239" s="142" t="s">
        <v>2917</v>
      </c>
      <c r="M239" s="149">
        <v>3560</v>
      </c>
      <c r="N239" s="424"/>
      <c r="O239" s="424"/>
      <c r="P239" s="149">
        <v>3560</v>
      </c>
      <c r="Q239" s="420"/>
      <c r="R239" s="437" t="s">
        <v>2868</v>
      </c>
      <c r="S239" s="422" t="s">
        <v>2862</v>
      </c>
      <c r="T239" s="422" t="s">
        <v>2865</v>
      </c>
      <c r="U239" s="143">
        <f t="shared" si="105"/>
        <v>0</v>
      </c>
      <c r="V239" s="421"/>
      <c r="W239" s="421"/>
      <c r="X239" s="421"/>
      <c r="Y239" s="143">
        <f t="shared" si="106"/>
        <v>3560</v>
      </c>
      <c r="Z239" s="143"/>
      <c r="AA239" s="143"/>
      <c r="AB239" s="143">
        <f t="shared" si="107"/>
        <v>3560</v>
      </c>
      <c r="AC239" s="143">
        <v>0</v>
      </c>
      <c r="AD239" s="144">
        <v>3560</v>
      </c>
      <c r="AE239" s="144"/>
      <c r="AF239" s="143">
        <f t="shared" si="108"/>
        <v>0</v>
      </c>
      <c r="AG239" s="143"/>
      <c r="AH239" s="143"/>
      <c r="AI239" s="143">
        <f t="shared" si="109"/>
        <v>0</v>
      </c>
      <c r="AJ239" s="143">
        <v>0</v>
      </c>
      <c r="AK239" s="144">
        <v>0</v>
      </c>
      <c r="AL239" s="144"/>
      <c r="AM239" s="143">
        <v>0</v>
      </c>
      <c r="AN239" s="143"/>
      <c r="AO239" s="143"/>
      <c r="AP239" s="143">
        <v>0</v>
      </c>
      <c r="AQ239" s="143">
        <v>0</v>
      </c>
      <c r="AR239" s="143"/>
      <c r="AS239" s="144"/>
      <c r="AT239" s="144">
        <v>0</v>
      </c>
      <c r="AU239" s="144"/>
      <c r="AV239" s="143">
        <f t="shared" si="110"/>
        <v>0</v>
      </c>
      <c r="AW239" s="143"/>
      <c r="AX239" s="143"/>
      <c r="AY239" s="143">
        <f t="shared" si="111"/>
        <v>0</v>
      </c>
      <c r="AZ239" s="143">
        <v>0</v>
      </c>
      <c r="BA239" s="144">
        <v>0</v>
      </c>
      <c r="BB239" s="144"/>
      <c r="BC239" s="143">
        <v>0</v>
      </c>
      <c r="BD239" s="143"/>
      <c r="BE239" s="143"/>
      <c r="BF239" s="143">
        <v>0</v>
      </c>
      <c r="BG239" s="143">
        <v>0</v>
      </c>
      <c r="BH239" s="148"/>
      <c r="BI239" s="148"/>
      <c r="BJ239" s="148"/>
      <c r="BK239" s="148"/>
      <c r="BL239" s="148"/>
      <c r="BM239" s="148"/>
      <c r="BN239" s="148"/>
      <c r="BO239" s="148"/>
      <c r="BP239" s="148"/>
      <c r="BQ239" s="148"/>
      <c r="BR239" s="148"/>
      <c r="BS239" s="148"/>
      <c r="BT239" s="148"/>
      <c r="BU239" s="148"/>
      <c r="BV239" s="148"/>
      <c r="BW239" s="148"/>
      <c r="BX239" s="231"/>
      <c r="BY239" s="424"/>
    </row>
    <row r="240" spans="1:77" ht="39" customHeight="1" outlineLevel="1">
      <c r="A240" s="420">
        <v>6</v>
      </c>
      <c r="B240" s="442" t="s">
        <v>2918</v>
      </c>
      <c r="C240" s="420" t="s">
        <v>2903</v>
      </c>
      <c r="D240" s="420" t="s">
        <v>2865</v>
      </c>
      <c r="E240" s="422" t="s">
        <v>49</v>
      </c>
      <c r="F240" s="422" t="s">
        <v>125</v>
      </c>
      <c r="G240" s="151"/>
      <c r="H240" s="437" t="s">
        <v>2870</v>
      </c>
      <c r="I240" s="420" t="s">
        <v>2706</v>
      </c>
      <c r="J240" s="420"/>
      <c r="K240" s="424"/>
      <c r="L240" s="420" t="s">
        <v>2919</v>
      </c>
      <c r="M240" s="142">
        <v>2332</v>
      </c>
      <c r="N240" s="424"/>
      <c r="O240" s="424"/>
      <c r="P240" s="142">
        <v>2332</v>
      </c>
      <c r="Q240" s="420"/>
      <c r="R240" s="437" t="s">
        <v>2870</v>
      </c>
      <c r="S240" s="422" t="s">
        <v>2862</v>
      </c>
      <c r="T240" s="422" t="s">
        <v>2865</v>
      </c>
      <c r="U240" s="143">
        <f t="shared" si="105"/>
        <v>0</v>
      </c>
      <c r="V240" s="421"/>
      <c r="W240" s="421"/>
      <c r="X240" s="421"/>
      <c r="Y240" s="143">
        <f t="shared" si="106"/>
        <v>2215</v>
      </c>
      <c r="Z240" s="143"/>
      <c r="AA240" s="143"/>
      <c r="AB240" s="143">
        <f t="shared" si="107"/>
        <v>2215</v>
      </c>
      <c r="AC240" s="143">
        <v>0</v>
      </c>
      <c r="AD240" s="144">
        <v>2215</v>
      </c>
      <c r="AE240" s="144"/>
      <c r="AF240" s="143">
        <f t="shared" si="108"/>
        <v>0</v>
      </c>
      <c r="AG240" s="143"/>
      <c r="AH240" s="143"/>
      <c r="AI240" s="143">
        <f t="shared" si="109"/>
        <v>0</v>
      </c>
      <c r="AJ240" s="143">
        <v>0</v>
      </c>
      <c r="AK240" s="144">
        <v>0</v>
      </c>
      <c r="AL240" s="144"/>
      <c r="AM240" s="143">
        <v>0</v>
      </c>
      <c r="AN240" s="143"/>
      <c r="AO240" s="143"/>
      <c r="AP240" s="143">
        <v>0</v>
      </c>
      <c r="AQ240" s="143">
        <v>0</v>
      </c>
      <c r="AR240" s="143"/>
      <c r="AS240" s="144"/>
      <c r="AT240" s="144">
        <v>0</v>
      </c>
      <c r="AU240" s="144"/>
      <c r="AV240" s="143">
        <f t="shared" si="110"/>
        <v>0</v>
      </c>
      <c r="AW240" s="143"/>
      <c r="AX240" s="143"/>
      <c r="AY240" s="143">
        <f t="shared" si="111"/>
        <v>0</v>
      </c>
      <c r="AZ240" s="143">
        <v>0</v>
      </c>
      <c r="BA240" s="144">
        <v>0</v>
      </c>
      <c r="BB240" s="144"/>
      <c r="BC240" s="143">
        <v>0</v>
      </c>
      <c r="BD240" s="143"/>
      <c r="BE240" s="143"/>
      <c r="BF240" s="143">
        <v>0</v>
      </c>
      <c r="BG240" s="143">
        <v>0</v>
      </c>
      <c r="BH240" s="148"/>
      <c r="BI240" s="148"/>
      <c r="BJ240" s="148"/>
      <c r="BK240" s="148"/>
      <c r="BL240" s="148"/>
      <c r="BM240" s="148"/>
      <c r="BN240" s="148"/>
      <c r="BO240" s="148"/>
      <c r="BP240" s="148"/>
      <c r="BQ240" s="148"/>
      <c r="BR240" s="148"/>
      <c r="BS240" s="148"/>
      <c r="BT240" s="148"/>
      <c r="BU240" s="148"/>
      <c r="BV240" s="148"/>
      <c r="BW240" s="148"/>
      <c r="BX240" s="231"/>
      <c r="BY240" s="424"/>
    </row>
    <row r="241" spans="1:77" s="417" customFormat="1" ht="28.5" customHeight="1">
      <c r="A241" s="418" t="s">
        <v>61</v>
      </c>
      <c r="B241" s="418" t="s">
        <v>2920</v>
      </c>
      <c r="C241" s="418"/>
      <c r="D241" s="418"/>
      <c r="E241" s="418"/>
      <c r="F241" s="418"/>
      <c r="G241" s="418"/>
      <c r="H241" s="419"/>
      <c r="I241" s="418"/>
      <c r="J241" s="419"/>
      <c r="K241" s="419"/>
      <c r="L241" s="419"/>
      <c r="M241" s="419">
        <f>M242+M244+M268</f>
        <v>129889.10016700001</v>
      </c>
      <c r="N241" s="419">
        <f t="shared" ref="N241:BY241" si="112">N242+N244+N268</f>
        <v>0</v>
      </c>
      <c r="O241" s="419">
        <f t="shared" si="112"/>
        <v>5900</v>
      </c>
      <c r="P241" s="419">
        <f t="shared" si="112"/>
        <v>119389.238</v>
      </c>
      <c r="Q241" s="419">
        <f t="shared" si="112"/>
        <v>0</v>
      </c>
      <c r="R241" s="419">
        <f t="shared" si="112"/>
        <v>0</v>
      </c>
      <c r="S241" s="419">
        <f t="shared" si="112"/>
        <v>0</v>
      </c>
      <c r="T241" s="419">
        <f t="shared" si="112"/>
        <v>0</v>
      </c>
      <c r="U241" s="419">
        <f t="shared" si="112"/>
        <v>3300</v>
      </c>
      <c r="V241" s="419">
        <f t="shared" si="112"/>
        <v>0</v>
      </c>
      <c r="W241" s="419">
        <f t="shared" si="112"/>
        <v>0</v>
      </c>
      <c r="X241" s="419">
        <f t="shared" si="112"/>
        <v>3300</v>
      </c>
      <c r="Y241" s="419">
        <f t="shared" si="112"/>
        <v>98750</v>
      </c>
      <c r="Z241" s="419">
        <f t="shared" si="112"/>
        <v>0</v>
      </c>
      <c r="AA241" s="419">
        <f t="shared" si="112"/>
        <v>0</v>
      </c>
      <c r="AB241" s="419">
        <f t="shared" si="112"/>
        <v>98750</v>
      </c>
      <c r="AC241" s="419">
        <f t="shared" si="112"/>
        <v>19414</v>
      </c>
      <c r="AD241" s="419">
        <f t="shared" si="112"/>
        <v>76036</v>
      </c>
      <c r="AE241" s="419">
        <f t="shared" si="112"/>
        <v>3300</v>
      </c>
      <c r="AF241" s="419">
        <f t="shared" si="112"/>
        <v>83326.378999999986</v>
      </c>
      <c r="AG241" s="419">
        <f t="shared" si="112"/>
        <v>0</v>
      </c>
      <c r="AH241" s="419">
        <f t="shared" si="112"/>
        <v>0</v>
      </c>
      <c r="AI241" s="419">
        <f t="shared" si="112"/>
        <v>83326.378999999986</v>
      </c>
      <c r="AJ241" s="419">
        <f t="shared" si="112"/>
        <v>17002.455999999998</v>
      </c>
      <c r="AK241" s="419">
        <f t="shared" si="112"/>
        <v>63023.923000000003</v>
      </c>
      <c r="AL241" s="419">
        <f t="shared" si="112"/>
        <v>3300</v>
      </c>
      <c r="AM241" s="419">
        <f t="shared" si="112"/>
        <v>71095.501198999991</v>
      </c>
      <c r="AN241" s="419">
        <f t="shared" si="112"/>
        <v>0</v>
      </c>
      <c r="AO241" s="419">
        <f t="shared" si="112"/>
        <v>2239.0707000000002</v>
      </c>
      <c r="AP241" s="419">
        <f t="shared" si="112"/>
        <v>68856.430499000009</v>
      </c>
      <c r="AQ241" s="419">
        <f t="shared" si="112"/>
        <v>16960.416000000001</v>
      </c>
      <c r="AR241" s="419">
        <f t="shared" si="112"/>
        <v>9951.777</v>
      </c>
      <c r="AS241" s="419">
        <f t="shared" si="112"/>
        <v>7008.6390000000001</v>
      </c>
      <c r="AT241" s="419">
        <f t="shared" si="112"/>
        <v>50938.215498999998</v>
      </c>
      <c r="AU241" s="419">
        <f t="shared" si="112"/>
        <v>957.79899999999998</v>
      </c>
      <c r="AV241" s="419">
        <f t="shared" si="112"/>
        <v>12070</v>
      </c>
      <c r="AW241" s="419">
        <f t="shared" si="112"/>
        <v>0</v>
      </c>
      <c r="AX241" s="419">
        <f t="shared" si="112"/>
        <v>0</v>
      </c>
      <c r="AY241" s="419">
        <f t="shared" si="112"/>
        <v>12070</v>
      </c>
      <c r="AZ241" s="419">
        <f t="shared" si="112"/>
        <v>0</v>
      </c>
      <c r="BA241" s="419">
        <f t="shared" si="112"/>
        <v>12070</v>
      </c>
      <c r="BB241" s="419">
        <f t="shared" si="112"/>
        <v>0</v>
      </c>
      <c r="BC241" s="419">
        <f t="shared" si="112"/>
        <v>10510.586871</v>
      </c>
      <c r="BD241" s="419">
        <f t="shared" si="112"/>
        <v>0</v>
      </c>
      <c r="BE241" s="419">
        <f t="shared" si="112"/>
        <v>0</v>
      </c>
      <c r="BF241" s="419">
        <f t="shared" si="112"/>
        <v>10510.586871</v>
      </c>
      <c r="BG241" s="419">
        <f t="shared" si="112"/>
        <v>0</v>
      </c>
      <c r="BH241" s="419">
        <f t="shared" si="112"/>
        <v>0</v>
      </c>
      <c r="BI241" s="419">
        <f t="shared" si="112"/>
        <v>0</v>
      </c>
      <c r="BJ241" s="419">
        <f t="shared" si="112"/>
        <v>10510.586871</v>
      </c>
      <c r="BK241" s="419">
        <f t="shared" si="112"/>
        <v>0</v>
      </c>
      <c r="BL241" s="419">
        <f t="shared" si="112"/>
        <v>0</v>
      </c>
      <c r="BM241" s="419">
        <f t="shared" si="112"/>
        <v>0</v>
      </c>
      <c r="BN241" s="419">
        <f t="shared" si="112"/>
        <v>0</v>
      </c>
      <c r="BO241" s="419">
        <f t="shared" si="112"/>
        <v>0</v>
      </c>
      <c r="BP241" s="419">
        <f t="shared" si="112"/>
        <v>0</v>
      </c>
      <c r="BQ241" s="419">
        <f t="shared" si="112"/>
        <v>0</v>
      </c>
      <c r="BR241" s="419">
        <f t="shared" si="112"/>
        <v>0</v>
      </c>
      <c r="BS241" s="419">
        <f t="shared" si="112"/>
        <v>0</v>
      </c>
      <c r="BT241" s="419">
        <f t="shared" si="112"/>
        <v>1400</v>
      </c>
      <c r="BU241" s="419">
        <f t="shared" si="112"/>
        <v>0</v>
      </c>
      <c r="BV241" s="419">
        <f t="shared" si="112"/>
        <v>1400</v>
      </c>
      <c r="BW241" s="419">
        <f t="shared" si="112"/>
        <v>0</v>
      </c>
      <c r="BX241" s="454"/>
      <c r="BY241" s="419">
        <f t="shared" si="112"/>
        <v>0</v>
      </c>
    </row>
    <row r="242" spans="1:77" s="457" customFormat="1" ht="46.5" customHeight="1" outlineLevel="1">
      <c r="A242" s="430" t="s">
        <v>45</v>
      </c>
      <c r="B242" s="456" t="s">
        <v>1910</v>
      </c>
      <c r="C242" s="418"/>
      <c r="D242" s="418"/>
      <c r="E242" s="418"/>
      <c r="F242" s="418"/>
      <c r="G242" s="418"/>
      <c r="H242" s="419"/>
      <c r="I242" s="418"/>
      <c r="J242" s="419"/>
      <c r="K242" s="419"/>
      <c r="L242" s="419"/>
      <c r="M242" s="419">
        <f>M243</f>
        <v>5500</v>
      </c>
      <c r="N242" s="419">
        <f t="shared" ref="N242:BY242" si="113">N243</f>
        <v>0</v>
      </c>
      <c r="O242" s="419">
        <f t="shared" si="113"/>
        <v>0</v>
      </c>
      <c r="P242" s="419">
        <f t="shared" si="113"/>
        <v>5500</v>
      </c>
      <c r="Q242" s="419"/>
      <c r="R242" s="419"/>
      <c r="S242" s="419"/>
      <c r="T242" s="419"/>
      <c r="U242" s="419">
        <f t="shared" si="113"/>
        <v>3300</v>
      </c>
      <c r="V242" s="419">
        <f t="shared" si="113"/>
        <v>0</v>
      </c>
      <c r="W242" s="419">
        <f t="shared" si="113"/>
        <v>0</v>
      </c>
      <c r="X242" s="419">
        <f t="shared" si="113"/>
        <v>3300</v>
      </c>
      <c r="Y242" s="419">
        <f t="shared" si="113"/>
        <v>1512</v>
      </c>
      <c r="Z242" s="419">
        <f t="shared" si="113"/>
        <v>0</v>
      </c>
      <c r="AA242" s="419">
        <f t="shared" si="113"/>
        <v>0</v>
      </c>
      <c r="AB242" s="419">
        <f t="shared" si="113"/>
        <v>1512</v>
      </c>
      <c r="AC242" s="419">
        <f t="shared" si="113"/>
        <v>0</v>
      </c>
      <c r="AD242" s="419">
        <f t="shared" si="113"/>
        <v>1512</v>
      </c>
      <c r="AE242" s="419">
        <f t="shared" si="113"/>
        <v>0</v>
      </c>
      <c r="AF242" s="419">
        <f t="shared" si="113"/>
        <v>1511.9110000000001</v>
      </c>
      <c r="AG242" s="419">
        <f t="shared" si="113"/>
        <v>0</v>
      </c>
      <c r="AH242" s="419">
        <f t="shared" si="113"/>
        <v>0</v>
      </c>
      <c r="AI242" s="419">
        <f t="shared" si="113"/>
        <v>1511.9110000000001</v>
      </c>
      <c r="AJ242" s="419">
        <f t="shared" si="113"/>
        <v>0</v>
      </c>
      <c r="AK242" s="419">
        <f t="shared" si="113"/>
        <v>1511.9110000000001</v>
      </c>
      <c r="AL242" s="419">
        <f t="shared" si="113"/>
        <v>0</v>
      </c>
      <c r="AM242" s="419">
        <f t="shared" si="113"/>
        <v>1511.9110000000001</v>
      </c>
      <c r="AN242" s="419">
        <f t="shared" si="113"/>
        <v>0</v>
      </c>
      <c r="AO242" s="419">
        <f t="shared" si="113"/>
        <v>0</v>
      </c>
      <c r="AP242" s="419">
        <f t="shared" si="113"/>
        <v>1511.9110000000001</v>
      </c>
      <c r="AQ242" s="419">
        <f t="shared" si="113"/>
        <v>0</v>
      </c>
      <c r="AR242" s="419">
        <f t="shared" si="113"/>
        <v>0</v>
      </c>
      <c r="AS242" s="419">
        <f t="shared" si="113"/>
        <v>0</v>
      </c>
      <c r="AT242" s="419">
        <f t="shared" si="113"/>
        <v>1511.9110000000001</v>
      </c>
      <c r="AU242" s="419">
        <f t="shared" si="113"/>
        <v>0</v>
      </c>
      <c r="AV242" s="419">
        <f t="shared" si="113"/>
        <v>0</v>
      </c>
      <c r="AW242" s="419">
        <f t="shared" si="113"/>
        <v>0</v>
      </c>
      <c r="AX242" s="419">
        <f t="shared" si="113"/>
        <v>0</v>
      </c>
      <c r="AY242" s="419">
        <f t="shared" si="113"/>
        <v>0</v>
      </c>
      <c r="AZ242" s="419">
        <f t="shared" si="113"/>
        <v>0</v>
      </c>
      <c r="BA242" s="419">
        <f t="shared" si="113"/>
        <v>0</v>
      </c>
      <c r="BB242" s="419">
        <f t="shared" si="113"/>
        <v>0</v>
      </c>
      <c r="BC242" s="419">
        <f t="shared" si="113"/>
        <v>0</v>
      </c>
      <c r="BD242" s="419">
        <f t="shared" si="113"/>
        <v>0</v>
      </c>
      <c r="BE242" s="419">
        <f t="shared" si="113"/>
        <v>0</v>
      </c>
      <c r="BF242" s="419">
        <f t="shared" si="113"/>
        <v>0</v>
      </c>
      <c r="BG242" s="419">
        <f t="shared" si="113"/>
        <v>0</v>
      </c>
      <c r="BH242" s="419">
        <f t="shared" si="113"/>
        <v>0</v>
      </c>
      <c r="BI242" s="419">
        <f t="shared" si="113"/>
        <v>0</v>
      </c>
      <c r="BJ242" s="419">
        <f t="shared" si="113"/>
        <v>0</v>
      </c>
      <c r="BK242" s="419">
        <f t="shared" si="113"/>
        <v>0</v>
      </c>
      <c r="BL242" s="419">
        <f t="shared" si="113"/>
        <v>0</v>
      </c>
      <c r="BM242" s="419">
        <f t="shared" si="113"/>
        <v>0</v>
      </c>
      <c r="BN242" s="419">
        <f t="shared" si="113"/>
        <v>0</v>
      </c>
      <c r="BO242" s="419">
        <f t="shared" si="113"/>
        <v>0</v>
      </c>
      <c r="BP242" s="419">
        <f t="shared" si="113"/>
        <v>0</v>
      </c>
      <c r="BQ242" s="419">
        <f t="shared" si="113"/>
        <v>0</v>
      </c>
      <c r="BR242" s="419">
        <f t="shared" si="113"/>
        <v>0</v>
      </c>
      <c r="BS242" s="419">
        <f t="shared" si="113"/>
        <v>0</v>
      </c>
      <c r="BT242" s="419">
        <f t="shared" si="113"/>
        <v>0</v>
      </c>
      <c r="BU242" s="419">
        <f t="shared" si="113"/>
        <v>0</v>
      </c>
      <c r="BV242" s="419">
        <f t="shared" si="113"/>
        <v>0</v>
      </c>
      <c r="BW242" s="419">
        <f t="shared" si="113"/>
        <v>0</v>
      </c>
      <c r="BX242" s="454"/>
      <c r="BY242" s="419">
        <f t="shared" si="113"/>
        <v>0</v>
      </c>
    </row>
    <row r="243" spans="1:77" ht="30.75" outlineLevel="1">
      <c r="A243" s="420">
        <v>1</v>
      </c>
      <c r="B243" s="465" t="s">
        <v>2921</v>
      </c>
      <c r="C243" s="428" t="s">
        <v>2350</v>
      </c>
      <c r="D243" s="420" t="s">
        <v>2922</v>
      </c>
      <c r="E243" s="420" t="s">
        <v>49</v>
      </c>
      <c r="F243" s="431" t="s">
        <v>2343</v>
      </c>
      <c r="G243" s="151">
        <v>7775358</v>
      </c>
      <c r="H243" s="436" t="s">
        <v>2923</v>
      </c>
      <c r="I243" s="420" t="s">
        <v>69</v>
      </c>
      <c r="J243" s="422">
        <v>2020</v>
      </c>
      <c r="K243" s="422"/>
      <c r="L243" s="420" t="s">
        <v>2924</v>
      </c>
      <c r="M243" s="149">
        <v>5500</v>
      </c>
      <c r="N243" s="422"/>
      <c r="O243" s="422"/>
      <c r="P243" s="149">
        <v>5500</v>
      </c>
      <c r="Q243" s="420" t="s">
        <v>2925</v>
      </c>
      <c r="R243" s="436" t="s">
        <v>2923</v>
      </c>
      <c r="S243" s="422" t="s">
        <v>2926</v>
      </c>
      <c r="T243" s="422" t="s">
        <v>2922</v>
      </c>
      <c r="U243" s="143">
        <f t="shared" ref="U243:U267" si="114">V243+W243+X243</f>
        <v>3300</v>
      </c>
      <c r="V243" s="420"/>
      <c r="W243" s="420"/>
      <c r="X243" s="143">
        <v>3300</v>
      </c>
      <c r="Y243" s="143">
        <f t="shared" si="98"/>
        <v>1512</v>
      </c>
      <c r="Z243" s="143"/>
      <c r="AA243" s="143"/>
      <c r="AB243" s="143">
        <f>AC243+AD243+AE243</f>
        <v>1512</v>
      </c>
      <c r="AC243" s="143">
        <v>0</v>
      </c>
      <c r="AD243" s="143">
        <v>1512</v>
      </c>
      <c r="AE243" s="143"/>
      <c r="AF243" s="143">
        <f t="shared" si="100"/>
        <v>1511.9110000000001</v>
      </c>
      <c r="AG243" s="143"/>
      <c r="AH243" s="143"/>
      <c r="AI243" s="143">
        <f t="shared" si="101"/>
        <v>1511.9110000000001</v>
      </c>
      <c r="AJ243" s="143">
        <v>0</v>
      </c>
      <c r="AK243" s="143">
        <v>1511.9110000000001</v>
      </c>
      <c r="AL243" s="143"/>
      <c r="AM243" s="143">
        <v>1511.9110000000001</v>
      </c>
      <c r="AN243" s="143"/>
      <c r="AO243" s="143"/>
      <c r="AP243" s="143">
        <v>1511.9110000000001</v>
      </c>
      <c r="AQ243" s="143">
        <v>0</v>
      </c>
      <c r="AR243" s="143"/>
      <c r="AS243" s="143"/>
      <c r="AT243" s="143">
        <v>1511.9110000000001</v>
      </c>
      <c r="AU243" s="143"/>
      <c r="AV243" s="143">
        <f t="shared" si="102"/>
        <v>0</v>
      </c>
      <c r="AW243" s="143"/>
      <c r="AX243" s="143"/>
      <c r="AY243" s="143">
        <f t="shared" si="103"/>
        <v>0</v>
      </c>
      <c r="AZ243" s="143">
        <v>0</v>
      </c>
      <c r="BA243" s="143">
        <v>0</v>
      </c>
      <c r="BB243" s="143"/>
      <c r="BC243" s="143">
        <v>0</v>
      </c>
      <c r="BD243" s="143"/>
      <c r="BE243" s="143"/>
      <c r="BF243" s="143">
        <v>0</v>
      </c>
      <c r="BG243" s="143">
        <v>0</v>
      </c>
      <c r="BH243" s="143"/>
      <c r="BI243" s="143"/>
      <c r="BJ243" s="143"/>
      <c r="BK243" s="143"/>
      <c r="BL243" s="143"/>
      <c r="BM243" s="143"/>
      <c r="BN243" s="143"/>
      <c r="BO243" s="143"/>
      <c r="BP243" s="143"/>
      <c r="BQ243" s="143"/>
      <c r="BR243" s="143"/>
      <c r="BS243" s="143"/>
      <c r="BT243" s="143"/>
      <c r="BU243" s="143"/>
      <c r="BV243" s="143"/>
      <c r="BW243" s="143"/>
      <c r="BX243" s="230"/>
      <c r="BY243" s="433"/>
    </row>
    <row r="244" spans="1:77" s="457" customFormat="1" ht="27.75" customHeight="1" outlineLevel="1">
      <c r="A244" s="430" t="s">
        <v>45</v>
      </c>
      <c r="B244" s="456" t="s">
        <v>51</v>
      </c>
      <c r="C244" s="418"/>
      <c r="D244" s="418"/>
      <c r="E244" s="418"/>
      <c r="F244" s="418"/>
      <c r="G244" s="418"/>
      <c r="H244" s="419">
        <f>SUM(H245:H271)</f>
        <v>0</v>
      </c>
      <c r="I244" s="418"/>
      <c r="J244" s="419"/>
      <c r="K244" s="419"/>
      <c r="L244" s="419"/>
      <c r="M244" s="419">
        <f>SUM(M245:M267)</f>
        <v>98700.100167000011</v>
      </c>
      <c r="N244" s="419">
        <f t="shared" ref="N244:BY244" si="115">SUM(N245:N267)</f>
        <v>0</v>
      </c>
      <c r="O244" s="419">
        <f t="shared" si="115"/>
        <v>5900</v>
      </c>
      <c r="P244" s="419">
        <f t="shared" si="115"/>
        <v>88710.237999999998</v>
      </c>
      <c r="Q244" s="419">
        <f t="shared" si="115"/>
        <v>0</v>
      </c>
      <c r="R244" s="419">
        <f t="shared" si="115"/>
        <v>0</v>
      </c>
      <c r="S244" s="419">
        <f t="shared" si="115"/>
        <v>0</v>
      </c>
      <c r="T244" s="419">
        <f t="shared" si="115"/>
        <v>0</v>
      </c>
      <c r="U244" s="419">
        <f t="shared" si="115"/>
        <v>0</v>
      </c>
      <c r="V244" s="419">
        <f t="shared" si="115"/>
        <v>0</v>
      </c>
      <c r="W244" s="419">
        <f t="shared" si="115"/>
        <v>0</v>
      </c>
      <c r="X244" s="419">
        <f t="shared" si="115"/>
        <v>0</v>
      </c>
      <c r="Y244" s="419">
        <f t="shared" si="115"/>
        <v>86492</v>
      </c>
      <c r="Z244" s="419">
        <f t="shared" si="115"/>
        <v>0</v>
      </c>
      <c r="AA244" s="419">
        <f t="shared" si="115"/>
        <v>0</v>
      </c>
      <c r="AB244" s="419">
        <f t="shared" si="115"/>
        <v>86492</v>
      </c>
      <c r="AC244" s="419">
        <f t="shared" si="115"/>
        <v>19414</v>
      </c>
      <c r="AD244" s="419">
        <f t="shared" si="115"/>
        <v>63778</v>
      </c>
      <c r="AE244" s="419">
        <f t="shared" si="115"/>
        <v>3300</v>
      </c>
      <c r="AF244" s="419">
        <f t="shared" si="115"/>
        <v>81814.467999999993</v>
      </c>
      <c r="AG244" s="419">
        <f t="shared" si="115"/>
        <v>0</v>
      </c>
      <c r="AH244" s="419">
        <f t="shared" si="115"/>
        <v>0</v>
      </c>
      <c r="AI244" s="419">
        <f t="shared" si="115"/>
        <v>81814.467999999993</v>
      </c>
      <c r="AJ244" s="419">
        <f t="shared" si="115"/>
        <v>17002.455999999998</v>
      </c>
      <c r="AK244" s="419">
        <f t="shared" si="115"/>
        <v>61512.012000000002</v>
      </c>
      <c r="AL244" s="419">
        <f t="shared" si="115"/>
        <v>3300</v>
      </c>
      <c r="AM244" s="419">
        <f t="shared" si="115"/>
        <v>69583.590198999998</v>
      </c>
      <c r="AN244" s="419">
        <f t="shared" si="115"/>
        <v>0</v>
      </c>
      <c r="AO244" s="419">
        <f t="shared" si="115"/>
        <v>2239.0707000000002</v>
      </c>
      <c r="AP244" s="419">
        <f t="shared" si="115"/>
        <v>67344.519499000002</v>
      </c>
      <c r="AQ244" s="419">
        <f t="shared" si="115"/>
        <v>16960.416000000001</v>
      </c>
      <c r="AR244" s="419">
        <f t="shared" si="115"/>
        <v>9951.777</v>
      </c>
      <c r="AS244" s="419">
        <f t="shared" si="115"/>
        <v>7008.6390000000001</v>
      </c>
      <c r="AT244" s="419">
        <f t="shared" si="115"/>
        <v>49426.304498999998</v>
      </c>
      <c r="AU244" s="419">
        <f t="shared" si="115"/>
        <v>957.79899999999998</v>
      </c>
      <c r="AV244" s="419">
        <f t="shared" si="115"/>
        <v>12070</v>
      </c>
      <c r="AW244" s="419">
        <f t="shared" si="115"/>
        <v>0</v>
      </c>
      <c r="AX244" s="419">
        <f t="shared" si="115"/>
        <v>0</v>
      </c>
      <c r="AY244" s="419">
        <f t="shared" si="115"/>
        <v>12070</v>
      </c>
      <c r="AZ244" s="419">
        <f t="shared" si="115"/>
        <v>0</v>
      </c>
      <c r="BA244" s="419">
        <f t="shared" si="115"/>
        <v>12070</v>
      </c>
      <c r="BB244" s="419">
        <f t="shared" si="115"/>
        <v>0</v>
      </c>
      <c r="BC244" s="419">
        <f t="shared" si="115"/>
        <v>10510.586871</v>
      </c>
      <c r="BD244" s="419">
        <f t="shared" si="115"/>
        <v>0</v>
      </c>
      <c r="BE244" s="419">
        <f t="shared" si="115"/>
        <v>0</v>
      </c>
      <c r="BF244" s="419">
        <f t="shared" si="115"/>
        <v>10510.586871</v>
      </c>
      <c r="BG244" s="419">
        <f t="shared" si="115"/>
        <v>0</v>
      </c>
      <c r="BH244" s="419">
        <f t="shared" si="115"/>
        <v>0</v>
      </c>
      <c r="BI244" s="419">
        <f t="shared" si="115"/>
        <v>0</v>
      </c>
      <c r="BJ244" s="419">
        <f t="shared" si="115"/>
        <v>10510.586871</v>
      </c>
      <c r="BK244" s="419">
        <f t="shared" si="115"/>
        <v>0</v>
      </c>
      <c r="BL244" s="419">
        <f t="shared" si="115"/>
        <v>0</v>
      </c>
      <c r="BM244" s="419">
        <f t="shared" si="115"/>
        <v>0</v>
      </c>
      <c r="BN244" s="419">
        <f t="shared" si="115"/>
        <v>0</v>
      </c>
      <c r="BO244" s="419">
        <f t="shared" si="115"/>
        <v>0</v>
      </c>
      <c r="BP244" s="419">
        <f t="shared" si="115"/>
        <v>0</v>
      </c>
      <c r="BQ244" s="419">
        <f t="shared" si="115"/>
        <v>0</v>
      </c>
      <c r="BR244" s="419">
        <f t="shared" si="115"/>
        <v>0</v>
      </c>
      <c r="BS244" s="419">
        <f t="shared" si="115"/>
        <v>0</v>
      </c>
      <c r="BT244" s="419">
        <f t="shared" si="115"/>
        <v>1400</v>
      </c>
      <c r="BU244" s="419">
        <f t="shared" si="115"/>
        <v>0</v>
      </c>
      <c r="BV244" s="419">
        <f t="shared" si="115"/>
        <v>1400</v>
      </c>
      <c r="BW244" s="419">
        <f t="shared" si="115"/>
        <v>0</v>
      </c>
      <c r="BX244" s="454"/>
      <c r="BY244" s="419">
        <f t="shared" si="115"/>
        <v>0</v>
      </c>
    </row>
    <row r="245" spans="1:77" ht="38.25" customHeight="1" outlineLevel="1">
      <c r="A245" s="420">
        <v>1</v>
      </c>
      <c r="B245" s="435" t="s">
        <v>2927</v>
      </c>
      <c r="C245" s="428" t="s">
        <v>2341</v>
      </c>
      <c r="D245" s="420" t="s">
        <v>2922</v>
      </c>
      <c r="E245" s="420" t="s">
        <v>49</v>
      </c>
      <c r="F245" s="431" t="s">
        <v>55</v>
      </c>
      <c r="G245" s="143">
        <v>7884028</v>
      </c>
      <c r="H245" s="420" t="s">
        <v>2923</v>
      </c>
      <c r="I245" s="420" t="s">
        <v>73</v>
      </c>
      <c r="J245" s="422">
        <v>2021</v>
      </c>
      <c r="K245" s="422"/>
      <c r="L245" s="420" t="s">
        <v>2928</v>
      </c>
      <c r="M245" s="148">
        <v>6900</v>
      </c>
      <c r="N245" s="422"/>
      <c r="O245" s="422"/>
      <c r="P245" s="148">
        <v>6900</v>
      </c>
      <c r="Q245" s="420" t="s">
        <v>2929</v>
      </c>
      <c r="R245" s="420" t="s">
        <v>2923</v>
      </c>
      <c r="S245" s="422" t="s">
        <v>2926</v>
      </c>
      <c r="T245" s="422" t="s">
        <v>2922</v>
      </c>
      <c r="U245" s="143">
        <f t="shared" si="114"/>
        <v>0</v>
      </c>
      <c r="V245" s="420"/>
      <c r="W245" s="420"/>
      <c r="X245" s="420"/>
      <c r="Y245" s="143">
        <f t="shared" si="98"/>
        <v>6534</v>
      </c>
      <c r="Z245" s="143"/>
      <c r="AA245" s="143"/>
      <c r="AB245" s="143">
        <f t="shared" ref="AB245:AB267" si="116">AC245+AD245+AE245</f>
        <v>6534</v>
      </c>
      <c r="AC245" s="143">
        <v>6534</v>
      </c>
      <c r="AD245" s="143"/>
      <c r="AE245" s="143"/>
      <c r="AF245" s="143">
        <f t="shared" si="100"/>
        <v>5052.5</v>
      </c>
      <c r="AG245" s="143"/>
      <c r="AH245" s="143"/>
      <c r="AI245" s="143">
        <f t="shared" si="101"/>
        <v>5052.5</v>
      </c>
      <c r="AJ245" s="143">
        <v>5052.5</v>
      </c>
      <c r="AK245" s="143"/>
      <c r="AL245" s="143"/>
      <c r="AM245" s="143">
        <v>5052.1610000000001</v>
      </c>
      <c r="AN245" s="143"/>
      <c r="AO245" s="143"/>
      <c r="AP245" s="143">
        <v>5052.1610000000001</v>
      </c>
      <c r="AQ245" s="143">
        <v>5052.1610000000001</v>
      </c>
      <c r="AR245" s="143">
        <v>5052.1610000000001</v>
      </c>
      <c r="AS245" s="143"/>
      <c r="AT245" s="143"/>
      <c r="AU245" s="143"/>
      <c r="AV245" s="143">
        <f t="shared" si="102"/>
        <v>0</v>
      </c>
      <c r="AW245" s="143"/>
      <c r="AX245" s="143"/>
      <c r="AY245" s="143">
        <f t="shared" si="103"/>
        <v>0</v>
      </c>
      <c r="AZ245" s="143">
        <v>0</v>
      </c>
      <c r="BA245" s="143"/>
      <c r="BB245" s="143"/>
      <c r="BC245" s="143">
        <v>0</v>
      </c>
      <c r="BD245" s="143"/>
      <c r="BE245" s="143"/>
      <c r="BF245" s="143">
        <v>0</v>
      </c>
      <c r="BG245" s="143">
        <v>0</v>
      </c>
      <c r="BH245" s="143">
        <v>0</v>
      </c>
      <c r="BI245" s="143"/>
      <c r="BJ245" s="143"/>
      <c r="BK245" s="143"/>
      <c r="BL245" s="143"/>
      <c r="BM245" s="143"/>
      <c r="BN245" s="143"/>
      <c r="BO245" s="143"/>
      <c r="BP245" s="143"/>
      <c r="BQ245" s="143"/>
      <c r="BR245" s="143"/>
      <c r="BS245" s="143"/>
      <c r="BT245" s="143"/>
      <c r="BU245" s="143"/>
      <c r="BV245" s="143"/>
      <c r="BW245" s="143"/>
      <c r="BX245" s="230"/>
      <c r="BY245" s="433"/>
    </row>
    <row r="246" spans="1:77" ht="30.75" outlineLevel="1">
      <c r="A246" s="420">
        <v>2</v>
      </c>
      <c r="B246" s="435" t="s">
        <v>2930</v>
      </c>
      <c r="C246" s="428" t="s">
        <v>2341</v>
      </c>
      <c r="D246" s="420" t="s">
        <v>2922</v>
      </c>
      <c r="E246" s="420" t="s">
        <v>49</v>
      </c>
      <c r="F246" s="431" t="s">
        <v>55</v>
      </c>
      <c r="G246" s="143">
        <v>7884029</v>
      </c>
      <c r="H246" s="420" t="s">
        <v>2923</v>
      </c>
      <c r="I246" s="420" t="s">
        <v>73</v>
      </c>
      <c r="J246" s="422">
        <v>2021</v>
      </c>
      <c r="K246" s="422"/>
      <c r="L246" s="420" t="s">
        <v>2931</v>
      </c>
      <c r="M246" s="148">
        <v>6500</v>
      </c>
      <c r="N246" s="422"/>
      <c r="O246" s="422"/>
      <c r="P246" s="148">
        <v>6500</v>
      </c>
      <c r="Q246" s="420" t="s">
        <v>2932</v>
      </c>
      <c r="R246" s="420" t="s">
        <v>2923</v>
      </c>
      <c r="S246" s="422" t="s">
        <v>2926</v>
      </c>
      <c r="T246" s="422" t="s">
        <v>2922</v>
      </c>
      <c r="U246" s="143">
        <f t="shared" si="114"/>
        <v>0</v>
      </c>
      <c r="V246" s="420"/>
      <c r="W246" s="420"/>
      <c r="X246" s="420"/>
      <c r="Y246" s="143">
        <f t="shared" si="98"/>
        <v>5810</v>
      </c>
      <c r="Z246" s="143"/>
      <c r="AA246" s="143"/>
      <c r="AB246" s="143">
        <f t="shared" si="116"/>
        <v>5810</v>
      </c>
      <c r="AC246" s="143">
        <v>5810</v>
      </c>
      <c r="AD246" s="143"/>
      <c r="AE246" s="143"/>
      <c r="AF246" s="143">
        <f t="shared" si="100"/>
        <v>4899.9560000000001</v>
      </c>
      <c r="AG246" s="143"/>
      <c r="AH246" s="143"/>
      <c r="AI246" s="143">
        <f t="shared" si="101"/>
        <v>4899.9560000000001</v>
      </c>
      <c r="AJ246" s="143">
        <v>4899.9560000000001</v>
      </c>
      <c r="AK246" s="143"/>
      <c r="AL246" s="143"/>
      <c r="AM246" s="143">
        <v>4899.616</v>
      </c>
      <c r="AN246" s="143"/>
      <c r="AO246" s="143"/>
      <c r="AP246" s="143">
        <v>4899.616</v>
      </c>
      <c r="AQ246" s="143">
        <v>4899.616</v>
      </c>
      <c r="AR246" s="143">
        <v>4899.616</v>
      </c>
      <c r="AS246" s="143"/>
      <c r="AT246" s="143"/>
      <c r="AU246" s="143"/>
      <c r="AV246" s="143">
        <f t="shared" si="102"/>
        <v>0</v>
      </c>
      <c r="AW246" s="143"/>
      <c r="AX246" s="143"/>
      <c r="AY246" s="143">
        <f t="shared" si="103"/>
        <v>0</v>
      </c>
      <c r="AZ246" s="143">
        <v>0</v>
      </c>
      <c r="BA246" s="143"/>
      <c r="BB246" s="143"/>
      <c r="BC246" s="143">
        <v>0</v>
      </c>
      <c r="BD246" s="143"/>
      <c r="BE246" s="143"/>
      <c r="BF246" s="143">
        <v>0</v>
      </c>
      <c r="BG246" s="143">
        <v>0</v>
      </c>
      <c r="BH246" s="143">
        <v>0</v>
      </c>
      <c r="BI246" s="143"/>
      <c r="BJ246" s="143"/>
      <c r="BK246" s="143"/>
      <c r="BL246" s="143"/>
      <c r="BM246" s="143"/>
      <c r="BN246" s="143"/>
      <c r="BO246" s="143"/>
      <c r="BP246" s="143"/>
      <c r="BQ246" s="143"/>
      <c r="BR246" s="143"/>
      <c r="BS246" s="143"/>
      <c r="BT246" s="143"/>
      <c r="BU246" s="143"/>
      <c r="BV246" s="143"/>
      <c r="BW246" s="143"/>
      <c r="BX246" s="230"/>
      <c r="BY246" s="433"/>
    </row>
    <row r="247" spans="1:77" ht="30.75" outlineLevel="1">
      <c r="A247" s="420">
        <v>3</v>
      </c>
      <c r="B247" s="435" t="s">
        <v>2933</v>
      </c>
      <c r="C247" s="428" t="s">
        <v>2934</v>
      </c>
      <c r="D247" s="420" t="s">
        <v>2922</v>
      </c>
      <c r="E247" s="422" t="s">
        <v>49</v>
      </c>
      <c r="F247" s="422" t="s">
        <v>125</v>
      </c>
      <c r="G247" s="150">
        <v>8028243</v>
      </c>
      <c r="H247" s="420" t="s">
        <v>2730</v>
      </c>
      <c r="I247" s="420" t="s">
        <v>75</v>
      </c>
      <c r="J247" s="420"/>
      <c r="K247" s="424"/>
      <c r="L247" s="420" t="s">
        <v>2935</v>
      </c>
      <c r="M247" s="466">
        <v>731.10799999999995</v>
      </c>
      <c r="N247" s="424"/>
      <c r="O247" s="424"/>
      <c r="P247" s="424"/>
      <c r="Q247" s="420"/>
      <c r="R247" s="420" t="s">
        <v>2730</v>
      </c>
      <c r="S247" s="422" t="s">
        <v>2926</v>
      </c>
      <c r="T247" s="422" t="s">
        <v>2922</v>
      </c>
      <c r="U247" s="143">
        <f t="shared" si="114"/>
        <v>0</v>
      </c>
      <c r="V247" s="421"/>
      <c r="W247" s="421"/>
      <c r="X247" s="421"/>
      <c r="Y247" s="143">
        <f t="shared" si="98"/>
        <v>600</v>
      </c>
      <c r="Z247" s="143"/>
      <c r="AA247" s="143"/>
      <c r="AB247" s="143">
        <f t="shared" si="116"/>
        <v>600</v>
      </c>
      <c r="AC247" s="143">
        <v>0</v>
      </c>
      <c r="AD247" s="144"/>
      <c r="AE247" s="144">
        <v>600</v>
      </c>
      <c r="AF247" s="143">
        <f t="shared" si="100"/>
        <v>600</v>
      </c>
      <c r="AG247" s="143"/>
      <c r="AH247" s="143"/>
      <c r="AI247" s="143">
        <f t="shared" si="101"/>
        <v>600</v>
      </c>
      <c r="AJ247" s="143">
        <v>0</v>
      </c>
      <c r="AK247" s="144"/>
      <c r="AL247" s="144">
        <v>600</v>
      </c>
      <c r="AM247" s="143">
        <v>557.79899999999998</v>
      </c>
      <c r="AN247" s="143"/>
      <c r="AO247" s="143"/>
      <c r="AP247" s="143">
        <v>557.79899999999998</v>
      </c>
      <c r="AQ247" s="143">
        <v>0</v>
      </c>
      <c r="AR247" s="144"/>
      <c r="AS247" s="144"/>
      <c r="AT247" s="144"/>
      <c r="AU247" s="144">
        <v>557.79899999999998</v>
      </c>
      <c r="AV247" s="143">
        <f t="shared" si="102"/>
        <v>0</v>
      </c>
      <c r="AW247" s="143"/>
      <c r="AX247" s="143"/>
      <c r="AY247" s="143">
        <f t="shared" si="103"/>
        <v>0</v>
      </c>
      <c r="AZ247" s="143">
        <v>0</v>
      </c>
      <c r="BA247" s="144"/>
      <c r="BB247" s="144"/>
      <c r="BC247" s="143">
        <v>0</v>
      </c>
      <c r="BD247" s="143"/>
      <c r="BE247" s="143"/>
      <c r="BF247" s="143">
        <v>0</v>
      </c>
      <c r="BG247" s="143">
        <v>0</v>
      </c>
      <c r="BH247" s="148">
        <v>0</v>
      </c>
      <c r="BI247" s="143"/>
      <c r="BJ247" s="148"/>
      <c r="BK247" s="153"/>
      <c r="BL247" s="153"/>
      <c r="BM247" s="153"/>
      <c r="BN247" s="153"/>
      <c r="BO247" s="153"/>
      <c r="BP247" s="153"/>
      <c r="BQ247" s="153"/>
      <c r="BR247" s="153"/>
      <c r="BS247" s="153"/>
      <c r="BT247" s="153"/>
      <c r="BU247" s="153"/>
      <c r="BV247" s="153"/>
      <c r="BW247" s="153"/>
      <c r="BX247" s="232"/>
      <c r="BY247" s="426"/>
    </row>
    <row r="248" spans="1:77" ht="46.15" outlineLevel="1">
      <c r="A248" s="420">
        <v>4</v>
      </c>
      <c r="B248" s="442" t="s">
        <v>2936</v>
      </c>
      <c r="C248" s="428" t="s">
        <v>2350</v>
      </c>
      <c r="D248" s="420" t="s">
        <v>2922</v>
      </c>
      <c r="E248" s="420" t="s">
        <v>49</v>
      </c>
      <c r="F248" s="420" t="s">
        <v>2780</v>
      </c>
      <c r="G248" s="151">
        <v>7894827</v>
      </c>
      <c r="H248" s="437" t="s">
        <v>2923</v>
      </c>
      <c r="I248" s="420" t="s">
        <v>73</v>
      </c>
      <c r="J248" s="422">
        <v>2021</v>
      </c>
      <c r="K248" s="422"/>
      <c r="L248" s="420" t="s">
        <v>2937</v>
      </c>
      <c r="M248" s="150">
        <v>6700</v>
      </c>
      <c r="N248" s="422"/>
      <c r="O248" s="422"/>
      <c r="P248" s="150">
        <v>6700</v>
      </c>
      <c r="Q248" s="420" t="s">
        <v>2938</v>
      </c>
      <c r="R248" s="437" t="s">
        <v>2923</v>
      </c>
      <c r="S248" s="422" t="s">
        <v>2926</v>
      </c>
      <c r="T248" s="422" t="s">
        <v>2922</v>
      </c>
      <c r="U248" s="143">
        <f t="shared" si="114"/>
        <v>0</v>
      </c>
      <c r="V248" s="420"/>
      <c r="W248" s="420"/>
      <c r="X248" s="420"/>
      <c r="Y248" s="143">
        <f t="shared" si="98"/>
        <v>6547</v>
      </c>
      <c r="Z248" s="143"/>
      <c r="AA248" s="143"/>
      <c r="AB248" s="143">
        <f t="shared" si="116"/>
        <v>6547</v>
      </c>
      <c r="AC248" s="143">
        <v>0</v>
      </c>
      <c r="AD248" s="143">
        <v>6547</v>
      </c>
      <c r="AE248" s="143"/>
      <c r="AF248" s="143">
        <f t="shared" si="100"/>
        <v>6547</v>
      </c>
      <c r="AG248" s="143"/>
      <c r="AH248" s="143"/>
      <c r="AI248" s="143">
        <f t="shared" si="101"/>
        <v>6547</v>
      </c>
      <c r="AJ248" s="143">
        <v>0</v>
      </c>
      <c r="AK248" s="143">
        <v>6547</v>
      </c>
      <c r="AL248" s="143"/>
      <c r="AM248" s="143">
        <v>6546.9470000000001</v>
      </c>
      <c r="AN248" s="143"/>
      <c r="AO248" s="143"/>
      <c r="AP248" s="143">
        <v>6546.9470000000001</v>
      </c>
      <c r="AQ248" s="143">
        <v>0</v>
      </c>
      <c r="AR248" s="143"/>
      <c r="AS248" s="143"/>
      <c r="AT248" s="143">
        <v>6546.9470000000001</v>
      </c>
      <c r="AU248" s="143"/>
      <c r="AV248" s="143">
        <f t="shared" si="102"/>
        <v>0</v>
      </c>
      <c r="AW248" s="143"/>
      <c r="AX248" s="143"/>
      <c r="AY248" s="143">
        <f t="shared" si="103"/>
        <v>0</v>
      </c>
      <c r="AZ248" s="143">
        <v>0</v>
      </c>
      <c r="BA248" s="143">
        <v>0</v>
      </c>
      <c r="BB248" s="143"/>
      <c r="BC248" s="143">
        <v>0</v>
      </c>
      <c r="BD248" s="143"/>
      <c r="BE248" s="143"/>
      <c r="BF248" s="143">
        <v>0</v>
      </c>
      <c r="BG248" s="143">
        <v>0</v>
      </c>
      <c r="BH248" s="143">
        <v>0</v>
      </c>
      <c r="BI248" s="143"/>
      <c r="BJ248" s="143"/>
      <c r="BK248" s="143"/>
      <c r="BL248" s="143"/>
      <c r="BM248" s="143"/>
      <c r="BN248" s="143"/>
      <c r="BO248" s="143"/>
      <c r="BP248" s="143"/>
      <c r="BQ248" s="143"/>
      <c r="BR248" s="143"/>
      <c r="BS248" s="143"/>
      <c r="BT248" s="143"/>
      <c r="BU248" s="143"/>
      <c r="BV248" s="143"/>
      <c r="BW248" s="143"/>
      <c r="BX248" s="230"/>
      <c r="BY248" s="433"/>
    </row>
    <row r="249" spans="1:77" ht="30.75" outlineLevel="1">
      <c r="A249" s="420">
        <v>5</v>
      </c>
      <c r="B249" s="442" t="s">
        <v>2939</v>
      </c>
      <c r="C249" s="428" t="s">
        <v>2350</v>
      </c>
      <c r="D249" s="420" t="s">
        <v>2922</v>
      </c>
      <c r="E249" s="422" t="s">
        <v>49</v>
      </c>
      <c r="F249" s="422" t="s">
        <v>48</v>
      </c>
      <c r="G249" s="151">
        <v>7893544</v>
      </c>
      <c r="H249" s="420" t="s">
        <v>2923</v>
      </c>
      <c r="I249" s="420">
        <v>2021</v>
      </c>
      <c r="J249" s="422">
        <v>2021</v>
      </c>
      <c r="K249" s="424"/>
      <c r="L249" s="420" t="s">
        <v>2940</v>
      </c>
      <c r="M249" s="150">
        <v>4573</v>
      </c>
      <c r="N249" s="424"/>
      <c r="O249" s="424"/>
      <c r="P249" s="150">
        <v>4573</v>
      </c>
      <c r="Q249" s="420" t="s">
        <v>2941</v>
      </c>
      <c r="R249" s="420" t="s">
        <v>2923</v>
      </c>
      <c r="S249" s="420" t="s">
        <v>2926</v>
      </c>
      <c r="T249" s="421" t="s">
        <v>2922</v>
      </c>
      <c r="U249" s="143">
        <f t="shared" si="114"/>
        <v>0</v>
      </c>
      <c r="V249" s="421"/>
      <c r="W249" s="421"/>
      <c r="X249" s="421"/>
      <c r="Y249" s="143">
        <f t="shared" si="98"/>
        <v>3740</v>
      </c>
      <c r="Z249" s="143"/>
      <c r="AA249" s="143"/>
      <c r="AB249" s="143">
        <f t="shared" si="116"/>
        <v>3740</v>
      </c>
      <c r="AC249" s="143">
        <v>0</v>
      </c>
      <c r="AD249" s="144">
        <v>3740</v>
      </c>
      <c r="AE249" s="144"/>
      <c r="AF249" s="143">
        <f t="shared" si="100"/>
        <v>3739.8209999999999</v>
      </c>
      <c r="AG249" s="143"/>
      <c r="AH249" s="143"/>
      <c r="AI249" s="143">
        <f t="shared" si="101"/>
        <v>3739.8209999999999</v>
      </c>
      <c r="AJ249" s="143">
        <v>0</v>
      </c>
      <c r="AK249" s="144">
        <v>3739.8209999999999</v>
      </c>
      <c r="AL249" s="144"/>
      <c r="AM249" s="143">
        <v>3739.8209999999999</v>
      </c>
      <c r="AN249" s="143"/>
      <c r="AO249" s="143"/>
      <c r="AP249" s="143">
        <v>3739.8209999999999</v>
      </c>
      <c r="AQ249" s="143">
        <v>0</v>
      </c>
      <c r="AR249" s="143"/>
      <c r="AS249" s="144"/>
      <c r="AT249" s="144">
        <v>3739.8209999999999</v>
      </c>
      <c r="AU249" s="144"/>
      <c r="AV249" s="143">
        <f t="shared" si="102"/>
        <v>0</v>
      </c>
      <c r="AW249" s="143"/>
      <c r="AX249" s="143"/>
      <c r="AY249" s="143">
        <f t="shared" si="103"/>
        <v>0</v>
      </c>
      <c r="AZ249" s="143">
        <v>0</v>
      </c>
      <c r="BA249" s="144">
        <v>0</v>
      </c>
      <c r="BB249" s="144"/>
      <c r="BC249" s="143">
        <v>0</v>
      </c>
      <c r="BD249" s="143"/>
      <c r="BE249" s="143"/>
      <c r="BF249" s="143">
        <v>0</v>
      </c>
      <c r="BG249" s="143">
        <v>0</v>
      </c>
      <c r="BH249" s="148">
        <v>0</v>
      </c>
      <c r="BI249" s="143"/>
      <c r="BJ249" s="148"/>
      <c r="BK249" s="148"/>
      <c r="BL249" s="148"/>
      <c r="BM249" s="148"/>
      <c r="BN249" s="148"/>
      <c r="BO249" s="148"/>
      <c r="BP249" s="148"/>
      <c r="BQ249" s="148"/>
      <c r="BR249" s="148"/>
      <c r="BS249" s="148"/>
      <c r="BT249" s="148">
        <v>0</v>
      </c>
      <c r="BU249" s="148">
        <v>0</v>
      </c>
      <c r="BV249" s="148">
        <v>0</v>
      </c>
      <c r="BW249" s="148">
        <v>0</v>
      </c>
      <c r="BX249" s="231"/>
      <c r="BY249" s="424"/>
    </row>
    <row r="250" spans="1:77" ht="30.75" outlineLevel="1">
      <c r="A250" s="420">
        <v>6</v>
      </c>
      <c r="B250" s="442" t="s">
        <v>2942</v>
      </c>
      <c r="C250" s="428" t="s">
        <v>2350</v>
      </c>
      <c r="D250" s="420" t="s">
        <v>2922</v>
      </c>
      <c r="E250" s="422" t="s">
        <v>49</v>
      </c>
      <c r="F250" s="422" t="s">
        <v>48</v>
      </c>
      <c r="G250" s="151">
        <v>7887784</v>
      </c>
      <c r="H250" s="420" t="s">
        <v>2923</v>
      </c>
      <c r="I250" s="420">
        <v>2021</v>
      </c>
      <c r="J250" s="422">
        <v>2021</v>
      </c>
      <c r="K250" s="424"/>
      <c r="L250" s="420" t="s">
        <v>2943</v>
      </c>
      <c r="M250" s="150">
        <v>1322.2</v>
      </c>
      <c r="N250" s="424"/>
      <c r="O250" s="424"/>
      <c r="P250" s="150">
        <v>1322.2</v>
      </c>
      <c r="Q250" s="420" t="s">
        <v>2944</v>
      </c>
      <c r="R250" s="420" t="s">
        <v>2923</v>
      </c>
      <c r="S250" s="420" t="s">
        <v>2926</v>
      </c>
      <c r="T250" s="421" t="s">
        <v>2922</v>
      </c>
      <c r="U250" s="143">
        <f t="shared" si="114"/>
        <v>0</v>
      </c>
      <c r="V250" s="421"/>
      <c r="W250" s="421"/>
      <c r="X250" s="421"/>
      <c r="Y250" s="143">
        <f t="shared" si="98"/>
        <v>901</v>
      </c>
      <c r="Z250" s="143"/>
      <c r="AA250" s="143"/>
      <c r="AB250" s="143">
        <f t="shared" si="116"/>
        <v>901</v>
      </c>
      <c r="AC250" s="143">
        <v>0</v>
      </c>
      <c r="AD250" s="144">
        <v>901</v>
      </c>
      <c r="AE250" s="144"/>
      <c r="AF250" s="143">
        <f t="shared" si="100"/>
        <v>900.55200000000002</v>
      </c>
      <c r="AG250" s="143"/>
      <c r="AH250" s="143"/>
      <c r="AI250" s="143">
        <f t="shared" si="101"/>
        <v>900.55200000000002</v>
      </c>
      <c r="AJ250" s="143">
        <v>0</v>
      </c>
      <c r="AK250" s="144">
        <v>900.55200000000002</v>
      </c>
      <c r="AL250" s="144"/>
      <c r="AM250" s="143">
        <v>900.55200000000002</v>
      </c>
      <c r="AN250" s="143"/>
      <c r="AO250" s="143"/>
      <c r="AP250" s="143">
        <v>900.55200000000002</v>
      </c>
      <c r="AQ250" s="143">
        <v>0</v>
      </c>
      <c r="AR250" s="143"/>
      <c r="AS250" s="144"/>
      <c r="AT250" s="144">
        <v>900.55200000000002</v>
      </c>
      <c r="AU250" s="144"/>
      <c r="AV250" s="143">
        <f t="shared" si="102"/>
        <v>0</v>
      </c>
      <c r="AW250" s="143"/>
      <c r="AX250" s="143"/>
      <c r="AY250" s="143">
        <f t="shared" si="103"/>
        <v>0</v>
      </c>
      <c r="AZ250" s="143">
        <v>0</v>
      </c>
      <c r="BA250" s="144">
        <v>0</v>
      </c>
      <c r="BB250" s="144"/>
      <c r="BC250" s="143">
        <v>0</v>
      </c>
      <c r="BD250" s="143"/>
      <c r="BE250" s="143"/>
      <c r="BF250" s="143">
        <v>0</v>
      </c>
      <c r="BG250" s="143">
        <v>0</v>
      </c>
      <c r="BH250" s="148">
        <v>0</v>
      </c>
      <c r="BI250" s="143"/>
      <c r="BJ250" s="148"/>
      <c r="BK250" s="148"/>
      <c r="BL250" s="148"/>
      <c r="BM250" s="148"/>
      <c r="BN250" s="148"/>
      <c r="BO250" s="148"/>
      <c r="BP250" s="148"/>
      <c r="BQ250" s="148"/>
      <c r="BR250" s="148"/>
      <c r="BS250" s="148"/>
      <c r="BT250" s="148">
        <v>0</v>
      </c>
      <c r="BU250" s="148">
        <v>0</v>
      </c>
      <c r="BV250" s="148">
        <v>0</v>
      </c>
      <c r="BW250" s="148">
        <v>0</v>
      </c>
      <c r="BX250" s="231"/>
      <c r="BY250" s="424"/>
    </row>
    <row r="251" spans="1:77" ht="30.75" outlineLevel="1">
      <c r="A251" s="420">
        <v>7</v>
      </c>
      <c r="B251" s="442" t="s">
        <v>2945</v>
      </c>
      <c r="C251" s="428" t="s">
        <v>2350</v>
      </c>
      <c r="D251" s="420" t="s">
        <v>2922</v>
      </c>
      <c r="E251" s="422" t="s">
        <v>49</v>
      </c>
      <c r="F251" s="422" t="s">
        <v>48</v>
      </c>
      <c r="G251" s="151">
        <v>7887783</v>
      </c>
      <c r="H251" s="420" t="s">
        <v>2923</v>
      </c>
      <c r="I251" s="420">
        <v>2021</v>
      </c>
      <c r="J251" s="422">
        <v>2021</v>
      </c>
      <c r="K251" s="424"/>
      <c r="L251" s="420" t="s">
        <v>2946</v>
      </c>
      <c r="M251" s="150">
        <v>1466</v>
      </c>
      <c r="N251" s="424"/>
      <c r="O251" s="424"/>
      <c r="P251" s="150">
        <v>1466</v>
      </c>
      <c r="Q251" s="420" t="s">
        <v>2947</v>
      </c>
      <c r="R251" s="420" t="s">
        <v>2923</v>
      </c>
      <c r="S251" s="420" t="s">
        <v>2926</v>
      </c>
      <c r="T251" s="421" t="s">
        <v>2922</v>
      </c>
      <c r="U251" s="143">
        <f t="shared" si="114"/>
        <v>0</v>
      </c>
      <c r="V251" s="421"/>
      <c r="W251" s="421"/>
      <c r="X251" s="421"/>
      <c r="Y251" s="143">
        <f t="shared" si="98"/>
        <v>997</v>
      </c>
      <c r="Z251" s="143"/>
      <c r="AA251" s="143"/>
      <c r="AB251" s="143">
        <f t="shared" si="116"/>
        <v>997</v>
      </c>
      <c r="AC251" s="143">
        <v>0</v>
      </c>
      <c r="AD251" s="144">
        <v>997</v>
      </c>
      <c r="AE251" s="144"/>
      <c r="AF251" s="143">
        <f t="shared" si="100"/>
        <v>996.34699999999998</v>
      </c>
      <c r="AG251" s="143"/>
      <c r="AH251" s="143"/>
      <c r="AI251" s="143">
        <f t="shared" si="101"/>
        <v>996.34699999999998</v>
      </c>
      <c r="AJ251" s="143">
        <v>0</v>
      </c>
      <c r="AK251" s="144">
        <v>996.34699999999998</v>
      </c>
      <c r="AL251" s="144"/>
      <c r="AM251" s="143">
        <v>996.34699999999998</v>
      </c>
      <c r="AN251" s="143"/>
      <c r="AO251" s="143"/>
      <c r="AP251" s="143">
        <v>996.34699999999998</v>
      </c>
      <c r="AQ251" s="143">
        <v>0</v>
      </c>
      <c r="AR251" s="143"/>
      <c r="AS251" s="144"/>
      <c r="AT251" s="144">
        <v>996.34699999999998</v>
      </c>
      <c r="AU251" s="144"/>
      <c r="AV251" s="143">
        <f t="shared" si="102"/>
        <v>0</v>
      </c>
      <c r="AW251" s="143"/>
      <c r="AX251" s="143"/>
      <c r="AY251" s="143">
        <f t="shared" si="103"/>
        <v>0</v>
      </c>
      <c r="AZ251" s="143">
        <v>0</v>
      </c>
      <c r="BA251" s="144">
        <v>0</v>
      </c>
      <c r="BB251" s="144"/>
      <c r="BC251" s="143">
        <v>0</v>
      </c>
      <c r="BD251" s="143"/>
      <c r="BE251" s="143"/>
      <c r="BF251" s="143">
        <v>0</v>
      </c>
      <c r="BG251" s="143">
        <v>0</v>
      </c>
      <c r="BH251" s="148">
        <v>0</v>
      </c>
      <c r="BI251" s="143"/>
      <c r="BJ251" s="148"/>
      <c r="BK251" s="148"/>
      <c r="BL251" s="148"/>
      <c r="BM251" s="148"/>
      <c r="BN251" s="148"/>
      <c r="BO251" s="148"/>
      <c r="BP251" s="148"/>
      <c r="BQ251" s="148"/>
      <c r="BR251" s="148"/>
      <c r="BS251" s="148"/>
      <c r="BT251" s="148">
        <v>0</v>
      </c>
      <c r="BU251" s="148">
        <v>0</v>
      </c>
      <c r="BV251" s="148">
        <v>0</v>
      </c>
      <c r="BW251" s="148">
        <v>0</v>
      </c>
      <c r="BX251" s="231"/>
      <c r="BY251" s="424"/>
    </row>
    <row r="252" spans="1:77" ht="30.75" outlineLevel="1">
      <c r="A252" s="420">
        <v>8</v>
      </c>
      <c r="B252" s="435" t="s">
        <v>2948</v>
      </c>
      <c r="C252" s="428" t="s">
        <v>2350</v>
      </c>
      <c r="D252" s="420" t="s">
        <v>2922</v>
      </c>
      <c r="E252" s="422" t="s">
        <v>49</v>
      </c>
      <c r="F252" s="422" t="s">
        <v>55</v>
      </c>
      <c r="G252" s="151">
        <v>7885676</v>
      </c>
      <c r="H252" s="420" t="s">
        <v>2923</v>
      </c>
      <c r="I252" s="420" t="s">
        <v>73</v>
      </c>
      <c r="J252" s="422">
        <v>2021</v>
      </c>
      <c r="K252" s="424"/>
      <c r="L252" s="420" t="s">
        <v>2949</v>
      </c>
      <c r="M252" s="146">
        <v>10800</v>
      </c>
      <c r="N252" s="424"/>
      <c r="O252" s="424"/>
      <c r="P252" s="146">
        <v>10800</v>
      </c>
      <c r="Q252" s="420" t="s">
        <v>2950</v>
      </c>
      <c r="R252" s="420" t="s">
        <v>2923</v>
      </c>
      <c r="S252" s="420" t="s">
        <v>2926</v>
      </c>
      <c r="T252" s="421" t="s">
        <v>2922</v>
      </c>
      <c r="U252" s="143">
        <f t="shared" si="114"/>
        <v>0</v>
      </c>
      <c r="V252" s="421"/>
      <c r="W252" s="421"/>
      <c r="X252" s="421"/>
      <c r="Y252" s="143">
        <f t="shared" si="98"/>
        <v>10270</v>
      </c>
      <c r="Z252" s="143"/>
      <c r="AA252" s="144"/>
      <c r="AB252" s="143">
        <f t="shared" si="116"/>
        <v>10270</v>
      </c>
      <c r="AC252" s="143">
        <v>2940</v>
      </c>
      <c r="AD252" s="144">
        <v>7330</v>
      </c>
      <c r="AE252" s="144"/>
      <c r="AF252" s="143">
        <f t="shared" si="100"/>
        <v>10269.57</v>
      </c>
      <c r="AG252" s="143"/>
      <c r="AH252" s="145"/>
      <c r="AI252" s="143">
        <f t="shared" si="101"/>
        <v>10269.57</v>
      </c>
      <c r="AJ252" s="143">
        <v>2940</v>
      </c>
      <c r="AK252" s="144">
        <v>7329.57</v>
      </c>
      <c r="AL252" s="144"/>
      <c r="AM252" s="143">
        <v>10266.549999999999</v>
      </c>
      <c r="AN252" s="143"/>
      <c r="AO252" s="144"/>
      <c r="AP252" s="143">
        <v>10266.549999999999</v>
      </c>
      <c r="AQ252" s="143">
        <v>2936.98</v>
      </c>
      <c r="AR252" s="144"/>
      <c r="AS252" s="144">
        <v>2936.98</v>
      </c>
      <c r="AT252" s="144">
        <v>7329.57</v>
      </c>
      <c r="AU252" s="144"/>
      <c r="AV252" s="143">
        <f t="shared" si="102"/>
        <v>0</v>
      </c>
      <c r="AW252" s="143"/>
      <c r="AX252" s="143"/>
      <c r="AY252" s="143">
        <f t="shared" si="103"/>
        <v>0</v>
      </c>
      <c r="AZ252" s="143">
        <v>0</v>
      </c>
      <c r="BA252" s="144">
        <v>0</v>
      </c>
      <c r="BB252" s="144"/>
      <c r="BC252" s="143">
        <v>0</v>
      </c>
      <c r="BD252" s="143"/>
      <c r="BE252" s="143"/>
      <c r="BF252" s="143">
        <v>0</v>
      </c>
      <c r="BG252" s="143">
        <v>0</v>
      </c>
      <c r="BH252" s="148">
        <v>0</v>
      </c>
      <c r="BI252" s="143"/>
      <c r="BJ252" s="148"/>
      <c r="BK252" s="148"/>
      <c r="BL252" s="148"/>
      <c r="BM252" s="148"/>
      <c r="BN252" s="148"/>
      <c r="BO252" s="148"/>
      <c r="BP252" s="148"/>
      <c r="BQ252" s="148"/>
      <c r="BR252" s="148"/>
      <c r="BS252" s="148"/>
      <c r="BT252" s="148">
        <v>0</v>
      </c>
      <c r="BU252" s="148">
        <v>0</v>
      </c>
      <c r="BV252" s="148">
        <v>0</v>
      </c>
      <c r="BW252" s="148">
        <v>0</v>
      </c>
      <c r="BX252" s="231"/>
      <c r="BY252" s="155"/>
    </row>
    <row r="253" spans="1:77" ht="30.75" outlineLevel="1">
      <c r="A253" s="420">
        <v>9</v>
      </c>
      <c r="B253" s="435" t="s">
        <v>2951</v>
      </c>
      <c r="C253" s="428" t="s">
        <v>2350</v>
      </c>
      <c r="D253" s="420" t="s">
        <v>2922</v>
      </c>
      <c r="E253" s="422" t="s">
        <v>49</v>
      </c>
      <c r="F253" s="422" t="s">
        <v>55</v>
      </c>
      <c r="G253" s="151">
        <v>7920774</v>
      </c>
      <c r="H253" s="420" t="s">
        <v>2926</v>
      </c>
      <c r="I253" s="420" t="s">
        <v>76</v>
      </c>
      <c r="J253" s="422">
        <v>2022</v>
      </c>
      <c r="K253" s="424"/>
      <c r="L253" s="420" t="s">
        <v>2952</v>
      </c>
      <c r="M253" s="146">
        <v>11000</v>
      </c>
      <c r="N253" s="424"/>
      <c r="O253" s="424"/>
      <c r="P253" s="146">
        <v>11000</v>
      </c>
      <c r="Q253" s="420" t="s">
        <v>2953</v>
      </c>
      <c r="R253" s="420" t="s">
        <v>2926</v>
      </c>
      <c r="S253" s="420" t="s">
        <v>2926</v>
      </c>
      <c r="T253" s="421" t="s">
        <v>2922</v>
      </c>
      <c r="U253" s="143">
        <f t="shared" si="114"/>
        <v>0</v>
      </c>
      <c r="V253" s="421"/>
      <c r="W253" s="421"/>
      <c r="X253" s="421"/>
      <c r="Y253" s="143">
        <f t="shared" si="98"/>
        <v>7778</v>
      </c>
      <c r="Z253" s="143"/>
      <c r="AA253" s="145"/>
      <c r="AB253" s="143">
        <f t="shared" si="116"/>
        <v>7778</v>
      </c>
      <c r="AC253" s="143">
        <v>810</v>
      </c>
      <c r="AD253" s="144">
        <v>6968</v>
      </c>
      <c r="AE253" s="144"/>
      <c r="AF253" s="143">
        <f t="shared" si="100"/>
        <v>7788</v>
      </c>
      <c r="AG253" s="143"/>
      <c r="AH253" s="145"/>
      <c r="AI253" s="143">
        <f t="shared" si="101"/>
        <v>7788</v>
      </c>
      <c r="AJ253" s="143">
        <v>810</v>
      </c>
      <c r="AK253" s="144">
        <v>6978</v>
      </c>
      <c r="AL253" s="144"/>
      <c r="AM253" s="143">
        <v>7763.3510000000006</v>
      </c>
      <c r="AN253" s="143"/>
      <c r="AO253" s="144"/>
      <c r="AP253" s="143">
        <v>7763.3510000000006</v>
      </c>
      <c r="AQ253" s="143">
        <v>810</v>
      </c>
      <c r="AR253" s="144"/>
      <c r="AS253" s="144">
        <v>810</v>
      </c>
      <c r="AT253" s="144">
        <v>6953.3510000000006</v>
      </c>
      <c r="AU253" s="144"/>
      <c r="AV253" s="143">
        <f t="shared" si="102"/>
        <v>0</v>
      </c>
      <c r="AW253" s="143"/>
      <c r="AX253" s="143"/>
      <c r="AY253" s="143">
        <f t="shared" si="103"/>
        <v>0</v>
      </c>
      <c r="AZ253" s="143">
        <v>0</v>
      </c>
      <c r="BA253" s="144">
        <v>0</v>
      </c>
      <c r="BB253" s="144"/>
      <c r="BC253" s="143">
        <v>0</v>
      </c>
      <c r="BD253" s="143"/>
      <c r="BE253" s="143"/>
      <c r="BF253" s="143">
        <v>0</v>
      </c>
      <c r="BG253" s="143">
        <v>0</v>
      </c>
      <c r="BH253" s="148">
        <v>0</v>
      </c>
      <c r="BI253" s="143"/>
      <c r="BJ253" s="148"/>
      <c r="BK253" s="148"/>
      <c r="BL253" s="148"/>
      <c r="BM253" s="148"/>
      <c r="BN253" s="148"/>
      <c r="BO253" s="148"/>
      <c r="BP253" s="148"/>
      <c r="BQ253" s="148"/>
      <c r="BR253" s="148"/>
      <c r="BS253" s="148"/>
      <c r="BT253" s="148">
        <v>0</v>
      </c>
      <c r="BU253" s="148">
        <v>0</v>
      </c>
      <c r="BV253" s="148">
        <v>0</v>
      </c>
      <c r="BW253" s="148">
        <v>0</v>
      </c>
      <c r="BX253" s="231"/>
      <c r="BY253" s="155"/>
    </row>
    <row r="254" spans="1:77" ht="46.15" outlineLevel="1">
      <c r="A254" s="420">
        <v>10</v>
      </c>
      <c r="B254" s="435" t="s">
        <v>2954</v>
      </c>
      <c r="C254" s="428" t="s">
        <v>2350</v>
      </c>
      <c r="D254" s="420" t="s">
        <v>2922</v>
      </c>
      <c r="E254" s="422" t="s">
        <v>49</v>
      </c>
      <c r="F254" s="422" t="s">
        <v>55</v>
      </c>
      <c r="G254" s="151">
        <v>7920773</v>
      </c>
      <c r="H254" s="420" t="s">
        <v>2926</v>
      </c>
      <c r="I254" s="420" t="s">
        <v>76</v>
      </c>
      <c r="J254" s="422">
        <v>2022</v>
      </c>
      <c r="K254" s="424"/>
      <c r="L254" s="420" t="s">
        <v>2955</v>
      </c>
      <c r="M254" s="146">
        <v>8200</v>
      </c>
      <c r="N254" s="424"/>
      <c r="O254" s="424"/>
      <c r="P254" s="146">
        <v>8200</v>
      </c>
      <c r="Q254" s="420" t="s">
        <v>2956</v>
      </c>
      <c r="R254" s="420" t="s">
        <v>2926</v>
      </c>
      <c r="S254" s="420" t="s">
        <v>2926</v>
      </c>
      <c r="T254" s="421" t="s">
        <v>2922</v>
      </c>
      <c r="U254" s="143">
        <f t="shared" si="114"/>
        <v>0</v>
      </c>
      <c r="V254" s="421"/>
      <c r="W254" s="421"/>
      <c r="X254" s="421"/>
      <c r="Y254" s="143">
        <f t="shared" si="98"/>
        <v>7790</v>
      </c>
      <c r="Z254" s="143"/>
      <c r="AA254" s="143"/>
      <c r="AB254" s="143">
        <f t="shared" si="116"/>
        <v>7790</v>
      </c>
      <c r="AC254" s="143">
        <v>0</v>
      </c>
      <c r="AD254" s="144">
        <v>7790</v>
      </c>
      <c r="AE254" s="144"/>
      <c r="AF254" s="143">
        <f t="shared" si="100"/>
        <v>7249</v>
      </c>
      <c r="AG254" s="143"/>
      <c r="AH254" s="143"/>
      <c r="AI254" s="143">
        <f t="shared" si="101"/>
        <v>7249</v>
      </c>
      <c r="AJ254" s="143">
        <v>0</v>
      </c>
      <c r="AK254" s="144">
        <v>7249</v>
      </c>
      <c r="AL254" s="144"/>
      <c r="AM254" s="143">
        <v>5738.9070000000002</v>
      </c>
      <c r="AN254" s="143"/>
      <c r="AO254" s="143"/>
      <c r="AP254" s="143">
        <v>5738.9070000000002</v>
      </c>
      <c r="AQ254" s="143">
        <v>0</v>
      </c>
      <c r="AR254" s="143"/>
      <c r="AS254" s="144"/>
      <c r="AT254" s="144">
        <v>5738.9070000000002</v>
      </c>
      <c r="AU254" s="144"/>
      <c r="AV254" s="143">
        <f t="shared" si="102"/>
        <v>1510</v>
      </c>
      <c r="AW254" s="143"/>
      <c r="AX254" s="143"/>
      <c r="AY254" s="143">
        <f t="shared" si="103"/>
        <v>1510</v>
      </c>
      <c r="AZ254" s="143">
        <v>0</v>
      </c>
      <c r="BA254" s="144">
        <v>1510</v>
      </c>
      <c r="BB254" s="144"/>
      <c r="BC254" s="143">
        <v>0</v>
      </c>
      <c r="BD254" s="143"/>
      <c r="BE254" s="143"/>
      <c r="BF254" s="143">
        <v>0</v>
      </c>
      <c r="BG254" s="143">
        <v>0</v>
      </c>
      <c r="BH254" s="148">
        <v>0</v>
      </c>
      <c r="BI254" s="143"/>
      <c r="BJ254" s="148"/>
      <c r="BK254" s="148"/>
      <c r="BL254" s="148"/>
      <c r="BM254" s="148"/>
      <c r="BN254" s="148"/>
      <c r="BO254" s="148"/>
      <c r="BP254" s="148"/>
      <c r="BQ254" s="148"/>
      <c r="BR254" s="148"/>
      <c r="BS254" s="148"/>
      <c r="BT254" s="148">
        <v>1400</v>
      </c>
      <c r="BU254" s="148"/>
      <c r="BV254" s="148">
        <v>1400</v>
      </c>
      <c r="BW254" s="148"/>
      <c r="BX254" s="231"/>
      <c r="BY254" s="424"/>
    </row>
    <row r="255" spans="1:77" ht="36" customHeight="1" outlineLevel="1">
      <c r="A255" s="420">
        <v>11</v>
      </c>
      <c r="B255" s="442" t="s">
        <v>2957</v>
      </c>
      <c r="C255" s="428" t="s">
        <v>2934</v>
      </c>
      <c r="D255" s="420" t="s">
        <v>2922</v>
      </c>
      <c r="E255" s="422" t="s">
        <v>49</v>
      </c>
      <c r="F255" s="422" t="s">
        <v>125</v>
      </c>
      <c r="G255" s="142"/>
      <c r="H255" s="420" t="s">
        <v>2923</v>
      </c>
      <c r="I255" s="420" t="s">
        <v>891</v>
      </c>
      <c r="J255" s="420"/>
      <c r="K255" s="424"/>
      <c r="L255" s="436" t="s">
        <v>2958</v>
      </c>
      <c r="M255" s="146">
        <v>7162</v>
      </c>
      <c r="N255" s="424"/>
      <c r="O255" s="424"/>
      <c r="P255" s="146">
        <v>4794</v>
      </c>
      <c r="Q255" s="420"/>
      <c r="R255" s="420" t="s">
        <v>2923</v>
      </c>
      <c r="S255" s="420" t="s">
        <v>2926</v>
      </c>
      <c r="T255" s="421" t="s">
        <v>2922</v>
      </c>
      <c r="U255" s="143">
        <f t="shared" si="114"/>
        <v>0</v>
      </c>
      <c r="V255" s="421"/>
      <c r="W255" s="421"/>
      <c r="X255" s="421"/>
      <c r="Y255" s="143">
        <f t="shared" si="98"/>
        <v>4554</v>
      </c>
      <c r="Z255" s="143"/>
      <c r="AA255" s="143"/>
      <c r="AB255" s="143">
        <f t="shared" si="116"/>
        <v>4554</v>
      </c>
      <c r="AC255" s="143">
        <v>0</v>
      </c>
      <c r="AD255" s="144">
        <v>4554</v>
      </c>
      <c r="AE255" s="144"/>
      <c r="AF255" s="143">
        <f t="shared" si="100"/>
        <v>4238.9480000000003</v>
      </c>
      <c r="AG255" s="143"/>
      <c r="AH255" s="143"/>
      <c r="AI255" s="143">
        <f t="shared" si="101"/>
        <v>4238.9480000000003</v>
      </c>
      <c r="AJ255" s="143">
        <v>0</v>
      </c>
      <c r="AK255" s="144">
        <v>4238.9480000000003</v>
      </c>
      <c r="AL255" s="144"/>
      <c r="AM255" s="143">
        <v>4248.0362880000002</v>
      </c>
      <c r="AN255" s="143"/>
      <c r="AO255" s="143"/>
      <c r="AP255" s="143">
        <v>4248.0362880000002</v>
      </c>
      <c r="AQ255" s="143">
        <v>0</v>
      </c>
      <c r="AR255" s="143"/>
      <c r="AS255" s="144"/>
      <c r="AT255" s="144">
        <v>4248.0362880000002</v>
      </c>
      <c r="AU255" s="144"/>
      <c r="AV255" s="143">
        <f t="shared" si="102"/>
        <v>0</v>
      </c>
      <c r="AW255" s="143"/>
      <c r="AX255" s="143"/>
      <c r="AY255" s="143">
        <f t="shared" si="103"/>
        <v>0</v>
      </c>
      <c r="AZ255" s="143">
        <v>0</v>
      </c>
      <c r="BA255" s="144">
        <v>0</v>
      </c>
      <c r="BB255" s="144"/>
      <c r="BC255" s="143">
        <v>0</v>
      </c>
      <c r="BD255" s="143"/>
      <c r="BE255" s="143"/>
      <c r="BF255" s="143">
        <v>0</v>
      </c>
      <c r="BG255" s="143">
        <v>0</v>
      </c>
      <c r="BH255" s="148">
        <v>0</v>
      </c>
      <c r="BI255" s="143"/>
      <c r="BJ255" s="148"/>
      <c r="BK255" s="148"/>
      <c r="BL255" s="148"/>
      <c r="BM255" s="148"/>
      <c r="BN255" s="148"/>
      <c r="BO255" s="148"/>
      <c r="BP255" s="148"/>
      <c r="BQ255" s="148"/>
      <c r="BR255" s="148"/>
      <c r="BS255" s="148"/>
      <c r="BT255" s="148"/>
      <c r="BU255" s="148"/>
      <c r="BV255" s="148"/>
      <c r="BW255" s="148"/>
      <c r="BX255" s="231"/>
      <c r="BY255" s="424"/>
    </row>
    <row r="256" spans="1:77" ht="36.75" customHeight="1" outlineLevel="1">
      <c r="A256" s="420">
        <v>12</v>
      </c>
      <c r="B256" s="421" t="s">
        <v>2959</v>
      </c>
      <c r="C256" s="420" t="s">
        <v>2922</v>
      </c>
      <c r="D256" s="420" t="s">
        <v>2922</v>
      </c>
      <c r="E256" s="422" t="s">
        <v>49</v>
      </c>
      <c r="F256" s="422" t="s">
        <v>48</v>
      </c>
      <c r="G256" s="150">
        <v>7945672</v>
      </c>
      <c r="H256" s="437" t="s">
        <v>2960</v>
      </c>
      <c r="I256" s="420" t="s">
        <v>906</v>
      </c>
      <c r="J256" s="420"/>
      <c r="K256" s="424"/>
      <c r="L256" s="420" t="s">
        <v>2961</v>
      </c>
      <c r="M256" s="151">
        <v>1403</v>
      </c>
      <c r="N256" s="424"/>
      <c r="O256" s="424"/>
      <c r="P256" s="440">
        <v>1333</v>
      </c>
      <c r="Q256" s="420"/>
      <c r="R256" s="437" t="s">
        <v>2960</v>
      </c>
      <c r="S256" s="420" t="s">
        <v>2926</v>
      </c>
      <c r="T256" s="421" t="s">
        <v>2922</v>
      </c>
      <c r="U256" s="143">
        <f t="shared" si="114"/>
        <v>0</v>
      </c>
      <c r="V256" s="421"/>
      <c r="W256" s="421"/>
      <c r="X256" s="421"/>
      <c r="Y256" s="143">
        <f t="shared" si="98"/>
        <v>1333</v>
      </c>
      <c r="Z256" s="143"/>
      <c r="AA256" s="143"/>
      <c r="AB256" s="143">
        <f t="shared" si="116"/>
        <v>1333</v>
      </c>
      <c r="AC256" s="143">
        <v>0</v>
      </c>
      <c r="AD256" s="144">
        <v>1333</v>
      </c>
      <c r="AE256" s="144"/>
      <c r="AF256" s="143">
        <f t="shared" si="100"/>
        <v>1146.3969999999999</v>
      </c>
      <c r="AG256" s="143"/>
      <c r="AH256" s="143"/>
      <c r="AI256" s="143">
        <f t="shared" si="101"/>
        <v>1146.3969999999999</v>
      </c>
      <c r="AJ256" s="143">
        <v>0</v>
      </c>
      <c r="AK256" s="144">
        <v>1146.3969999999999</v>
      </c>
      <c r="AL256" s="144"/>
      <c r="AM256" s="143">
        <v>1146.3969999999999</v>
      </c>
      <c r="AN256" s="143"/>
      <c r="AO256" s="143"/>
      <c r="AP256" s="143">
        <v>1146.3969999999999</v>
      </c>
      <c r="AQ256" s="143">
        <v>0</v>
      </c>
      <c r="AR256" s="143"/>
      <c r="AS256" s="144"/>
      <c r="AT256" s="144">
        <v>1146.3969999999999</v>
      </c>
      <c r="AU256" s="144"/>
      <c r="AV256" s="143">
        <f t="shared" si="102"/>
        <v>0</v>
      </c>
      <c r="AW256" s="143"/>
      <c r="AX256" s="143"/>
      <c r="AY256" s="143">
        <f t="shared" si="103"/>
        <v>0</v>
      </c>
      <c r="AZ256" s="143">
        <v>0</v>
      </c>
      <c r="BA256" s="144">
        <v>0</v>
      </c>
      <c r="BB256" s="144"/>
      <c r="BC256" s="143">
        <v>0</v>
      </c>
      <c r="BD256" s="143"/>
      <c r="BE256" s="143"/>
      <c r="BF256" s="143">
        <v>0</v>
      </c>
      <c r="BG256" s="143">
        <v>0</v>
      </c>
      <c r="BH256" s="148">
        <v>0</v>
      </c>
      <c r="BI256" s="143"/>
      <c r="BJ256" s="148"/>
      <c r="BK256" s="148"/>
      <c r="BL256" s="148"/>
      <c r="BM256" s="148"/>
      <c r="BN256" s="148"/>
      <c r="BO256" s="148"/>
      <c r="BP256" s="148"/>
      <c r="BQ256" s="148"/>
      <c r="BR256" s="148"/>
      <c r="BS256" s="148"/>
      <c r="BT256" s="148"/>
      <c r="BU256" s="148"/>
      <c r="BV256" s="148"/>
      <c r="BW256" s="148"/>
      <c r="BX256" s="231"/>
      <c r="BY256" s="424"/>
    </row>
    <row r="257" spans="1:77" ht="36.75" customHeight="1" outlineLevel="1">
      <c r="A257" s="420">
        <v>13</v>
      </c>
      <c r="B257" s="421" t="s">
        <v>2962</v>
      </c>
      <c r="C257" s="420" t="s">
        <v>2395</v>
      </c>
      <c r="D257" s="420" t="s">
        <v>2922</v>
      </c>
      <c r="E257" s="422" t="s">
        <v>49</v>
      </c>
      <c r="F257" s="422" t="s">
        <v>48</v>
      </c>
      <c r="G257" s="150">
        <v>7949893</v>
      </c>
      <c r="H257" s="437" t="s">
        <v>2960</v>
      </c>
      <c r="I257" s="420" t="s">
        <v>906</v>
      </c>
      <c r="J257" s="420"/>
      <c r="K257" s="424"/>
      <c r="L257" s="420" t="s">
        <v>2963</v>
      </c>
      <c r="M257" s="151">
        <v>2814</v>
      </c>
      <c r="N257" s="424"/>
      <c r="O257" s="424"/>
      <c r="P257" s="440">
        <v>2673</v>
      </c>
      <c r="Q257" s="420"/>
      <c r="R257" s="437" t="s">
        <v>2960</v>
      </c>
      <c r="S257" s="420" t="s">
        <v>2926</v>
      </c>
      <c r="T257" s="421" t="s">
        <v>2922</v>
      </c>
      <c r="U257" s="143">
        <f t="shared" si="114"/>
        <v>0</v>
      </c>
      <c r="V257" s="421"/>
      <c r="W257" s="421"/>
      <c r="X257" s="421"/>
      <c r="Y257" s="143">
        <f t="shared" si="98"/>
        <v>2732</v>
      </c>
      <c r="Z257" s="143"/>
      <c r="AA257" s="143"/>
      <c r="AB257" s="143">
        <f t="shared" si="116"/>
        <v>2732</v>
      </c>
      <c r="AC257" s="143">
        <v>0</v>
      </c>
      <c r="AD257" s="144">
        <v>2732</v>
      </c>
      <c r="AE257" s="144"/>
      <c r="AF257" s="143">
        <f t="shared" si="100"/>
        <v>2732.18</v>
      </c>
      <c r="AG257" s="143"/>
      <c r="AH257" s="143"/>
      <c r="AI257" s="143">
        <f t="shared" si="101"/>
        <v>2732.18</v>
      </c>
      <c r="AJ257" s="143">
        <v>0</v>
      </c>
      <c r="AK257" s="144">
        <v>2732.18</v>
      </c>
      <c r="AL257" s="144"/>
      <c r="AM257" s="143">
        <v>2666.1797589999996</v>
      </c>
      <c r="AN257" s="143"/>
      <c r="AO257" s="143"/>
      <c r="AP257" s="143">
        <v>2666.1797589999996</v>
      </c>
      <c r="AQ257" s="143">
        <v>0</v>
      </c>
      <c r="AR257" s="143"/>
      <c r="AS257" s="144"/>
      <c r="AT257" s="144">
        <v>2666.1797589999996</v>
      </c>
      <c r="AU257" s="144"/>
      <c r="AV257" s="143">
        <f t="shared" si="102"/>
        <v>66</v>
      </c>
      <c r="AW257" s="143"/>
      <c r="AX257" s="143"/>
      <c r="AY257" s="143">
        <f t="shared" si="103"/>
        <v>66</v>
      </c>
      <c r="AZ257" s="143">
        <v>0</v>
      </c>
      <c r="BA257" s="144">
        <v>66</v>
      </c>
      <c r="BB257" s="144"/>
      <c r="BC257" s="143">
        <v>64.222999999999999</v>
      </c>
      <c r="BD257" s="143"/>
      <c r="BE257" s="143"/>
      <c r="BF257" s="143">
        <v>64.222999999999999</v>
      </c>
      <c r="BG257" s="143">
        <v>0</v>
      </c>
      <c r="BH257" s="148">
        <v>0</v>
      </c>
      <c r="BI257" s="143"/>
      <c r="BJ257" s="148">
        <v>64.222999999999999</v>
      </c>
      <c r="BK257" s="148"/>
      <c r="BL257" s="148"/>
      <c r="BM257" s="148"/>
      <c r="BN257" s="148"/>
      <c r="BO257" s="148"/>
      <c r="BP257" s="148"/>
      <c r="BQ257" s="148"/>
      <c r="BR257" s="148"/>
      <c r="BS257" s="148"/>
      <c r="BT257" s="148"/>
      <c r="BU257" s="148"/>
      <c r="BV257" s="148"/>
      <c r="BW257" s="148"/>
      <c r="BX257" s="231"/>
      <c r="BY257" s="424"/>
    </row>
    <row r="258" spans="1:77" ht="38.25" customHeight="1" outlineLevel="1">
      <c r="A258" s="420">
        <v>14</v>
      </c>
      <c r="B258" s="421" t="s">
        <v>2964</v>
      </c>
      <c r="C258" s="420" t="s">
        <v>2395</v>
      </c>
      <c r="D258" s="420" t="s">
        <v>2922</v>
      </c>
      <c r="E258" s="422" t="s">
        <v>49</v>
      </c>
      <c r="F258" s="422" t="s">
        <v>48</v>
      </c>
      <c r="G258" s="150">
        <v>7958604</v>
      </c>
      <c r="H258" s="437" t="s">
        <v>2960</v>
      </c>
      <c r="I258" s="420" t="s">
        <v>76</v>
      </c>
      <c r="J258" s="420"/>
      <c r="K258" s="424"/>
      <c r="L258" s="420" t="s">
        <v>2965</v>
      </c>
      <c r="M258" s="151">
        <v>2890</v>
      </c>
      <c r="N258" s="424"/>
      <c r="O258" s="424"/>
      <c r="P258" s="440">
        <v>2746</v>
      </c>
      <c r="Q258" s="420"/>
      <c r="R258" s="437" t="s">
        <v>2960</v>
      </c>
      <c r="S258" s="420" t="s">
        <v>2926</v>
      </c>
      <c r="T258" s="421" t="s">
        <v>2922</v>
      </c>
      <c r="U258" s="143">
        <f t="shared" si="114"/>
        <v>0</v>
      </c>
      <c r="V258" s="421"/>
      <c r="W258" s="421"/>
      <c r="X258" s="421"/>
      <c r="Y258" s="143">
        <f t="shared" si="98"/>
        <v>2788</v>
      </c>
      <c r="Z258" s="143"/>
      <c r="AA258" s="143"/>
      <c r="AB258" s="143">
        <f t="shared" si="116"/>
        <v>2788</v>
      </c>
      <c r="AC258" s="143">
        <v>0</v>
      </c>
      <c r="AD258" s="144">
        <v>2788</v>
      </c>
      <c r="AE258" s="144"/>
      <c r="AF258" s="143">
        <f t="shared" si="100"/>
        <v>2788</v>
      </c>
      <c r="AG258" s="143"/>
      <c r="AH258" s="143"/>
      <c r="AI258" s="143">
        <f t="shared" si="101"/>
        <v>2788</v>
      </c>
      <c r="AJ258" s="143">
        <v>0</v>
      </c>
      <c r="AK258" s="144">
        <v>2788</v>
      </c>
      <c r="AL258" s="144"/>
      <c r="AM258" s="143">
        <v>2434</v>
      </c>
      <c r="AN258" s="143"/>
      <c r="AO258" s="143"/>
      <c r="AP258" s="143">
        <v>2434</v>
      </c>
      <c r="AQ258" s="143">
        <v>0</v>
      </c>
      <c r="AR258" s="143"/>
      <c r="AS258" s="144"/>
      <c r="AT258" s="144">
        <v>2434</v>
      </c>
      <c r="AU258" s="144"/>
      <c r="AV258" s="143">
        <f t="shared" si="102"/>
        <v>354</v>
      </c>
      <c r="AW258" s="143"/>
      <c r="AX258" s="143"/>
      <c r="AY258" s="143">
        <f t="shared" si="103"/>
        <v>354</v>
      </c>
      <c r="AZ258" s="143">
        <v>0</v>
      </c>
      <c r="BA258" s="144">
        <v>354</v>
      </c>
      <c r="BB258" s="144"/>
      <c r="BC258" s="143">
        <v>353.94287100000003</v>
      </c>
      <c r="BD258" s="143"/>
      <c r="BE258" s="143"/>
      <c r="BF258" s="143">
        <v>353.94287100000003</v>
      </c>
      <c r="BG258" s="143">
        <v>0</v>
      </c>
      <c r="BH258" s="148">
        <v>0</v>
      </c>
      <c r="BI258" s="143"/>
      <c r="BJ258" s="148">
        <v>353.94287100000003</v>
      </c>
      <c r="BK258" s="148"/>
      <c r="BL258" s="148"/>
      <c r="BM258" s="148"/>
      <c r="BN258" s="148"/>
      <c r="BO258" s="148"/>
      <c r="BP258" s="148"/>
      <c r="BQ258" s="148"/>
      <c r="BR258" s="148"/>
      <c r="BS258" s="148"/>
      <c r="BT258" s="148"/>
      <c r="BU258" s="148"/>
      <c r="BV258" s="148"/>
      <c r="BW258" s="148"/>
      <c r="BX258" s="231"/>
      <c r="BY258" s="424"/>
    </row>
    <row r="259" spans="1:77" ht="30.75" outlineLevel="1">
      <c r="A259" s="420">
        <v>15</v>
      </c>
      <c r="B259" s="421" t="s">
        <v>2966</v>
      </c>
      <c r="C259" s="420" t="s">
        <v>2922</v>
      </c>
      <c r="D259" s="420" t="s">
        <v>2922</v>
      </c>
      <c r="E259" s="422" t="s">
        <v>49</v>
      </c>
      <c r="F259" s="422" t="s">
        <v>48</v>
      </c>
      <c r="G259" s="150">
        <v>7945673</v>
      </c>
      <c r="H259" s="437" t="s">
        <v>2960</v>
      </c>
      <c r="I259" s="420" t="s">
        <v>906</v>
      </c>
      <c r="J259" s="420"/>
      <c r="K259" s="424"/>
      <c r="L259" s="420" t="s">
        <v>2967</v>
      </c>
      <c r="M259" s="151">
        <v>1217</v>
      </c>
      <c r="N259" s="424"/>
      <c r="O259" s="424"/>
      <c r="P259" s="440">
        <v>1156</v>
      </c>
      <c r="Q259" s="420"/>
      <c r="R259" s="437" t="s">
        <v>2960</v>
      </c>
      <c r="S259" s="420" t="s">
        <v>2926</v>
      </c>
      <c r="T259" s="421" t="s">
        <v>2922</v>
      </c>
      <c r="U259" s="143">
        <f t="shared" si="114"/>
        <v>0</v>
      </c>
      <c r="V259" s="421"/>
      <c r="W259" s="421"/>
      <c r="X259" s="421"/>
      <c r="Y259" s="143">
        <f t="shared" si="98"/>
        <v>1156</v>
      </c>
      <c r="Z259" s="143"/>
      <c r="AA259" s="143"/>
      <c r="AB259" s="143">
        <f t="shared" si="116"/>
        <v>1156</v>
      </c>
      <c r="AC259" s="143">
        <v>0</v>
      </c>
      <c r="AD259" s="144">
        <v>1156</v>
      </c>
      <c r="AE259" s="144"/>
      <c r="AF259" s="143">
        <f t="shared" si="100"/>
        <v>993.3</v>
      </c>
      <c r="AG259" s="143"/>
      <c r="AH259" s="143"/>
      <c r="AI259" s="143">
        <f t="shared" si="101"/>
        <v>993.3</v>
      </c>
      <c r="AJ259" s="143">
        <v>0</v>
      </c>
      <c r="AK259" s="144">
        <v>993.3</v>
      </c>
      <c r="AL259" s="144"/>
      <c r="AM259" s="143">
        <v>993.29945199999997</v>
      </c>
      <c r="AN259" s="143"/>
      <c r="AO259" s="143"/>
      <c r="AP259" s="143">
        <v>993.29945199999997</v>
      </c>
      <c r="AQ259" s="143">
        <v>0</v>
      </c>
      <c r="AR259" s="143"/>
      <c r="AS259" s="144"/>
      <c r="AT259" s="144">
        <v>993.29945199999997</v>
      </c>
      <c r="AU259" s="144"/>
      <c r="AV259" s="143">
        <f t="shared" si="102"/>
        <v>0</v>
      </c>
      <c r="AW259" s="143"/>
      <c r="AX259" s="143"/>
      <c r="AY259" s="143">
        <f t="shared" si="103"/>
        <v>0</v>
      </c>
      <c r="AZ259" s="143">
        <v>0</v>
      </c>
      <c r="BA259" s="144">
        <v>0</v>
      </c>
      <c r="BB259" s="144"/>
      <c r="BC259" s="143">
        <v>0</v>
      </c>
      <c r="BD259" s="143"/>
      <c r="BE259" s="143"/>
      <c r="BF259" s="143">
        <v>0</v>
      </c>
      <c r="BG259" s="143">
        <v>0</v>
      </c>
      <c r="BH259" s="148">
        <v>0</v>
      </c>
      <c r="BI259" s="143"/>
      <c r="BJ259" s="148"/>
      <c r="BK259" s="148"/>
      <c r="BL259" s="148"/>
      <c r="BM259" s="148"/>
      <c r="BN259" s="148"/>
      <c r="BO259" s="148"/>
      <c r="BP259" s="148"/>
      <c r="BQ259" s="148"/>
      <c r="BR259" s="148"/>
      <c r="BS259" s="148"/>
      <c r="BT259" s="148"/>
      <c r="BU259" s="148"/>
      <c r="BV259" s="148"/>
      <c r="BW259" s="148"/>
      <c r="BX259" s="231"/>
      <c r="BY259" s="424"/>
    </row>
    <row r="260" spans="1:77" ht="46.15" outlineLevel="1">
      <c r="A260" s="420">
        <v>16</v>
      </c>
      <c r="B260" s="449" t="s">
        <v>2968</v>
      </c>
      <c r="C260" s="420" t="s">
        <v>2969</v>
      </c>
      <c r="D260" s="420" t="s">
        <v>2922</v>
      </c>
      <c r="E260" s="422" t="s">
        <v>49</v>
      </c>
      <c r="F260" s="422" t="s">
        <v>125</v>
      </c>
      <c r="G260" s="142">
        <v>7814846</v>
      </c>
      <c r="H260" s="420" t="s">
        <v>2960</v>
      </c>
      <c r="I260" s="420" t="s">
        <v>891</v>
      </c>
      <c r="J260" s="420"/>
      <c r="K260" s="424"/>
      <c r="L260" s="420" t="s">
        <v>2970</v>
      </c>
      <c r="M260" s="149">
        <v>9680.0380000000005</v>
      </c>
      <c r="N260" s="424"/>
      <c r="O260" s="424"/>
      <c r="P260" s="149">
        <v>9680.0380000000005</v>
      </c>
      <c r="Q260" s="420"/>
      <c r="R260" s="420" t="s">
        <v>2960</v>
      </c>
      <c r="S260" s="420" t="s">
        <v>2926</v>
      </c>
      <c r="T260" s="421" t="s">
        <v>2922</v>
      </c>
      <c r="U260" s="143">
        <f t="shared" si="114"/>
        <v>0</v>
      </c>
      <c r="V260" s="421"/>
      <c r="W260" s="421"/>
      <c r="X260" s="421"/>
      <c r="Y260" s="143">
        <f t="shared" si="98"/>
        <v>9529</v>
      </c>
      <c r="Z260" s="143"/>
      <c r="AA260" s="143"/>
      <c r="AB260" s="143">
        <f t="shared" si="116"/>
        <v>9529</v>
      </c>
      <c r="AC260" s="143">
        <v>0</v>
      </c>
      <c r="AD260" s="144">
        <v>9529</v>
      </c>
      <c r="AE260" s="144"/>
      <c r="AF260" s="143">
        <f t="shared" si="100"/>
        <v>8460</v>
      </c>
      <c r="AG260" s="143"/>
      <c r="AH260" s="143"/>
      <c r="AI260" s="143">
        <f t="shared" si="101"/>
        <v>8460</v>
      </c>
      <c r="AJ260" s="143">
        <v>0</v>
      </c>
      <c r="AK260" s="144">
        <v>8460</v>
      </c>
      <c r="AL260" s="144"/>
      <c r="AM260" s="143">
        <v>0</v>
      </c>
      <c r="AN260" s="143"/>
      <c r="AO260" s="143"/>
      <c r="AP260" s="143">
        <v>0</v>
      </c>
      <c r="AQ260" s="143">
        <v>0</v>
      </c>
      <c r="AR260" s="143"/>
      <c r="AS260" s="144"/>
      <c r="AT260" s="144">
        <v>0</v>
      </c>
      <c r="AU260" s="144"/>
      <c r="AV260" s="143">
        <f t="shared" si="102"/>
        <v>8460</v>
      </c>
      <c r="AW260" s="143"/>
      <c r="AX260" s="143"/>
      <c r="AY260" s="143">
        <f t="shared" si="103"/>
        <v>8460</v>
      </c>
      <c r="AZ260" s="143">
        <v>0</v>
      </c>
      <c r="BA260" s="144">
        <v>8460</v>
      </c>
      <c r="BB260" s="144"/>
      <c r="BC260" s="143">
        <v>8412.4210000000003</v>
      </c>
      <c r="BD260" s="143"/>
      <c r="BE260" s="143"/>
      <c r="BF260" s="143">
        <v>8412.4210000000003</v>
      </c>
      <c r="BG260" s="143">
        <v>0</v>
      </c>
      <c r="BH260" s="148">
        <v>0</v>
      </c>
      <c r="BI260" s="143"/>
      <c r="BJ260" s="148">
        <v>8412.4210000000003</v>
      </c>
      <c r="BK260" s="148"/>
      <c r="BL260" s="148"/>
      <c r="BM260" s="148"/>
      <c r="BN260" s="148"/>
      <c r="BO260" s="148"/>
      <c r="BP260" s="148"/>
      <c r="BQ260" s="148"/>
      <c r="BR260" s="148"/>
      <c r="BS260" s="148"/>
      <c r="BT260" s="148"/>
      <c r="BU260" s="148"/>
      <c r="BV260" s="148"/>
      <c r="BW260" s="148"/>
      <c r="BX260" s="231"/>
      <c r="BY260" s="424"/>
    </row>
    <row r="261" spans="1:77" ht="30.75" outlineLevel="1">
      <c r="A261" s="420">
        <v>17</v>
      </c>
      <c r="B261" s="421" t="s">
        <v>2971</v>
      </c>
      <c r="C261" s="420" t="s">
        <v>2969</v>
      </c>
      <c r="D261" s="420" t="s">
        <v>2922</v>
      </c>
      <c r="E261" s="422" t="s">
        <v>49</v>
      </c>
      <c r="F261" s="422" t="s">
        <v>48</v>
      </c>
      <c r="G261" s="150">
        <v>7799421</v>
      </c>
      <c r="H261" s="420" t="s">
        <v>2960</v>
      </c>
      <c r="I261" s="420" t="s">
        <v>891</v>
      </c>
      <c r="J261" s="420"/>
      <c r="K261" s="424"/>
      <c r="L261" s="420" t="s">
        <v>2972</v>
      </c>
      <c r="M261" s="149">
        <v>1444</v>
      </c>
      <c r="N261" s="424"/>
      <c r="O261" s="424"/>
      <c r="P261" s="149">
        <v>1444</v>
      </c>
      <c r="Q261" s="420"/>
      <c r="R261" s="420" t="s">
        <v>2960</v>
      </c>
      <c r="S261" s="420" t="s">
        <v>2926</v>
      </c>
      <c r="T261" s="421" t="s">
        <v>2922</v>
      </c>
      <c r="U261" s="143">
        <f t="shared" si="114"/>
        <v>0</v>
      </c>
      <c r="V261" s="421"/>
      <c r="W261" s="421"/>
      <c r="X261" s="421"/>
      <c r="Y261" s="143">
        <f t="shared" si="98"/>
        <v>1190</v>
      </c>
      <c r="Z261" s="143"/>
      <c r="AA261" s="143"/>
      <c r="AB261" s="143">
        <f t="shared" si="116"/>
        <v>1190</v>
      </c>
      <c r="AC261" s="143">
        <v>0</v>
      </c>
      <c r="AD261" s="144">
        <v>1190</v>
      </c>
      <c r="AE261" s="144"/>
      <c r="AF261" s="143">
        <f t="shared" si="100"/>
        <v>1190</v>
      </c>
      <c r="AG261" s="143"/>
      <c r="AH261" s="143"/>
      <c r="AI261" s="143">
        <f t="shared" si="101"/>
        <v>1190</v>
      </c>
      <c r="AJ261" s="143">
        <v>0</v>
      </c>
      <c r="AK261" s="144">
        <v>1190</v>
      </c>
      <c r="AL261" s="144"/>
      <c r="AM261" s="143">
        <v>0</v>
      </c>
      <c r="AN261" s="143"/>
      <c r="AO261" s="143"/>
      <c r="AP261" s="143">
        <v>0</v>
      </c>
      <c r="AQ261" s="143">
        <v>0</v>
      </c>
      <c r="AR261" s="143"/>
      <c r="AS261" s="144"/>
      <c r="AT261" s="144">
        <v>0</v>
      </c>
      <c r="AU261" s="144"/>
      <c r="AV261" s="143">
        <f t="shared" si="102"/>
        <v>1190</v>
      </c>
      <c r="AW261" s="143"/>
      <c r="AX261" s="143"/>
      <c r="AY261" s="143">
        <f t="shared" si="103"/>
        <v>1190</v>
      </c>
      <c r="AZ261" s="143">
        <v>0</v>
      </c>
      <c r="BA261" s="144">
        <v>1190</v>
      </c>
      <c r="BB261" s="144"/>
      <c r="BC261" s="143">
        <v>1190</v>
      </c>
      <c r="BD261" s="143"/>
      <c r="BE261" s="143"/>
      <c r="BF261" s="143">
        <v>1190</v>
      </c>
      <c r="BG261" s="143">
        <v>0</v>
      </c>
      <c r="BH261" s="148">
        <v>0</v>
      </c>
      <c r="BI261" s="143"/>
      <c r="BJ261" s="148">
        <v>1190</v>
      </c>
      <c r="BK261" s="148"/>
      <c r="BL261" s="148"/>
      <c r="BM261" s="148"/>
      <c r="BN261" s="148"/>
      <c r="BO261" s="148"/>
      <c r="BP261" s="148"/>
      <c r="BQ261" s="148"/>
      <c r="BR261" s="148"/>
      <c r="BS261" s="148"/>
      <c r="BT261" s="148"/>
      <c r="BU261" s="148"/>
      <c r="BV261" s="148"/>
      <c r="BW261" s="148"/>
      <c r="BX261" s="231"/>
      <c r="BY261" s="424"/>
    </row>
    <row r="262" spans="1:77" ht="30.75" outlineLevel="1">
      <c r="A262" s="420">
        <v>18</v>
      </c>
      <c r="B262" s="421" t="s">
        <v>2973</v>
      </c>
      <c r="C262" s="420" t="s">
        <v>2969</v>
      </c>
      <c r="D262" s="420" t="s">
        <v>2922</v>
      </c>
      <c r="E262" s="422" t="s">
        <v>49</v>
      </c>
      <c r="F262" s="422" t="s">
        <v>48</v>
      </c>
      <c r="G262" s="150">
        <v>7799419</v>
      </c>
      <c r="H262" s="420" t="s">
        <v>2960</v>
      </c>
      <c r="I262" s="420" t="s">
        <v>891</v>
      </c>
      <c r="J262" s="420"/>
      <c r="K262" s="424"/>
      <c r="L262" s="420" t="s">
        <v>2974</v>
      </c>
      <c r="M262" s="149">
        <v>167</v>
      </c>
      <c r="N262" s="424"/>
      <c r="O262" s="424"/>
      <c r="P262" s="149">
        <v>167</v>
      </c>
      <c r="Q262" s="420"/>
      <c r="R262" s="420" t="s">
        <v>2960</v>
      </c>
      <c r="S262" s="420" t="s">
        <v>2926</v>
      </c>
      <c r="T262" s="421" t="s">
        <v>2922</v>
      </c>
      <c r="U262" s="143">
        <f t="shared" si="114"/>
        <v>0</v>
      </c>
      <c r="V262" s="421"/>
      <c r="W262" s="421"/>
      <c r="X262" s="421"/>
      <c r="Y262" s="143">
        <f t="shared" si="98"/>
        <v>139</v>
      </c>
      <c r="Z262" s="143"/>
      <c r="AA262" s="143"/>
      <c r="AB262" s="143">
        <f t="shared" si="116"/>
        <v>139</v>
      </c>
      <c r="AC262" s="143">
        <v>0</v>
      </c>
      <c r="AD262" s="144">
        <v>139</v>
      </c>
      <c r="AE262" s="144"/>
      <c r="AF262" s="143">
        <f t="shared" si="100"/>
        <v>139</v>
      </c>
      <c r="AG262" s="143"/>
      <c r="AH262" s="143"/>
      <c r="AI262" s="143">
        <f t="shared" si="101"/>
        <v>139</v>
      </c>
      <c r="AJ262" s="143">
        <v>0</v>
      </c>
      <c r="AK262" s="144">
        <v>139</v>
      </c>
      <c r="AL262" s="144"/>
      <c r="AM262" s="143">
        <v>0</v>
      </c>
      <c r="AN262" s="143"/>
      <c r="AO262" s="143"/>
      <c r="AP262" s="143">
        <v>0</v>
      </c>
      <c r="AQ262" s="143">
        <v>0</v>
      </c>
      <c r="AR262" s="143"/>
      <c r="AS262" s="144"/>
      <c r="AT262" s="144">
        <v>0</v>
      </c>
      <c r="AU262" s="144"/>
      <c r="AV262" s="143">
        <f t="shared" si="102"/>
        <v>139</v>
      </c>
      <c r="AW262" s="143"/>
      <c r="AX262" s="143"/>
      <c r="AY262" s="143">
        <f t="shared" si="103"/>
        <v>139</v>
      </c>
      <c r="AZ262" s="143">
        <v>0</v>
      </c>
      <c r="BA262" s="144">
        <v>139</v>
      </c>
      <c r="BB262" s="144"/>
      <c r="BC262" s="143">
        <v>139</v>
      </c>
      <c r="BD262" s="143"/>
      <c r="BE262" s="143"/>
      <c r="BF262" s="143">
        <v>139</v>
      </c>
      <c r="BG262" s="143">
        <v>0</v>
      </c>
      <c r="BH262" s="148">
        <v>0</v>
      </c>
      <c r="BI262" s="143"/>
      <c r="BJ262" s="148">
        <v>139</v>
      </c>
      <c r="BK262" s="148"/>
      <c r="BL262" s="148"/>
      <c r="BM262" s="148"/>
      <c r="BN262" s="148"/>
      <c r="BO262" s="148"/>
      <c r="BP262" s="148"/>
      <c r="BQ262" s="148"/>
      <c r="BR262" s="148"/>
      <c r="BS262" s="148"/>
      <c r="BT262" s="148"/>
      <c r="BU262" s="148"/>
      <c r="BV262" s="148"/>
      <c r="BW262" s="148"/>
      <c r="BX262" s="231"/>
      <c r="BY262" s="424"/>
    </row>
    <row r="263" spans="1:77" ht="30.75" outlineLevel="1">
      <c r="A263" s="420">
        <v>19</v>
      </c>
      <c r="B263" s="421" t="s">
        <v>2975</v>
      </c>
      <c r="C263" s="420" t="s">
        <v>2969</v>
      </c>
      <c r="D263" s="420" t="s">
        <v>2922</v>
      </c>
      <c r="E263" s="422" t="s">
        <v>49</v>
      </c>
      <c r="F263" s="422" t="s">
        <v>48</v>
      </c>
      <c r="G263" s="150">
        <v>7799420</v>
      </c>
      <c r="H263" s="420" t="s">
        <v>2960</v>
      </c>
      <c r="I263" s="420" t="s">
        <v>891</v>
      </c>
      <c r="J263" s="420"/>
      <c r="K263" s="424"/>
      <c r="L263" s="420" t="s">
        <v>2976</v>
      </c>
      <c r="M263" s="149">
        <v>422.754167</v>
      </c>
      <c r="N263" s="424"/>
      <c r="O263" s="424"/>
      <c r="P263" s="149">
        <v>283</v>
      </c>
      <c r="Q263" s="420"/>
      <c r="R263" s="420" t="s">
        <v>2960</v>
      </c>
      <c r="S263" s="420" t="s">
        <v>2926</v>
      </c>
      <c r="T263" s="421" t="s">
        <v>2922</v>
      </c>
      <c r="U263" s="143">
        <f t="shared" si="114"/>
        <v>0</v>
      </c>
      <c r="V263" s="421"/>
      <c r="W263" s="421"/>
      <c r="X263" s="421"/>
      <c r="Y263" s="143">
        <f t="shared" si="98"/>
        <v>351</v>
      </c>
      <c r="Z263" s="143"/>
      <c r="AA263" s="143"/>
      <c r="AB263" s="143">
        <f t="shared" si="116"/>
        <v>351</v>
      </c>
      <c r="AC263" s="143">
        <v>0</v>
      </c>
      <c r="AD263" s="144">
        <v>351</v>
      </c>
      <c r="AE263" s="144"/>
      <c r="AF263" s="143">
        <f t="shared" si="100"/>
        <v>351</v>
      </c>
      <c r="AG263" s="143"/>
      <c r="AH263" s="143"/>
      <c r="AI263" s="143">
        <f t="shared" si="101"/>
        <v>351</v>
      </c>
      <c r="AJ263" s="143">
        <v>0</v>
      </c>
      <c r="AK263" s="144">
        <v>351</v>
      </c>
      <c r="AL263" s="144"/>
      <c r="AM263" s="143">
        <v>0</v>
      </c>
      <c r="AN263" s="143"/>
      <c r="AO263" s="143"/>
      <c r="AP263" s="143">
        <v>0</v>
      </c>
      <c r="AQ263" s="143">
        <v>0</v>
      </c>
      <c r="AR263" s="143"/>
      <c r="AS263" s="144"/>
      <c r="AT263" s="144">
        <v>0</v>
      </c>
      <c r="AU263" s="144"/>
      <c r="AV263" s="143">
        <f t="shared" si="102"/>
        <v>351</v>
      </c>
      <c r="AW263" s="143"/>
      <c r="AX263" s="143"/>
      <c r="AY263" s="143">
        <f t="shared" si="103"/>
        <v>351</v>
      </c>
      <c r="AZ263" s="143">
        <v>0</v>
      </c>
      <c r="BA263" s="144">
        <v>351</v>
      </c>
      <c r="BB263" s="144"/>
      <c r="BC263" s="143">
        <v>351</v>
      </c>
      <c r="BD263" s="143"/>
      <c r="BE263" s="143"/>
      <c r="BF263" s="143">
        <v>351</v>
      </c>
      <c r="BG263" s="143">
        <v>0</v>
      </c>
      <c r="BH263" s="148">
        <v>0</v>
      </c>
      <c r="BI263" s="143"/>
      <c r="BJ263" s="148">
        <v>351</v>
      </c>
      <c r="BK263" s="148"/>
      <c r="BL263" s="148"/>
      <c r="BM263" s="148"/>
      <c r="BN263" s="148"/>
      <c r="BO263" s="148"/>
      <c r="BP263" s="148"/>
      <c r="BQ263" s="148"/>
      <c r="BR263" s="148"/>
      <c r="BS263" s="148"/>
      <c r="BT263" s="148"/>
      <c r="BU263" s="148"/>
      <c r="BV263" s="148"/>
      <c r="BW263" s="148"/>
      <c r="BX263" s="231"/>
      <c r="BY263" s="424"/>
    </row>
    <row r="264" spans="1:77" ht="30.75" outlineLevel="1">
      <c r="A264" s="420">
        <v>20</v>
      </c>
      <c r="B264" s="442" t="s">
        <v>2977</v>
      </c>
      <c r="C264" s="428" t="s">
        <v>2350</v>
      </c>
      <c r="D264" s="420" t="s">
        <v>2922</v>
      </c>
      <c r="E264" s="422" t="s">
        <v>49</v>
      </c>
      <c r="F264" s="420" t="s">
        <v>2560</v>
      </c>
      <c r="G264" s="150">
        <v>7896615</v>
      </c>
      <c r="H264" s="437" t="s">
        <v>2978</v>
      </c>
      <c r="I264" s="420" t="s">
        <v>73</v>
      </c>
      <c r="J264" s="422">
        <v>2021</v>
      </c>
      <c r="K264" s="424"/>
      <c r="L264" s="420" t="s">
        <v>2979</v>
      </c>
      <c r="M264" s="150">
        <v>6973</v>
      </c>
      <c r="N264" s="424"/>
      <c r="O264" s="424"/>
      <c r="P264" s="150">
        <v>6973</v>
      </c>
      <c r="Q264" s="420" t="s">
        <v>2980</v>
      </c>
      <c r="R264" s="437" t="s">
        <v>2978</v>
      </c>
      <c r="S264" s="420" t="s">
        <v>2926</v>
      </c>
      <c r="T264" s="421" t="s">
        <v>2922</v>
      </c>
      <c r="U264" s="143">
        <f t="shared" si="114"/>
        <v>0</v>
      </c>
      <c r="V264" s="421"/>
      <c r="W264" s="421"/>
      <c r="X264" s="421"/>
      <c r="Y264" s="143">
        <f t="shared" si="98"/>
        <v>5733</v>
      </c>
      <c r="Z264" s="143"/>
      <c r="AA264" s="143"/>
      <c r="AB264" s="143">
        <f t="shared" si="116"/>
        <v>5733</v>
      </c>
      <c r="AC264" s="143">
        <v>0</v>
      </c>
      <c r="AD264" s="144">
        <v>5733</v>
      </c>
      <c r="AE264" s="144"/>
      <c r="AF264" s="143">
        <f t="shared" si="100"/>
        <v>5732.8970000000008</v>
      </c>
      <c r="AG264" s="143"/>
      <c r="AH264" s="143"/>
      <c r="AI264" s="143">
        <f t="shared" si="101"/>
        <v>5732.8970000000008</v>
      </c>
      <c r="AJ264" s="143">
        <v>0</v>
      </c>
      <c r="AK264" s="144">
        <v>5732.8970000000008</v>
      </c>
      <c r="AL264" s="144"/>
      <c r="AM264" s="143">
        <v>5732.8969999999999</v>
      </c>
      <c r="AN264" s="143"/>
      <c r="AO264" s="143"/>
      <c r="AP264" s="143">
        <v>5732.8969999999999</v>
      </c>
      <c r="AQ264" s="143">
        <v>0</v>
      </c>
      <c r="AR264" s="143"/>
      <c r="AS264" s="144"/>
      <c r="AT264" s="144">
        <v>5732.8969999999999</v>
      </c>
      <c r="AU264" s="144"/>
      <c r="AV264" s="143">
        <f t="shared" si="102"/>
        <v>0</v>
      </c>
      <c r="AW264" s="143"/>
      <c r="AX264" s="143"/>
      <c r="AY264" s="143">
        <f t="shared" si="103"/>
        <v>0</v>
      </c>
      <c r="AZ264" s="143">
        <v>0</v>
      </c>
      <c r="BA264" s="144">
        <v>0</v>
      </c>
      <c r="BB264" s="144"/>
      <c r="BC264" s="143">
        <v>0</v>
      </c>
      <c r="BD264" s="143"/>
      <c r="BE264" s="143"/>
      <c r="BF264" s="143">
        <v>0</v>
      </c>
      <c r="BG264" s="143">
        <v>0</v>
      </c>
      <c r="BH264" s="148">
        <v>0</v>
      </c>
      <c r="BI264" s="143"/>
      <c r="BJ264" s="148"/>
      <c r="BK264" s="148"/>
      <c r="BL264" s="148">
        <v>0</v>
      </c>
      <c r="BM264" s="148"/>
      <c r="BN264" s="148"/>
      <c r="BO264" s="148"/>
      <c r="BP264" s="148">
        <v>0</v>
      </c>
      <c r="BQ264" s="148"/>
      <c r="BR264" s="148"/>
      <c r="BS264" s="148"/>
      <c r="BT264" s="148"/>
      <c r="BU264" s="148"/>
      <c r="BV264" s="148"/>
      <c r="BW264" s="148"/>
      <c r="BX264" s="231"/>
      <c r="BY264" s="424"/>
    </row>
    <row r="265" spans="1:77" ht="46.15" outlineLevel="1">
      <c r="A265" s="420">
        <v>21</v>
      </c>
      <c r="B265" s="421" t="s">
        <v>2981</v>
      </c>
      <c r="C265" s="428" t="s">
        <v>2934</v>
      </c>
      <c r="D265" s="420" t="s">
        <v>2922</v>
      </c>
      <c r="E265" s="422" t="s">
        <v>49</v>
      </c>
      <c r="F265" s="422" t="s">
        <v>125</v>
      </c>
      <c r="G265" s="150">
        <v>7963059</v>
      </c>
      <c r="H265" s="437" t="s">
        <v>2923</v>
      </c>
      <c r="I265" s="420" t="s">
        <v>906</v>
      </c>
      <c r="J265" s="420"/>
      <c r="K265" s="424"/>
      <c r="L265" s="420" t="s">
        <v>2982</v>
      </c>
      <c r="M265" s="146">
        <v>435</v>
      </c>
      <c r="N265" s="424"/>
      <c r="O265" s="424"/>
      <c r="P265" s="424"/>
      <c r="Q265" s="420"/>
      <c r="R265" s="437" t="s">
        <v>2923</v>
      </c>
      <c r="S265" s="420" t="s">
        <v>2926</v>
      </c>
      <c r="T265" s="421" t="s">
        <v>2922</v>
      </c>
      <c r="U265" s="143">
        <f t="shared" si="114"/>
        <v>0</v>
      </c>
      <c r="V265" s="421"/>
      <c r="W265" s="421"/>
      <c r="X265" s="421"/>
      <c r="Y265" s="143">
        <f t="shared" si="98"/>
        <v>400</v>
      </c>
      <c r="Z265" s="143"/>
      <c r="AA265" s="143"/>
      <c r="AB265" s="143">
        <f t="shared" si="116"/>
        <v>400</v>
      </c>
      <c r="AC265" s="143">
        <v>0</v>
      </c>
      <c r="AD265" s="144"/>
      <c r="AE265" s="144">
        <v>400</v>
      </c>
      <c r="AF265" s="143">
        <f t="shared" si="100"/>
        <v>400</v>
      </c>
      <c r="AG265" s="143"/>
      <c r="AH265" s="143"/>
      <c r="AI265" s="143">
        <f t="shared" si="101"/>
        <v>400</v>
      </c>
      <c r="AJ265" s="143">
        <v>0</v>
      </c>
      <c r="AK265" s="144"/>
      <c r="AL265" s="144">
        <v>400</v>
      </c>
      <c r="AM265" s="143">
        <v>400</v>
      </c>
      <c r="AN265" s="143"/>
      <c r="AO265" s="143"/>
      <c r="AP265" s="143">
        <v>400</v>
      </c>
      <c r="AQ265" s="143">
        <v>0</v>
      </c>
      <c r="AR265" s="144"/>
      <c r="AS265" s="144"/>
      <c r="AT265" s="144"/>
      <c r="AU265" s="144">
        <v>400</v>
      </c>
      <c r="AV265" s="143">
        <f t="shared" si="102"/>
        <v>0</v>
      </c>
      <c r="AW265" s="143"/>
      <c r="AX265" s="143"/>
      <c r="AY265" s="143">
        <f t="shared" si="103"/>
        <v>0</v>
      </c>
      <c r="AZ265" s="143">
        <v>0</v>
      </c>
      <c r="BA265" s="144"/>
      <c r="BB265" s="144"/>
      <c r="BC265" s="143">
        <v>0</v>
      </c>
      <c r="BD265" s="143"/>
      <c r="BE265" s="143"/>
      <c r="BF265" s="143">
        <v>0</v>
      </c>
      <c r="BG265" s="143">
        <v>0</v>
      </c>
      <c r="BH265" s="148">
        <v>0</v>
      </c>
      <c r="BI265" s="143"/>
      <c r="BJ265" s="148"/>
      <c r="BK265" s="153"/>
      <c r="BL265" s="153"/>
      <c r="BM265" s="153"/>
      <c r="BN265" s="153"/>
      <c r="BO265" s="153"/>
      <c r="BP265" s="153"/>
      <c r="BQ265" s="153"/>
      <c r="BR265" s="153"/>
      <c r="BS265" s="153"/>
      <c r="BT265" s="153"/>
      <c r="BU265" s="153"/>
      <c r="BV265" s="153"/>
      <c r="BW265" s="153"/>
      <c r="BX265" s="232"/>
      <c r="BY265" s="426"/>
    </row>
    <row r="266" spans="1:77" ht="30.75" outlineLevel="1">
      <c r="A266" s="420">
        <v>22</v>
      </c>
      <c r="B266" s="435" t="s">
        <v>2983</v>
      </c>
      <c r="C266" s="428" t="s">
        <v>2350</v>
      </c>
      <c r="D266" s="420" t="s">
        <v>2922</v>
      </c>
      <c r="E266" s="422" t="s">
        <v>49</v>
      </c>
      <c r="F266" s="422" t="s">
        <v>55</v>
      </c>
      <c r="G266" s="464">
        <v>7920775</v>
      </c>
      <c r="H266" s="420" t="s">
        <v>2926</v>
      </c>
      <c r="I266" s="420">
        <v>2022</v>
      </c>
      <c r="J266" s="422">
        <v>2022</v>
      </c>
      <c r="K266" s="424"/>
      <c r="L266" s="420" t="s">
        <v>2984</v>
      </c>
      <c r="M266" s="146">
        <v>3600</v>
      </c>
      <c r="N266" s="424"/>
      <c r="O266" s="146">
        <v>3600</v>
      </c>
      <c r="P266" s="424"/>
      <c r="Q266" s="420" t="s">
        <v>2985</v>
      </c>
      <c r="R266" s="420" t="s">
        <v>2926</v>
      </c>
      <c r="S266" s="420" t="s">
        <v>2926</v>
      </c>
      <c r="T266" s="421" t="s">
        <v>2922</v>
      </c>
      <c r="U266" s="143">
        <f t="shared" si="114"/>
        <v>0</v>
      </c>
      <c r="V266" s="421"/>
      <c r="W266" s="421"/>
      <c r="X266" s="421"/>
      <c r="Y266" s="143">
        <f t="shared" si="98"/>
        <v>3320</v>
      </c>
      <c r="Z266" s="144"/>
      <c r="AA266" s="145"/>
      <c r="AB266" s="143">
        <f t="shared" si="116"/>
        <v>3320</v>
      </c>
      <c r="AC266" s="143">
        <v>3320</v>
      </c>
      <c r="AD266" s="144"/>
      <c r="AE266" s="144"/>
      <c r="AF266" s="143">
        <f t="shared" si="100"/>
        <v>3300</v>
      </c>
      <c r="AG266" s="144"/>
      <c r="AH266" s="145"/>
      <c r="AI266" s="143">
        <f t="shared" si="101"/>
        <v>3300</v>
      </c>
      <c r="AJ266" s="143">
        <v>3300</v>
      </c>
      <c r="AK266" s="144"/>
      <c r="AL266" s="144"/>
      <c r="AM266" s="143">
        <v>3261.6590000000001</v>
      </c>
      <c r="AN266" s="144"/>
      <c r="AO266" s="144"/>
      <c r="AP266" s="143">
        <v>3261.6590000000001</v>
      </c>
      <c r="AQ266" s="143">
        <v>3261.6590000000001</v>
      </c>
      <c r="AR266" s="144"/>
      <c r="AS266" s="144">
        <v>3261.6590000000001</v>
      </c>
      <c r="AT266" s="144"/>
      <c r="AU266" s="144"/>
      <c r="AV266" s="143">
        <f t="shared" si="102"/>
        <v>0</v>
      </c>
      <c r="AW266" s="144"/>
      <c r="AX266" s="144"/>
      <c r="AY266" s="143">
        <f t="shared" si="103"/>
        <v>0</v>
      </c>
      <c r="AZ266" s="143">
        <v>0</v>
      </c>
      <c r="BA266" s="144"/>
      <c r="BB266" s="144"/>
      <c r="BC266" s="143">
        <v>0</v>
      </c>
      <c r="BD266" s="144"/>
      <c r="BE266" s="144"/>
      <c r="BF266" s="148"/>
      <c r="BG266" s="143">
        <v>0</v>
      </c>
      <c r="BH266" s="148">
        <v>0</v>
      </c>
      <c r="BI266" s="143"/>
      <c r="BJ266" s="148"/>
      <c r="BK266" s="153"/>
      <c r="BL266" s="153">
        <v>0</v>
      </c>
      <c r="BM266" s="153"/>
      <c r="BN266" s="153"/>
      <c r="BO266" s="153"/>
      <c r="BP266" s="153">
        <v>0</v>
      </c>
      <c r="BQ266" s="153"/>
      <c r="BR266" s="153"/>
      <c r="BS266" s="153"/>
      <c r="BT266" s="153"/>
      <c r="BU266" s="153"/>
      <c r="BV266" s="153"/>
      <c r="BW266" s="153"/>
      <c r="BX266" s="232"/>
      <c r="BY266" s="155"/>
    </row>
    <row r="267" spans="1:77" ht="30.75" outlineLevel="1">
      <c r="A267" s="420">
        <v>23</v>
      </c>
      <c r="B267" s="421" t="s">
        <v>2986</v>
      </c>
      <c r="C267" s="421" t="s">
        <v>2793</v>
      </c>
      <c r="D267" s="420" t="s">
        <v>2922</v>
      </c>
      <c r="E267" s="422" t="s">
        <v>49</v>
      </c>
      <c r="F267" s="431" t="s">
        <v>48</v>
      </c>
      <c r="G267" s="149">
        <v>7969983</v>
      </c>
      <c r="H267" s="423" t="s">
        <v>2987</v>
      </c>
      <c r="I267" s="420" t="s">
        <v>906</v>
      </c>
      <c r="J267" s="420"/>
      <c r="K267" s="424"/>
      <c r="L267" s="420" t="s">
        <v>2803</v>
      </c>
      <c r="M267" s="149">
        <v>2300</v>
      </c>
      <c r="N267" s="424"/>
      <c r="O267" s="149">
        <v>2300</v>
      </c>
      <c r="P267" s="424"/>
      <c r="Q267" s="420"/>
      <c r="R267" s="423" t="s">
        <v>2987</v>
      </c>
      <c r="S267" s="438" t="s">
        <v>2926</v>
      </c>
      <c r="T267" s="421" t="s">
        <v>2922</v>
      </c>
      <c r="U267" s="143">
        <f t="shared" si="114"/>
        <v>0</v>
      </c>
      <c r="V267" s="421"/>
      <c r="W267" s="421"/>
      <c r="X267" s="421"/>
      <c r="Y267" s="143">
        <f t="shared" si="98"/>
        <v>2300</v>
      </c>
      <c r="Z267" s="144"/>
      <c r="AA267" s="144"/>
      <c r="AB267" s="143">
        <f t="shared" si="116"/>
        <v>2300</v>
      </c>
      <c r="AC267" s="143">
        <v>0</v>
      </c>
      <c r="AD267" s="144"/>
      <c r="AE267" s="144">
        <v>2300</v>
      </c>
      <c r="AF267" s="143">
        <f t="shared" si="100"/>
        <v>2300</v>
      </c>
      <c r="AG267" s="144"/>
      <c r="AH267" s="145"/>
      <c r="AI267" s="143">
        <f t="shared" si="101"/>
        <v>2300</v>
      </c>
      <c r="AJ267" s="143">
        <v>0</v>
      </c>
      <c r="AK267" s="144"/>
      <c r="AL267" s="145">
        <v>2300</v>
      </c>
      <c r="AM267" s="143">
        <v>2239.0707000000002</v>
      </c>
      <c r="AN267" s="144"/>
      <c r="AO267" s="144">
        <v>2239.0707000000002</v>
      </c>
      <c r="AP267" s="143">
        <v>0</v>
      </c>
      <c r="AQ267" s="143">
        <v>0</v>
      </c>
      <c r="AR267" s="144"/>
      <c r="AS267" s="144"/>
      <c r="AT267" s="144"/>
      <c r="AU267" s="144"/>
      <c r="AV267" s="143">
        <f t="shared" si="102"/>
        <v>0</v>
      </c>
      <c r="AW267" s="144"/>
      <c r="AX267" s="144"/>
      <c r="AY267" s="143">
        <f t="shared" si="103"/>
        <v>0</v>
      </c>
      <c r="AZ267" s="143">
        <v>0</v>
      </c>
      <c r="BA267" s="144"/>
      <c r="BB267" s="144"/>
      <c r="BC267" s="143">
        <v>0</v>
      </c>
      <c r="BD267" s="144"/>
      <c r="BE267" s="144"/>
      <c r="BF267" s="148"/>
      <c r="BG267" s="143">
        <v>0</v>
      </c>
      <c r="BH267" s="148">
        <v>0</v>
      </c>
      <c r="BI267" s="143"/>
      <c r="BJ267" s="148"/>
      <c r="BK267" s="153"/>
      <c r="BL267" s="153">
        <v>0</v>
      </c>
      <c r="BM267" s="153"/>
      <c r="BN267" s="153"/>
      <c r="BO267" s="153"/>
      <c r="BP267" s="153">
        <v>0</v>
      </c>
      <c r="BQ267" s="153"/>
      <c r="BR267" s="153"/>
      <c r="BS267" s="153"/>
      <c r="BT267" s="153"/>
      <c r="BU267" s="153"/>
      <c r="BV267" s="153"/>
      <c r="BW267" s="153"/>
      <c r="BX267" s="232"/>
      <c r="BY267" s="421"/>
    </row>
    <row r="268" spans="1:77" s="457" customFormat="1" ht="43.5" customHeight="1" outlineLevel="1">
      <c r="A268" s="430" t="s">
        <v>45</v>
      </c>
      <c r="B268" s="456" t="s">
        <v>2513</v>
      </c>
      <c r="C268" s="418"/>
      <c r="D268" s="418"/>
      <c r="E268" s="418"/>
      <c r="F268" s="418"/>
      <c r="G268" s="418"/>
      <c r="H268" s="419">
        <f>SUM(H295:H297)</f>
        <v>0</v>
      </c>
      <c r="I268" s="418"/>
      <c r="J268" s="419"/>
      <c r="K268" s="419"/>
      <c r="L268" s="419"/>
      <c r="M268" s="419">
        <f>SUM(M269:M271)</f>
        <v>25689</v>
      </c>
      <c r="N268" s="419">
        <f t="shared" ref="N268:BY268" si="117">SUM(N269:N271)</f>
        <v>0</v>
      </c>
      <c r="O268" s="419">
        <f t="shared" si="117"/>
        <v>0</v>
      </c>
      <c r="P268" s="419">
        <f t="shared" si="117"/>
        <v>25179</v>
      </c>
      <c r="Q268" s="419">
        <f t="shared" si="117"/>
        <v>0</v>
      </c>
      <c r="R268" s="419">
        <f t="shared" si="117"/>
        <v>0</v>
      </c>
      <c r="S268" s="419">
        <f t="shared" si="117"/>
        <v>0</v>
      </c>
      <c r="T268" s="419">
        <f t="shared" si="117"/>
        <v>0</v>
      </c>
      <c r="U268" s="419">
        <f t="shared" si="117"/>
        <v>0</v>
      </c>
      <c r="V268" s="419">
        <f t="shared" si="117"/>
        <v>0</v>
      </c>
      <c r="W268" s="419">
        <f t="shared" si="117"/>
        <v>0</v>
      </c>
      <c r="X268" s="419">
        <f t="shared" si="117"/>
        <v>0</v>
      </c>
      <c r="Y268" s="419">
        <f t="shared" si="117"/>
        <v>10746</v>
      </c>
      <c r="Z268" s="419">
        <f t="shared" si="117"/>
        <v>0</v>
      </c>
      <c r="AA268" s="419">
        <f t="shared" si="117"/>
        <v>0</v>
      </c>
      <c r="AB268" s="419">
        <f t="shared" si="117"/>
        <v>10746</v>
      </c>
      <c r="AC268" s="419">
        <f t="shared" si="117"/>
        <v>0</v>
      </c>
      <c r="AD268" s="419">
        <f t="shared" si="117"/>
        <v>10746</v>
      </c>
      <c r="AE268" s="419">
        <f t="shared" si="117"/>
        <v>0</v>
      </c>
      <c r="AF268" s="419">
        <f t="shared" si="117"/>
        <v>0</v>
      </c>
      <c r="AG268" s="419">
        <f t="shared" si="117"/>
        <v>0</v>
      </c>
      <c r="AH268" s="419">
        <f t="shared" si="117"/>
        <v>0</v>
      </c>
      <c r="AI268" s="419">
        <f t="shared" si="117"/>
        <v>0</v>
      </c>
      <c r="AJ268" s="419">
        <f t="shared" si="117"/>
        <v>0</v>
      </c>
      <c r="AK268" s="419">
        <f t="shared" si="117"/>
        <v>0</v>
      </c>
      <c r="AL268" s="419">
        <f t="shared" si="117"/>
        <v>0</v>
      </c>
      <c r="AM268" s="419">
        <f t="shared" si="117"/>
        <v>0</v>
      </c>
      <c r="AN268" s="419">
        <f t="shared" si="117"/>
        <v>0</v>
      </c>
      <c r="AO268" s="419">
        <f t="shared" si="117"/>
        <v>0</v>
      </c>
      <c r="AP268" s="419">
        <f t="shared" si="117"/>
        <v>0</v>
      </c>
      <c r="AQ268" s="419">
        <f t="shared" si="117"/>
        <v>0</v>
      </c>
      <c r="AR268" s="419">
        <f t="shared" si="117"/>
        <v>0</v>
      </c>
      <c r="AS268" s="419">
        <f t="shared" si="117"/>
        <v>0</v>
      </c>
      <c r="AT268" s="419">
        <f t="shared" si="117"/>
        <v>0</v>
      </c>
      <c r="AU268" s="419">
        <f t="shared" si="117"/>
        <v>0</v>
      </c>
      <c r="AV268" s="419">
        <f t="shared" si="117"/>
        <v>0</v>
      </c>
      <c r="AW268" s="419">
        <f t="shared" si="117"/>
        <v>0</v>
      </c>
      <c r="AX268" s="419">
        <f t="shared" si="117"/>
        <v>0</v>
      </c>
      <c r="AY268" s="419">
        <f t="shared" si="117"/>
        <v>0</v>
      </c>
      <c r="AZ268" s="419">
        <f t="shared" si="117"/>
        <v>0</v>
      </c>
      <c r="BA268" s="419">
        <f t="shared" si="117"/>
        <v>0</v>
      </c>
      <c r="BB268" s="419">
        <f t="shared" si="117"/>
        <v>0</v>
      </c>
      <c r="BC268" s="419">
        <f t="shared" si="117"/>
        <v>0</v>
      </c>
      <c r="BD268" s="419">
        <f t="shared" si="117"/>
        <v>0</v>
      </c>
      <c r="BE268" s="419">
        <f t="shared" si="117"/>
        <v>0</v>
      </c>
      <c r="BF268" s="419">
        <f t="shared" si="117"/>
        <v>0</v>
      </c>
      <c r="BG268" s="419">
        <f t="shared" si="117"/>
        <v>0</v>
      </c>
      <c r="BH268" s="419">
        <f t="shared" si="117"/>
        <v>0</v>
      </c>
      <c r="BI268" s="419">
        <f t="shared" si="117"/>
        <v>0</v>
      </c>
      <c r="BJ268" s="419">
        <f t="shared" si="117"/>
        <v>0</v>
      </c>
      <c r="BK268" s="419">
        <f t="shared" si="117"/>
        <v>0</v>
      </c>
      <c r="BL268" s="419">
        <f t="shared" si="117"/>
        <v>0</v>
      </c>
      <c r="BM268" s="419">
        <f t="shared" si="117"/>
        <v>0</v>
      </c>
      <c r="BN268" s="419">
        <f t="shared" si="117"/>
        <v>0</v>
      </c>
      <c r="BO268" s="419">
        <f t="shared" si="117"/>
        <v>0</v>
      </c>
      <c r="BP268" s="419">
        <f t="shared" si="117"/>
        <v>0</v>
      </c>
      <c r="BQ268" s="419">
        <f t="shared" si="117"/>
        <v>0</v>
      </c>
      <c r="BR268" s="419">
        <f t="shared" si="117"/>
        <v>0</v>
      </c>
      <c r="BS268" s="419">
        <f t="shared" si="117"/>
        <v>0</v>
      </c>
      <c r="BT268" s="419">
        <f t="shared" si="117"/>
        <v>0</v>
      </c>
      <c r="BU268" s="419">
        <f t="shared" si="117"/>
        <v>0</v>
      </c>
      <c r="BV268" s="419">
        <f t="shared" si="117"/>
        <v>0</v>
      </c>
      <c r="BW268" s="419">
        <f t="shared" si="117"/>
        <v>0</v>
      </c>
      <c r="BX268" s="454"/>
      <c r="BY268" s="419">
        <f t="shared" si="117"/>
        <v>0</v>
      </c>
    </row>
    <row r="269" spans="1:77" ht="46.15" outlineLevel="1">
      <c r="A269" s="420">
        <v>1</v>
      </c>
      <c r="B269" s="421" t="s">
        <v>2988</v>
      </c>
      <c r="C269" s="428" t="s">
        <v>2922</v>
      </c>
      <c r="D269" s="428" t="s">
        <v>2922</v>
      </c>
      <c r="E269" s="422" t="s">
        <v>49</v>
      </c>
      <c r="F269" s="422" t="s">
        <v>125</v>
      </c>
      <c r="G269" s="142"/>
      <c r="H269" s="437" t="s">
        <v>2960</v>
      </c>
      <c r="I269" s="420" t="s">
        <v>2706</v>
      </c>
      <c r="J269" s="420"/>
      <c r="K269" s="424"/>
      <c r="L269" s="436" t="s">
        <v>2989</v>
      </c>
      <c r="M269" s="146">
        <v>5220</v>
      </c>
      <c r="N269" s="424"/>
      <c r="O269" s="424"/>
      <c r="P269" s="146">
        <v>4710</v>
      </c>
      <c r="Q269" s="420"/>
      <c r="R269" s="437" t="s">
        <v>2960</v>
      </c>
      <c r="S269" s="420" t="s">
        <v>2926</v>
      </c>
      <c r="T269" s="421" t="s">
        <v>2922</v>
      </c>
      <c r="U269" s="421">
        <f>V269+W269+X269</f>
        <v>0</v>
      </c>
      <c r="V269" s="421"/>
      <c r="W269" s="421"/>
      <c r="X269" s="421"/>
      <c r="Y269" s="143">
        <f>SUM(Z269:AB269)</f>
        <v>5021</v>
      </c>
      <c r="Z269" s="143"/>
      <c r="AA269" s="143"/>
      <c r="AB269" s="143">
        <f>AC269+AD269+AE269</f>
        <v>5021</v>
      </c>
      <c r="AC269" s="143">
        <v>0</v>
      </c>
      <c r="AD269" s="144">
        <v>5021</v>
      </c>
      <c r="AE269" s="144"/>
      <c r="AF269" s="143">
        <f>SUM(AG269:AI269)</f>
        <v>0</v>
      </c>
      <c r="AG269" s="143"/>
      <c r="AH269" s="143"/>
      <c r="AI269" s="143">
        <f>SUM(AJ269:AL269)</f>
        <v>0</v>
      </c>
      <c r="AJ269" s="143">
        <v>0</v>
      </c>
      <c r="AK269" s="144">
        <v>0</v>
      </c>
      <c r="AL269" s="144"/>
      <c r="AM269" s="143">
        <v>0</v>
      </c>
      <c r="AN269" s="143"/>
      <c r="AO269" s="143"/>
      <c r="AP269" s="143">
        <v>0</v>
      </c>
      <c r="AQ269" s="143">
        <v>0</v>
      </c>
      <c r="AR269" s="143"/>
      <c r="AS269" s="144"/>
      <c r="AT269" s="144">
        <v>0</v>
      </c>
      <c r="AU269" s="144"/>
      <c r="AV269" s="143">
        <f>SUM(AW269:AY269)</f>
        <v>0</v>
      </c>
      <c r="AW269" s="143"/>
      <c r="AX269" s="143"/>
      <c r="AY269" s="143">
        <f>SUM(AZ269:BB269)</f>
        <v>0</v>
      </c>
      <c r="AZ269" s="143">
        <v>0</v>
      </c>
      <c r="BA269" s="144">
        <v>0</v>
      </c>
      <c r="BB269" s="144"/>
      <c r="BC269" s="143">
        <v>0</v>
      </c>
      <c r="BD269" s="143"/>
      <c r="BE269" s="143"/>
      <c r="BF269" s="143">
        <v>0</v>
      </c>
      <c r="BG269" s="143">
        <v>0</v>
      </c>
      <c r="BH269" s="148">
        <v>0</v>
      </c>
      <c r="BI269" s="148"/>
      <c r="BJ269" s="148"/>
      <c r="BK269" s="148"/>
      <c r="BL269" s="148"/>
      <c r="BM269" s="148"/>
      <c r="BN269" s="148"/>
      <c r="BO269" s="148"/>
      <c r="BP269" s="148"/>
      <c r="BQ269" s="148"/>
      <c r="BR269" s="148"/>
      <c r="BS269" s="148"/>
      <c r="BT269" s="148"/>
      <c r="BU269" s="148"/>
      <c r="BV269" s="148"/>
      <c r="BW269" s="148"/>
      <c r="BX269" s="231"/>
      <c r="BY269" s="420"/>
    </row>
    <row r="270" spans="1:77" ht="46.15" outlineLevel="1">
      <c r="A270" s="420">
        <v>2</v>
      </c>
      <c r="B270" s="421" t="s">
        <v>2990</v>
      </c>
      <c r="C270" s="428" t="s">
        <v>2350</v>
      </c>
      <c r="D270" s="428" t="s">
        <v>2922</v>
      </c>
      <c r="E270" s="422" t="s">
        <v>49</v>
      </c>
      <c r="F270" s="422" t="s">
        <v>2850</v>
      </c>
      <c r="G270" s="142"/>
      <c r="H270" s="437" t="s">
        <v>2926</v>
      </c>
      <c r="I270" s="420" t="s">
        <v>2502</v>
      </c>
      <c r="J270" s="420" t="s">
        <v>2503</v>
      </c>
      <c r="K270" s="424"/>
      <c r="L270" s="436" t="s">
        <v>2991</v>
      </c>
      <c r="M270" s="146">
        <v>14969</v>
      </c>
      <c r="N270" s="424"/>
      <c r="O270" s="424"/>
      <c r="P270" s="146">
        <v>14969</v>
      </c>
      <c r="Q270" s="420"/>
      <c r="R270" s="437" t="s">
        <v>2926</v>
      </c>
      <c r="S270" s="420" t="s">
        <v>2926</v>
      </c>
      <c r="T270" s="421" t="s">
        <v>2922</v>
      </c>
      <c r="U270" s="421">
        <f>V270+W270+X270</f>
        <v>0</v>
      </c>
      <c r="V270" s="421"/>
      <c r="W270" s="421"/>
      <c r="X270" s="421"/>
      <c r="Y270" s="143">
        <f>SUM(Z270:AB270)</f>
        <v>500</v>
      </c>
      <c r="Z270" s="143"/>
      <c r="AA270" s="143"/>
      <c r="AB270" s="143">
        <f>AC270+AD270+AE270</f>
        <v>500</v>
      </c>
      <c r="AC270" s="143">
        <v>0</v>
      </c>
      <c r="AD270" s="144">
        <v>500</v>
      </c>
      <c r="AE270" s="144"/>
      <c r="AF270" s="143">
        <f>SUM(AG270:AI270)</f>
        <v>0</v>
      </c>
      <c r="AG270" s="143"/>
      <c r="AH270" s="143"/>
      <c r="AI270" s="143">
        <f>SUM(AJ270:AL270)</f>
        <v>0</v>
      </c>
      <c r="AJ270" s="143">
        <v>0</v>
      </c>
      <c r="AK270" s="144">
        <v>0</v>
      </c>
      <c r="AL270" s="144"/>
      <c r="AM270" s="143">
        <v>0</v>
      </c>
      <c r="AN270" s="143"/>
      <c r="AO270" s="143"/>
      <c r="AP270" s="143">
        <v>0</v>
      </c>
      <c r="AQ270" s="143">
        <v>0</v>
      </c>
      <c r="AR270" s="143"/>
      <c r="AS270" s="144"/>
      <c r="AT270" s="144">
        <v>0</v>
      </c>
      <c r="AU270" s="144"/>
      <c r="AV270" s="143">
        <f>SUM(AW270:AY270)</f>
        <v>0</v>
      </c>
      <c r="AW270" s="143"/>
      <c r="AX270" s="143"/>
      <c r="AY270" s="143">
        <f>SUM(AZ270:BB270)</f>
        <v>0</v>
      </c>
      <c r="AZ270" s="143">
        <v>0</v>
      </c>
      <c r="BA270" s="144">
        <v>0</v>
      </c>
      <c r="BB270" s="144"/>
      <c r="BC270" s="143">
        <v>0</v>
      </c>
      <c r="BD270" s="143"/>
      <c r="BE270" s="143"/>
      <c r="BF270" s="143">
        <v>0</v>
      </c>
      <c r="BG270" s="143">
        <v>0</v>
      </c>
      <c r="BH270" s="148"/>
      <c r="BI270" s="148"/>
      <c r="BJ270" s="148"/>
      <c r="BK270" s="148"/>
      <c r="BL270" s="148">
        <v>0</v>
      </c>
      <c r="BM270" s="148"/>
      <c r="BN270" s="148"/>
      <c r="BO270" s="148"/>
      <c r="BP270" s="148">
        <v>0</v>
      </c>
      <c r="BQ270" s="148"/>
      <c r="BR270" s="148"/>
      <c r="BS270" s="148"/>
      <c r="BT270" s="148"/>
      <c r="BU270" s="148"/>
      <c r="BV270" s="148"/>
      <c r="BW270" s="148"/>
      <c r="BX270" s="231"/>
      <c r="BY270" s="420"/>
    </row>
    <row r="271" spans="1:77" ht="39.75" customHeight="1" outlineLevel="1">
      <c r="A271" s="420">
        <v>3</v>
      </c>
      <c r="B271" s="421" t="s">
        <v>2992</v>
      </c>
      <c r="C271" s="428" t="s">
        <v>2993</v>
      </c>
      <c r="D271" s="428" t="s">
        <v>2922</v>
      </c>
      <c r="E271" s="422" t="s">
        <v>49</v>
      </c>
      <c r="F271" s="422" t="s">
        <v>125</v>
      </c>
      <c r="G271" s="142"/>
      <c r="H271" s="437" t="s">
        <v>2978</v>
      </c>
      <c r="I271" s="420" t="s">
        <v>2706</v>
      </c>
      <c r="J271" s="420"/>
      <c r="K271" s="424"/>
      <c r="L271" s="436" t="s">
        <v>2994</v>
      </c>
      <c r="M271" s="146">
        <v>5500</v>
      </c>
      <c r="N271" s="424"/>
      <c r="O271" s="424"/>
      <c r="P271" s="146">
        <v>5500</v>
      </c>
      <c r="Q271" s="420"/>
      <c r="R271" s="437" t="s">
        <v>2978</v>
      </c>
      <c r="S271" s="420" t="s">
        <v>2926</v>
      </c>
      <c r="T271" s="421" t="s">
        <v>2922</v>
      </c>
      <c r="U271" s="421">
        <f>V271+W271+X271</f>
        <v>0</v>
      </c>
      <c r="V271" s="421"/>
      <c r="W271" s="421"/>
      <c r="X271" s="421"/>
      <c r="Y271" s="143">
        <f>SUM(Z271:AB271)</f>
        <v>5225</v>
      </c>
      <c r="Z271" s="143"/>
      <c r="AA271" s="143"/>
      <c r="AB271" s="143">
        <f>AC271+AD271+AE271</f>
        <v>5225</v>
      </c>
      <c r="AC271" s="143">
        <v>0</v>
      </c>
      <c r="AD271" s="144">
        <v>5225</v>
      </c>
      <c r="AE271" s="144"/>
      <c r="AF271" s="143">
        <f>SUM(AG271:AI271)</f>
        <v>0</v>
      </c>
      <c r="AG271" s="143"/>
      <c r="AH271" s="143"/>
      <c r="AI271" s="143">
        <f>SUM(AJ271:AL271)</f>
        <v>0</v>
      </c>
      <c r="AJ271" s="143">
        <v>0</v>
      </c>
      <c r="AK271" s="144">
        <v>0</v>
      </c>
      <c r="AL271" s="144"/>
      <c r="AM271" s="143">
        <v>0</v>
      </c>
      <c r="AN271" s="143"/>
      <c r="AO271" s="143"/>
      <c r="AP271" s="143">
        <v>0</v>
      </c>
      <c r="AQ271" s="143">
        <v>0</v>
      </c>
      <c r="AR271" s="143"/>
      <c r="AS271" s="144"/>
      <c r="AT271" s="144">
        <v>0</v>
      </c>
      <c r="AU271" s="144"/>
      <c r="AV271" s="143">
        <f>SUM(AW271:AY271)</f>
        <v>0</v>
      </c>
      <c r="AW271" s="143"/>
      <c r="AX271" s="143"/>
      <c r="AY271" s="143">
        <f>SUM(AZ271:BB271)</f>
        <v>0</v>
      </c>
      <c r="AZ271" s="143">
        <v>0</v>
      </c>
      <c r="BA271" s="144">
        <v>0</v>
      </c>
      <c r="BB271" s="144"/>
      <c r="BC271" s="143">
        <v>0</v>
      </c>
      <c r="BD271" s="143"/>
      <c r="BE271" s="143"/>
      <c r="BF271" s="143">
        <v>0</v>
      </c>
      <c r="BG271" s="143">
        <v>0</v>
      </c>
      <c r="BH271" s="148"/>
      <c r="BI271" s="148"/>
      <c r="BJ271" s="148"/>
      <c r="BK271" s="148"/>
      <c r="BL271" s="148"/>
      <c r="BM271" s="148"/>
      <c r="BN271" s="148"/>
      <c r="BO271" s="148"/>
      <c r="BP271" s="148"/>
      <c r="BQ271" s="148"/>
      <c r="BR271" s="148"/>
      <c r="BS271" s="148"/>
      <c r="BT271" s="148"/>
      <c r="BU271" s="148"/>
      <c r="BV271" s="148"/>
      <c r="BW271" s="148"/>
      <c r="BX271" s="231"/>
      <c r="BY271" s="420"/>
    </row>
    <row r="272" spans="1:77" ht="39" customHeight="1">
      <c r="A272" s="418" t="s">
        <v>3586</v>
      </c>
      <c r="B272" s="418" t="s">
        <v>3636</v>
      </c>
      <c r="C272" s="418"/>
      <c r="D272" s="418"/>
      <c r="E272" s="418"/>
      <c r="F272" s="418"/>
      <c r="G272" s="418"/>
      <c r="H272" s="419"/>
      <c r="I272" s="418"/>
      <c r="J272" s="418"/>
      <c r="K272" s="418"/>
      <c r="L272" s="418"/>
      <c r="M272" s="67"/>
      <c r="N272" s="67"/>
      <c r="O272" s="67"/>
      <c r="P272" s="67"/>
      <c r="Q272" s="67"/>
      <c r="R272" s="67"/>
      <c r="S272" s="67"/>
      <c r="T272" s="67"/>
      <c r="U272" s="67"/>
      <c r="V272" s="67"/>
      <c r="W272" s="67"/>
      <c r="X272" s="67"/>
      <c r="Y272" s="67">
        <f t="shared" ref="Y272" si="118">SUM(Z272:AB272)</f>
        <v>128254.99999999999</v>
      </c>
      <c r="Z272" s="67"/>
      <c r="AA272" s="67"/>
      <c r="AB272" s="67">
        <f t="shared" ref="AB272" si="119">AC272+AD272+AE272</f>
        <v>128254.99999999999</v>
      </c>
      <c r="AC272" s="67"/>
      <c r="AD272" s="67">
        <v>128254.99999999999</v>
      </c>
      <c r="AE272" s="67"/>
      <c r="AF272" s="67">
        <f t="shared" ref="AF272" si="120">SUM(AG272:AI272)</f>
        <v>0</v>
      </c>
      <c r="AG272" s="67"/>
      <c r="AH272" s="67"/>
      <c r="AI272" s="67">
        <f t="shared" ref="AI272" si="121">SUM(AJ272:AL272)</f>
        <v>0</v>
      </c>
      <c r="AJ272" s="67"/>
      <c r="AK272" s="67"/>
      <c r="AL272" s="67"/>
      <c r="AM272" s="67"/>
      <c r="AN272" s="67"/>
      <c r="AO272" s="67"/>
      <c r="AP272" s="67"/>
      <c r="AQ272" s="67"/>
      <c r="AR272" s="67"/>
      <c r="AS272" s="67"/>
      <c r="AT272" s="67"/>
      <c r="AU272" s="67"/>
      <c r="AV272" s="67">
        <f t="shared" ref="AV272" si="122">SUM(AW272:AY272)</f>
        <v>19872</v>
      </c>
      <c r="AW272" s="67"/>
      <c r="AX272" s="67"/>
      <c r="AY272" s="67">
        <f t="shared" ref="AY272" si="123">SUM(AZ272:BB272)</f>
        <v>19872</v>
      </c>
      <c r="AZ272" s="67"/>
      <c r="BA272" s="67">
        <v>19872</v>
      </c>
      <c r="BB272" s="67"/>
      <c r="BC272" s="418"/>
      <c r="BD272" s="418"/>
      <c r="BE272" s="418"/>
      <c r="BF272" s="418"/>
      <c r="BG272" s="418"/>
      <c r="BH272" s="418"/>
      <c r="BI272" s="418"/>
      <c r="BJ272" s="418"/>
      <c r="BK272" s="418"/>
      <c r="BL272" s="418"/>
      <c r="BM272" s="418"/>
      <c r="BN272" s="418"/>
      <c r="BO272" s="418"/>
      <c r="BP272" s="418"/>
      <c r="BQ272" s="418"/>
      <c r="BR272" s="418"/>
      <c r="BS272" s="418"/>
      <c r="BT272" s="418"/>
      <c r="BU272" s="418"/>
      <c r="BV272" s="418"/>
      <c r="BW272" s="418"/>
      <c r="BX272" s="454"/>
      <c r="BY272" s="418"/>
    </row>
    <row r="273" spans="1:78" ht="60">
      <c r="A273" s="418" t="s">
        <v>49</v>
      </c>
      <c r="B273" s="418" t="s">
        <v>3638</v>
      </c>
      <c r="C273" s="418"/>
      <c r="D273" s="418"/>
      <c r="E273" s="418"/>
      <c r="F273" s="418"/>
      <c r="G273" s="418"/>
      <c r="H273" s="419"/>
      <c r="I273" s="418"/>
      <c r="J273" s="418"/>
      <c r="K273" s="418"/>
      <c r="L273" s="418"/>
      <c r="M273" s="419"/>
      <c r="N273" s="419"/>
      <c r="O273" s="419"/>
      <c r="P273" s="419"/>
      <c r="Q273" s="419"/>
      <c r="R273" s="419"/>
      <c r="S273" s="419"/>
      <c r="T273" s="419"/>
      <c r="U273" s="419"/>
      <c r="V273" s="419"/>
      <c r="W273" s="419"/>
      <c r="X273" s="419"/>
      <c r="Y273" s="419">
        <f>SUM(Z273:AB273)</f>
        <v>10000</v>
      </c>
      <c r="Z273" s="419"/>
      <c r="AA273" s="419"/>
      <c r="AB273" s="419">
        <f t="shared" ref="AB273" si="124">AC273+AD273+AE273</f>
        <v>10000</v>
      </c>
      <c r="AC273" s="419"/>
      <c r="AD273" s="419">
        <v>10000</v>
      </c>
      <c r="AE273" s="419"/>
      <c r="AF273" s="419">
        <f>SUM(AG273:AI273)</f>
        <v>2174.9998000000001</v>
      </c>
      <c r="AG273" s="419"/>
      <c r="AH273" s="419"/>
      <c r="AI273" s="419">
        <f>SUM(AJ273:AL273)</f>
        <v>2174.9998000000001</v>
      </c>
      <c r="AJ273" s="419"/>
      <c r="AK273" s="419">
        <v>2174.9998000000001</v>
      </c>
      <c r="AL273" s="419"/>
      <c r="AM273" s="419">
        <f t="shared" ref="AM273" si="125">AN273+AO273+AP273</f>
        <v>1285.4871209999999</v>
      </c>
      <c r="AN273" s="419"/>
      <c r="AO273" s="419"/>
      <c r="AP273" s="419">
        <f t="shared" ref="AP273" si="126">AQ273+AT273+AU273</f>
        <v>1285.4871209999999</v>
      </c>
      <c r="AQ273" s="419"/>
      <c r="AR273" s="419"/>
      <c r="AS273" s="419"/>
      <c r="AT273" s="419">
        <v>1285.4871209999999</v>
      </c>
      <c r="AU273" s="419"/>
      <c r="AV273" s="419">
        <f>SUM(AW273:AY273)</f>
        <v>449</v>
      </c>
      <c r="AW273" s="419"/>
      <c r="AX273" s="419"/>
      <c r="AY273" s="419">
        <f>SUM(AZ273:BB273)</f>
        <v>449</v>
      </c>
      <c r="AZ273" s="419"/>
      <c r="BA273" s="419">
        <v>449</v>
      </c>
      <c r="BB273" s="419"/>
      <c r="BC273" s="419">
        <f>BD273+BE273+BF273</f>
        <v>0</v>
      </c>
      <c r="BD273" s="419"/>
      <c r="BE273" s="419"/>
      <c r="BF273" s="419">
        <f>SUM(BH273:BK273)</f>
        <v>0</v>
      </c>
      <c r="BG273" s="419"/>
      <c r="BH273" s="419"/>
      <c r="BI273" s="419"/>
      <c r="BJ273" s="419"/>
      <c r="BK273" s="419"/>
      <c r="BL273" s="419"/>
      <c r="BM273" s="419"/>
      <c r="BN273" s="419"/>
      <c r="BO273" s="419"/>
      <c r="BP273" s="419"/>
      <c r="BQ273" s="419"/>
      <c r="BR273" s="419"/>
      <c r="BS273" s="419"/>
      <c r="BT273" s="419"/>
      <c r="BU273" s="419"/>
      <c r="BV273" s="419"/>
      <c r="BW273" s="419"/>
      <c r="BX273" s="467">
        <v>53.894038999999999</v>
      </c>
      <c r="BY273" s="419" t="s">
        <v>519</v>
      </c>
    </row>
    <row r="274" spans="1:78" s="417" customFormat="1" ht="45.75" customHeight="1">
      <c r="A274" s="418" t="s">
        <v>62</v>
      </c>
      <c r="B274" s="418" t="s">
        <v>3637</v>
      </c>
      <c r="C274" s="418"/>
      <c r="D274" s="418"/>
      <c r="E274" s="418"/>
      <c r="F274" s="418"/>
      <c r="G274" s="418"/>
      <c r="H274" s="419"/>
      <c r="I274" s="418"/>
      <c r="J274" s="418"/>
      <c r="K274" s="418"/>
      <c r="L274" s="418"/>
      <c r="M274" s="419"/>
      <c r="N274" s="419">
        <f t="shared" ref="N274:BZ274" si="127">SUM(N275:N275)</f>
        <v>0</v>
      </c>
      <c r="O274" s="419">
        <f t="shared" si="127"/>
        <v>0</v>
      </c>
      <c r="P274" s="419">
        <f t="shared" si="127"/>
        <v>0</v>
      </c>
      <c r="Q274" s="419">
        <f t="shared" si="127"/>
        <v>0</v>
      </c>
      <c r="R274" s="419">
        <f t="shared" si="127"/>
        <v>0</v>
      </c>
      <c r="S274" s="419">
        <f t="shared" si="127"/>
        <v>0</v>
      </c>
      <c r="T274" s="419">
        <f t="shared" si="127"/>
        <v>0</v>
      </c>
      <c r="U274" s="419">
        <f t="shared" si="127"/>
        <v>0</v>
      </c>
      <c r="V274" s="419">
        <f t="shared" si="127"/>
        <v>0</v>
      </c>
      <c r="W274" s="419">
        <f t="shared" si="127"/>
        <v>0</v>
      </c>
      <c r="X274" s="419">
        <f t="shared" si="127"/>
        <v>0</v>
      </c>
      <c r="Y274" s="419">
        <f t="shared" si="127"/>
        <v>29399.695</v>
      </c>
      <c r="Z274" s="419">
        <f t="shared" si="127"/>
        <v>0</v>
      </c>
      <c r="AA274" s="419">
        <f t="shared" si="127"/>
        <v>0</v>
      </c>
      <c r="AB274" s="419">
        <f t="shared" si="127"/>
        <v>29399.695</v>
      </c>
      <c r="AC274" s="419">
        <f t="shared" si="127"/>
        <v>0</v>
      </c>
      <c r="AD274" s="419">
        <f t="shared" si="127"/>
        <v>29399.695</v>
      </c>
      <c r="AE274" s="419">
        <f t="shared" si="127"/>
        <v>0</v>
      </c>
      <c r="AF274" s="419">
        <f t="shared" si="127"/>
        <v>0</v>
      </c>
      <c r="AG274" s="419">
        <f t="shared" si="127"/>
        <v>0</v>
      </c>
      <c r="AH274" s="419">
        <f t="shared" si="127"/>
        <v>0</v>
      </c>
      <c r="AI274" s="419">
        <f t="shared" si="127"/>
        <v>0</v>
      </c>
      <c r="AJ274" s="419">
        <f t="shared" si="127"/>
        <v>0</v>
      </c>
      <c r="AK274" s="419">
        <f t="shared" si="127"/>
        <v>0</v>
      </c>
      <c r="AL274" s="419">
        <f t="shared" si="127"/>
        <v>0</v>
      </c>
      <c r="AM274" s="419">
        <f t="shared" si="127"/>
        <v>0</v>
      </c>
      <c r="AN274" s="419">
        <f t="shared" si="127"/>
        <v>0</v>
      </c>
      <c r="AO274" s="419">
        <f t="shared" si="127"/>
        <v>0</v>
      </c>
      <c r="AP274" s="419">
        <f t="shared" si="127"/>
        <v>0</v>
      </c>
      <c r="AQ274" s="419">
        <f t="shared" si="127"/>
        <v>0</v>
      </c>
      <c r="AR274" s="419">
        <f t="shared" si="127"/>
        <v>0</v>
      </c>
      <c r="AS274" s="419">
        <f t="shared" si="127"/>
        <v>0</v>
      </c>
      <c r="AT274" s="419">
        <f t="shared" si="127"/>
        <v>0</v>
      </c>
      <c r="AU274" s="419">
        <f t="shared" si="127"/>
        <v>0</v>
      </c>
      <c r="AV274" s="419">
        <f t="shared" si="127"/>
        <v>399497</v>
      </c>
      <c r="AW274" s="419">
        <f t="shared" si="127"/>
        <v>0</v>
      </c>
      <c r="AX274" s="419">
        <f t="shared" si="127"/>
        <v>0</v>
      </c>
      <c r="AY274" s="419">
        <f t="shared" si="127"/>
        <v>399497</v>
      </c>
      <c r="AZ274" s="419">
        <f t="shared" si="127"/>
        <v>0</v>
      </c>
      <c r="BA274" s="419">
        <f t="shared" si="127"/>
        <v>399497</v>
      </c>
      <c r="BB274" s="419">
        <f t="shared" si="127"/>
        <v>0</v>
      </c>
      <c r="BC274" s="419">
        <f t="shared" si="127"/>
        <v>0</v>
      </c>
      <c r="BD274" s="419">
        <f t="shared" si="127"/>
        <v>0</v>
      </c>
      <c r="BE274" s="419">
        <f t="shared" si="127"/>
        <v>0</v>
      </c>
      <c r="BF274" s="419">
        <f t="shared" si="127"/>
        <v>0</v>
      </c>
      <c r="BG274" s="419">
        <f t="shared" si="127"/>
        <v>0</v>
      </c>
      <c r="BH274" s="419">
        <f t="shared" si="127"/>
        <v>0</v>
      </c>
      <c r="BI274" s="419">
        <f t="shared" si="127"/>
        <v>0</v>
      </c>
      <c r="BJ274" s="419">
        <f t="shared" si="127"/>
        <v>0</v>
      </c>
      <c r="BK274" s="419">
        <f t="shared" si="127"/>
        <v>0</v>
      </c>
      <c r="BL274" s="419">
        <f t="shared" si="127"/>
        <v>0</v>
      </c>
      <c r="BM274" s="419">
        <f t="shared" si="127"/>
        <v>0</v>
      </c>
      <c r="BN274" s="419">
        <f t="shared" si="127"/>
        <v>0</v>
      </c>
      <c r="BO274" s="419">
        <f t="shared" si="127"/>
        <v>0</v>
      </c>
      <c r="BP274" s="419">
        <f t="shared" si="127"/>
        <v>0</v>
      </c>
      <c r="BQ274" s="419">
        <f t="shared" si="127"/>
        <v>0</v>
      </c>
      <c r="BR274" s="419">
        <f t="shared" si="127"/>
        <v>0</v>
      </c>
      <c r="BS274" s="419">
        <f t="shared" si="127"/>
        <v>0</v>
      </c>
      <c r="BT274" s="419">
        <f t="shared" si="127"/>
        <v>0</v>
      </c>
      <c r="BU274" s="419">
        <f t="shared" si="127"/>
        <v>0</v>
      </c>
      <c r="BV274" s="419">
        <f t="shared" si="127"/>
        <v>0</v>
      </c>
      <c r="BW274" s="419">
        <f t="shared" si="127"/>
        <v>0</v>
      </c>
      <c r="BX274" s="454"/>
      <c r="BY274" s="419">
        <f t="shared" si="127"/>
        <v>0</v>
      </c>
      <c r="BZ274" s="417">
        <f t="shared" si="127"/>
        <v>0</v>
      </c>
    </row>
    <row r="275" spans="1:78" ht="26.25" customHeight="1">
      <c r="A275" s="420">
        <v>1</v>
      </c>
      <c r="B275" s="421" t="s">
        <v>2995</v>
      </c>
      <c r="C275" s="428"/>
      <c r="D275" s="428"/>
      <c r="E275" s="420"/>
      <c r="F275" s="431"/>
      <c r="G275" s="143"/>
      <c r="H275" s="432"/>
      <c r="I275" s="420"/>
      <c r="J275" s="420"/>
      <c r="K275" s="422"/>
      <c r="L275" s="420"/>
      <c r="M275" s="144"/>
      <c r="N275" s="422"/>
      <c r="O275" s="422"/>
      <c r="P275" s="144"/>
      <c r="Q275" s="420"/>
      <c r="R275" s="432"/>
      <c r="S275" s="422"/>
      <c r="T275" s="422"/>
      <c r="U275" s="420"/>
      <c r="V275" s="420"/>
      <c r="W275" s="420"/>
      <c r="X275" s="420"/>
      <c r="Y275" s="143">
        <v>29399.695</v>
      </c>
      <c r="Z275" s="143">
        <v>0</v>
      </c>
      <c r="AA275" s="143">
        <v>0</v>
      </c>
      <c r="AB275" s="143">
        <v>29399.695</v>
      </c>
      <c r="AC275" s="143">
        <v>0</v>
      </c>
      <c r="AD275" s="143">
        <v>29399.695</v>
      </c>
      <c r="AE275" s="143">
        <v>0</v>
      </c>
      <c r="AF275" s="143">
        <v>0</v>
      </c>
      <c r="AG275" s="143">
        <v>0</v>
      </c>
      <c r="AH275" s="143">
        <v>0</v>
      </c>
      <c r="AI275" s="143">
        <v>0</v>
      </c>
      <c r="AJ275" s="143">
        <v>0</v>
      </c>
      <c r="AK275" s="143">
        <v>0</v>
      </c>
      <c r="AL275" s="143">
        <v>0</v>
      </c>
      <c r="AM275" s="143">
        <v>0</v>
      </c>
      <c r="AN275" s="143">
        <v>0</v>
      </c>
      <c r="AO275" s="143">
        <v>0</v>
      </c>
      <c r="AP275" s="143">
        <v>0</v>
      </c>
      <c r="AQ275" s="143">
        <v>0</v>
      </c>
      <c r="AR275" s="143">
        <v>0</v>
      </c>
      <c r="AS275" s="143">
        <v>0</v>
      </c>
      <c r="AT275" s="143">
        <v>0</v>
      </c>
      <c r="AU275" s="143">
        <v>0</v>
      </c>
      <c r="AV275" s="143">
        <v>399497</v>
      </c>
      <c r="AW275" s="143">
        <v>0</v>
      </c>
      <c r="AX275" s="143">
        <v>0</v>
      </c>
      <c r="AY275" s="143">
        <v>399497</v>
      </c>
      <c r="AZ275" s="143">
        <v>0</v>
      </c>
      <c r="BA275" s="143">
        <v>399497</v>
      </c>
      <c r="BB275" s="143">
        <v>0</v>
      </c>
      <c r="BC275" s="143">
        <f t="shared" ref="BC275" si="128">BD275+BE275+BF275</f>
        <v>0</v>
      </c>
      <c r="BD275" s="143"/>
      <c r="BE275" s="143"/>
      <c r="BF275" s="143">
        <f t="shared" ref="BF275" si="129">SUM(BH275:BK275)</f>
        <v>0</v>
      </c>
      <c r="BG275" s="143"/>
      <c r="BH275" s="143"/>
      <c r="BI275" s="143"/>
      <c r="BJ275" s="143"/>
      <c r="BK275" s="143"/>
      <c r="BL275" s="143"/>
      <c r="BM275" s="143"/>
      <c r="BN275" s="143"/>
      <c r="BO275" s="143"/>
      <c r="BP275" s="143"/>
      <c r="BQ275" s="143"/>
      <c r="BR275" s="143"/>
      <c r="BS275" s="143"/>
      <c r="BT275" s="143"/>
      <c r="BU275" s="143"/>
      <c r="BV275" s="143"/>
      <c r="BW275" s="143"/>
      <c r="BX275" s="230"/>
      <c r="BY275" s="433"/>
    </row>
    <row r="276" spans="1:78">
      <c r="A276" s="800" t="s">
        <v>3687</v>
      </c>
      <c r="B276" s="801"/>
      <c r="C276" s="801"/>
      <c r="D276" s="801"/>
      <c r="E276" s="801"/>
      <c r="F276" s="801"/>
      <c r="G276" s="801"/>
      <c r="H276" s="801"/>
      <c r="I276" s="801"/>
      <c r="J276" s="801"/>
      <c r="K276" s="801"/>
      <c r="L276" s="801"/>
      <c r="M276" s="801"/>
      <c r="N276" s="801"/>
      <c r="O276" s="801"/>
      <c r="P276" s="801"/>
      <c r="Q276" s="801"/>
      <c r="R276" s="801"/>
      <c r="S276" s="801"/>
      <c r="T276" s="801"/>
      <c r="U276" s="801"/>
      <c r="V276" s="801"/>
      <c r="W276" s="801"/>
      <c r="X276" s="801"/>
      <c r="Y276" s="801"/>
      <c r="Z276" s="801"/>
      <c r="AA276" s="801"/>
      <c r="AB276" s="801"/>
      <c r="AC276" s="801"/>
      <c r="AD276" s="801"/>
      <c r="AE276" s="801"/>
      <c r="AF276" s="801"/>
      <c r="AG276" s="801"/>
      <c r="AH276" s="801"/>
      <c r="AI276" s="801"/>
      <c r="AJ276" s="801"/>
      <c r="AK276" s="801"/>
      <c r="AL276" s="801"/>
      <c r="AM276" s="801"/>
      <c r="AN276" s="801"/>
      <c r="AO276" s="801"/>
      <c r="AP276" s="801"/>
      <c r="AQ276" s="801"/>
      <c r="AR276" s="801"/>
      <c r="AS276" s="801"/>
      <c r="AT276" s="801"/>
      <c r="AU276" s="801"/>
      <c r="AV276" s="801"/>
      <c r="AW276" s="801"/>
      <c r="AX276" s="801"/>
      <c r="AY276" s="801"/>
      <c r="AZ276" s="801"/>
      <c r="BA276" s="801"/>
      <c r="BB276" s="801"/>
      <c r="BC276" s="801"/>
      <c r="BD276" s="801"/>
      <c r="BE276" s="801"/>
      <c r="BF276" s="801"/>
      <c r="BG276" s="801"/>
      <c r="BH276" s="801"/>
      <c r="BI276" s="801"/>
      <c r="BJ276" s="801"/>
      <c r="BK276" s="801"/>
      <c r="BL276" s="801"/>
      <c r="BM276" s="801"/>
      <c r="BN276" s="801"/>
      <c r="BO276" s="801"/>
      <c r="BP276" s="801"/>
      <c r="BQ276" s="801"/>
      <c r="BR276" s="801"/>
      <c r="BS276" s="801"/>
      <c r="BT276" s="801"/>
      <c r="BU276" s="801"/>
      <c r="BV276" s="801"/>
      <c r="BW276" s="801"/>
      <c r="BX276" s="801"/>
      <c r="BY276" s="801"/>
    </row>
    <row r="277" spans="1:78" ht="31.5" customHeight="1">
      <c r="A277" s="802"/>
      <c r="B277" s="802"/>
      <c r="C277" s="802"/>
      <c r="D277" s="802"/>
      <c r="E277" s="802"/>
      <c r="F277" s="802"/>
      <c r="G277" s="802"/>
      <c r="H277" s="802"/>
      <c r="I277" s="802"/>
      <c r="J277" s="802"/>
      <c r="K277" s="802"/>
      <c r="L277" s="802"/>
      <c r="M277" s="802"/>
      <c r="N277" s="802"/>
      <c r="O277" s="802"/>
      <c r="P277" s="802"/>
      <c r="Q277" s="802"/>
      <c r="R277" s="802"/>
      <c r="S277" s="802"/>
      <c r="T277" s="802"/>
      <c r="U277" s="802"/>
      <c r="V277" s="802"/>
      <c r="W277" s="802"/>
      <c r="X277" s="802"/>
      <c r="Y277" s="802"/>
      <c r="Z277" s="802"/>
      <c r="AA277" s="802"/>
      <c r="AB277" s="802"/>
      <c r="AC277" s="802"/>
      <c r="AD277" s="802"/>
      <c r="AE277" s="802"/>
      <c r="AF277" s="802"/>
      <c r="AG277" s="802"/>
      <c r="AH277" s="802"/>
      <c r="AI277" s="802"/>
      <c r="AJ277" s="802"/>
      <c r="AK277" s="802"/>
      <c r="AL277" s="802"/>
      <c r="AM277" s="802"/>
      <c r="AN277" s="802"/>
      <c r="AO277" s="802"/>
      <c r="AP277" s="802"/>
      <c r="AQ277" s="802"/>
      <c r="AR277" s="802"/>
      <c r="AS277" s="802"/>
      <c r="AT277" s="802"/>
      <c r="AU277" s="802"/>
      <c r="AV277" s="802"/>
      <c r="AW277" s="802"/>
      <c r="AX277" s="802"/>
      <c r="AY277" s="802"/>
      <c r="AZ277" s="802"/>
      <c r="BA277" s="802"/>
      <c r="BB277" s="802"/>
      <c r="BC277" s="802"/>
      <c r="BD277" s="802"/>
      <c r="BE277" s="802"/>
      <c r="BF277" s="802"/>
      <c r="BG277" s="802"/>
      <c r="BH277" s="802"/>
      <c r="BI277" s="802"/>
      <c r="BJ277" s="802"/>
      <c r="BK277" s="802"/>
      <c r="BL277" s="802"/>
      <c r="BM277" s="802"/>
      <c r="BN277" s="802"/>
      <c r="BO277" s="802"/>
      <c r="BP277" s="802"/>
      <c r="BQ277" s="802"/>
      <c r="BR277" s="802"/>
      <c r="BS277" s="802"/>
      <c r="BT277" s="802"/>
      <c r="BU277" s="802"/>
      <c r="BV277" s="802"/>
      <c r="BW277" s="802"/>
      <c r="BX277" s="802"/>
      <c r="BY277" s="802"/>
    </row>
    <row r="280" spans="1:78">
      <c r="Y280" s="472"/>
      <c r="Z280" s="472"/>
      <c r="AA280" s="472"/>
      <c r="AB280" s="472"/>
      <c r="AC280" s="472"/>
      <c r="AD280" s="472"/>
      <c r="AE280" s="472"/>
      <c r="AF280" s="472"/>
      <c r="AG280" s="472"/>
      <c r="AH280" s="472"/>
      <c r="AI280" s="472"/>
      <c r="AJ280" s="472"/>
      <c r="AK280" s="472"/>
      <c r="AL280" s="472"/>
      <c r="AM280" s="472"/>
      <c r="AN280" s="472"/>
      <c r="AO280" s="472"/>
      <c r="AP280" s="472"/>
      <c r="AQ280" s="472"/>
      <c r="AR280" s="472"/>
      <c r="AS280" s="472"/>
      <c r="AT280" s="472"/>
      <c r="AU280" s="472"/>
      <c r="AV280" s="472"/>
      <c r="AW280" s="472"/>
      <c r="AX280" s="472"/>
      <c r="AY280" s="472"/>
      <c r="AZ280" s="472"/>
      <c r="BA280" s="472"/>
      <c r="BB280" s="472"/>
    </row>
  </sheetData>
  <autoFilter ref="A13:BY277"/>
  <mergeCells count="97">
    <mergeCell ref="BA6:BY6"/>
    <mergeCell ref="BX7:BX12"/>
    <mergeCell ref="A276:BY277"/>
    <mergeCell ref="BT10:BT12"/>
    <mergeCell ref="BU10:BU12"/>
    <mergeCell ref="BV10:BV12"/>
    <mergeCell ref="BW10:BW12"/>
    <mergeCell ref="AQ11:AQ12"/>
    <mergeCell ref="AR11:AS11"/>
    <mergeCell ref="AT11:AT12"/>
    <mergeCell ref="AU11:AU12"/>
    <mergeCell ref="BG11:BG12"/>
    <mergeCell ref="BH11:BI11"/>
    <mergeCell ref="BN10:BN12"/>
    <mergeCell ref="BO10:BO12"/>
    <mergeCell ref="BP10:BP12"/>
    <mergeCell ref="BQ10:BQ12"/>
    <mergeCell ref="BR10:BR12"/>
    <mergeCell ref="BS10:BS12"/>
    <mergeCell ref="BD10:BD12"/>
    <mergeCell ref="BE10:BE12"/>
    <mergeCell ref="BF10:BF12"/>
    <mergeCell ref="BG10:BK10"/>
    <mergeCell ref="BL10:BL12"/>
    <mergeCell ref="BM10:BM12"/>
    <mergeCell ref="BJ11:BJ12"/>
    <mergeCell ref="BK11:BK12"/>
    <mergeCell ref="AX9:AX12"/>
    <mergeCell ref="AY9:AY12"/>
    <mergeCell ref="AZ9:BB9"/>
    <mergeCell ref="AP10:AP12"/>
    <mergeCell ref="AQ10:AU10"/>
    <mergeCell ref="AZ10:AZ12"/>
    <mergeCell ref="BA10:BA12"/>
    <mergeCell ref="BB10:BB12"/>
    <mergeCell ref="AL10:AL12"/>
    <mergeCell ref="AM10:AM12"/>
    <mergeCell ref="AN10:AN12"/>
    <mergeCell ref="AO10:AO12"/>
    <mergeCell ref="AW9:AW12"/>
    <mergeCell ref="N10:N12"/>
    <mergeCell ref="O10:O12"/>
    <mergeCell ref="P10:P12"/>
    <mergeCell ref="V10:V12"/>
    <mergeCell ref="W10:W12"/>
    <mergeCell ref="Q7:Q12"/>
    <mergeCell ref="R7:R12"/>
    <mergeCell ref="S7:S12"/>
    <mergeCell ref="T7:T12"/>
    <mergeCell ref="U7:X8"/>
    <mergeCell ref="K7:P8"/>
    <mergeCell ref="K9:K12"/>
    <mergeCell ref="L9:L12"/>
    <mergeCell ref="M9:M12"/>
    <mergeCell ref="N9:P9"/>
    <mergeCell ref="AF7:AL8"/>
    <mergeCell ref="AV7:BB8"/>
    <mergeCell ref="BL7:BS7"/>
    <mergeCell ref="BT7:BW8"/>
    <mergeCell ref="BY7:BY12"/>
    <mergeCell ref="BL8:BO8"/>
    <mergeCell ref="BP8:BS8"/>
    <mergeCell ref="AI9:AI12"/>
    <mergeCell ref="AJ9:AL9"/>
    <mergeCell ref="AV9:AV12"/>
    <mergeCell ref="AG9:AG12"/>
    <mergeCell ref="AH9:AH12"/>
    <mergeCell ref="AF9:AF12"/>
    <mergeCell ref="BC10:BC12"/>
    <mergeCell ref="AJ10:AJ12"/>
    <mergeCell ref="AK10:AK12"/>
    <mergeCell ref="AE10:AE12"/>
    <mergeCell ref="X10:X12"/>
    <mergeCell ref="AA9:AA12"/>
    <mergeCell ref="AB9:AB12"/>
    <mergeCell ref="AC9:AE9"/>
    <mergeCell ref="V9:X9"/>
    <mergeCell ref="Y9:Y12"/>
    <mergeCell ref="Z9:Z12"/>
    <mergeCell ref="AC10:AC12"/>
    <mergeCell ref="AD10:AD12"/>
    <mergeCell ref="A1:BY1"/>
    <mergeCell ref="A4:BY4"/>
    <mergeCell ref="A5:BY5"/>
    <mergeCell ref="A2:BY3"/>
    <mergeCell ref="A7:A12"/>
    <mergeCell ref="B7:B12"/>
    <mergeCell ref="C7:C12"/>
    <mergeCell ref="D7:D12"/>
    <mergeCell ref="E7:E12"/>
    <mergeCell ref="F7:F12"/>
    <mergeCell ref="G7:G12"/>
    <mergeCell ref="H7:H12"/>
    <mergeCell ref="I7:I12"/>
    <mergeCell ref="J7:J12"/>
    <mergeCell ref="Y7:AE8"/>
    <mergeCell ref="U9:U12"/>
  </mergeCells>
  <printOptions horizontalCentered="1"/>
  <pageMargins left="0.43307086614173229" right="0.19685039370078741" top="0.51181102362204722" bottom="0.39370078740157483" header="0.31496062992125984" footer="0.31496062992125984"/>
  <pageSetup paperSize="9" scale="45" fitToHeight="0" orientation="landscape" r:id="rId1"/>
  <headerFooter>
    <oddHeader>&amp;R&amp;"Times New Roman,Bold Italic"&amp;12Kon Tum</oddHeader>
    <oddFooter>&amp;R&amp;P/&amp;N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247"/>
  <sheetViews>
    <sheetView zoomScale="70" zoomScaleNormal="70" workbookViewId="0">
      <selection activeCell="CC17" sqref="A1:CC153"/>
    </sheetView>
  </sheetViews>
  <sheetFormatPr defaultColWidth="9.1328125" defaultRowHeight="14.25" outlineLevelRow="1"/>
  <cols>
    <col min="1" max="1" width="6.3984375" style="499" customWidth="1"/>
    <col min="2" max="2" width="52.73046875" style="499" customWidth="1"/>
    <col min="3" max="3" width="17.3984375" style="499" customWidth="1"/>
    <col min="4" max="4" width="17.265625" style="499" customWidth="1"/>
    <col min="5" max="5" width="11.265625" style="499" customWidth="1"/>
    <col min="6" max="7" width="11.265625" style="499" hidden="1" customWidth="1"/>
    <col min="8" max="8" width="13.59765625" style="499" customWidth="1"/>
    <col min="9" max="9" width="13.1328125" style="499" customWidth="1"/>
    <col min="10" max="10" width="14" style="499" hidden="1" customWidth="1"/>
    <col min="11" max="11" width="15.73046875" style="499" hidden="1" customWidth="1"/>
    <col min="12" max="12" width="15.73046875" style="499" customWidth="1"/>
    <col min="13" max="13" width="11.265625" style="499" customWidth="1"/>
    <col min="14" max="15" width="12.1328125" style="499" hidden="1" customWidth="1"/>
    <col min="16" max="16" width="12.1328125" style="499" customWidth="1"/>
    <col min="17" max="20" width="10.73046875" style="500" hidden="1" customWidth="1"/>
    <col min="21" max="21" width="10.73046875" style="499" customWidth="1"/>
    <col min="22" max="23" width="9.265625" style="499" hidden="1" customWidth="1"/>
    <col min="24" max="24" width="12" style="499" customWidth="1"/>
    <col min="25" max="25" width="11.265625" style="499" customWidth="1"/>
    <col min="26" max="27" width="9.265625" style="499" hidden="1" customWidth="1"/>
    <col min="28" max="28" width="11.265625" style="499" hidden="1" customWidth="1"/>
    <col min="29" max="29" width="12.3984375" style="499" customWidth="1"/>
    <col min="30" max="30" width="12" style="499" customWidth="1"/>
    <col min="31" max="31" width="12.3984375" style="499" customWidth="1"/>
    <col min="32" max="32" width="10.73046875" style="499" hidden="1" customWidth="1"/>
    <col min="33" max="34" width="9.265625" style="499" hidden="1" customWidth="1"/>
    <col min="35" max="35" width="10.73046875" style="499" hidden="1" customWidth="1"/>
    <col min="36" max="37" width="9.59765625" style="499" hidden="1" customWidth="1"/>
    <col min="38" max="38" width="9.265625" style="499" hidden="1" customWidth="1"/>
    <col min="39" max="39" width="9.3984375" style="499" hidden="1" customWidth="1"/>
    <col min="40" max="41" width="9.265625" style="499" hidden="1" customWidth="1"/>
    <col min="42" max="42" width="9.3984375" style="499" hidden="1" customWidth="1"/>
    <col min="43" max="44" width="9.265625" style="499" hidden="1" customWidth="1"/>
    <col min="45" max="45" width="9.3984375" style="499" hidden="1" customWidth="1"/>
    <col min="46" max="46" width="9.265625" style="499" hidden="1" customWidth="1"/>
    <col min="47" max="47" width="11.73046875" style="499" customWidth="1"/>
    <col min="48" max="49" width="9.265625" style="499" hidden="1" customWidth="1"/>
    <col min="50" max="50" width="10.73046875" style="499" hidden="1" customWidth="1"/>
    <col min="51" max="51" width="11.73046875" style="499" customWidth="1"/>
    <col min="52" max="52" width="12.3984375" style="499" customWidth="1"/>
    <col min="53" max="53" width="11.1328125" style="499" customWidth="1"/>
    <col min="54" max="64" width="9.265625" style="499" hidden="1" customWidth="1"/>
    <col min="65" max="65" width="9.3984375" style="499" hidden="1" customWidth="1"/>
    <col min="66" max="68" width="9.265625" style="499" hidden="1" customWidth="1"/>
    <col min="69" max="69" width="10" style="499" hidden="1" customWidth="1"/>
    <col min="70" max="70" width="11.86328125" style="499" hidden="1" customWidth="1"/>
    <col min="71" max="71" width="14.86328125" style="499" hidden="1" customWidth="1"/>
    <col min="72" max="72" width="15.73046875" style="499" customWidth="1"/>
    <col min="73" max="16384" width="9.1328125" style="499"/>
  </cols>
  <sheetData>
    <row r="1" spans="1:73" ht="17.25">
      <c r="A1" s="768" t="s">
        <v>3674</v>
      </c>
      <c r="B1" s="768"/>
      <c r="C1" s="768"/>
      <c r="D1" s="768"/>
      <c r="E1" s="768"/>
      <c r="F1" s="768"/>
      <c r="G1" s="768"/>
      <c r="H1" s="768"/>
      <c r="I1" s="768"/>
      <c r="J1" s="768"/>
      <c r="K1" s="768"/>
      <c r="L1" s="768"/>
      <c r="M1" s="768"/>
      <c r="N1" s="768"/>
      <c r="O1" s="768"/>
      <c r="P1" s="768"/>
      <c r="Q1" s="768"/>
      <c r="R1" s="768"/>
      <c r="S1" s="768"/>
      <c r="T1" s="768"/>
      <c r="U1" s="768"/>
      <c r="V1" s="768"/>
      <c r="W1" s="768"/>
      <c r="X1" s="768"/>
      <c r="Y1" s="768"/>
      <c r="Z1" s="768"/>
      <c r="AA1" s="768"/>
      <c r="AB1" s="768"/>
      <c r="AC1" s="768"/>
      <c r="AD1" s="768"/>
      <c r="AE1" s="768"/>
      <c r="AF1" s="768"/>
      <c r="AG1" s="768"/>
      <c r="AH1" s="768"/>
      <c r="AI1" s="768"/>
      <c r="AJ1" s="768"/>
      <c r="AK1" s="768"/>
      <c r="AL1" s="768"/>
      <c r="AM1" s="768"/>
      <c r="AN1" s="768"/>
      <c r="AO1" s="768"/>
      <c r="AP1" s="768"/>
      <c r="AQ1" s="768"/>
      <c r="AR1" s="768"/>
      <c r="AS1" s="768"/>
      <c r="AT1" s="768"/>
      <c r="AU1" s="768"/>
      <c r="AV1" s="768"/>
      <c r="AW1" s="768"/>
      <c r="AX1" s="768"/>
      <c r="AY1" s="768"/>
      <c r="AZ1" s="768"/>
      <c r="BA1" s="768"/>
      <c r="BB1" s="768"/>
      <c r="BC1" s="768"/>
      <c r="BD1" s="768"/>
      <c r="BE1" s="768"/>
      <c r="BF1" s="768"/>
      <c r="BG1" s="768"/>
      <c r="BH1" s="768"/>
      <c r="BI1" s="768"/>
      <c r="BJ1" s="768"/>
      <c r="BK1" s="768"/>
      <c r="BL1" s="768"/>
      <c r="BM1" s="768"/>
      <c r="BN1" s="768"/>
      <c r="BO1" s="768"/>
      <c r="BP1" s="768"/>
      <c r="BQ1" s="768"/>
      <c r="BR1" s="768"/>
      <c r="BS1" s="768"/>
      <c r="BT1" s="768"/>
    </row>
    <row r="2" spans="1:73" ht="17.45" customHeight="1">
      <c r="A2" s="769" t="s">
        <v>3691</v>
      </c>
      <c r="B2" s="769"/>
      <c r="C2" s="769"/>
      <c r="D2" s="769"/>
      <c r="E2" s="769"/>
      <c r="F2" s="769"/>
      <c r="G2" s="769"/>
      <c r="H2" s="769"/>
      <c r="I2" s="769"/>
      <c r="J2" s="769"/>
      <c r="K2" s="769"/>
      <c r="L2" s="769"/>
      <c r="M2" s="769"/>
      <c r="N2" s="769"/>
      <c r="O2" s="769"/>
      <c r="P2" s="769"/>
      <c r="Q2" s="769"/>
      <c r="R2" s="769"/>
      <c r="S2" s="769"/>
      <c r="T2" s="769"/>
      <c r="U2" s="769"/>
      <c r="V2" s="769"/>
      <c r="W2" s="769"/>
      <c r="X2" s="769"/>
      <c r="Y2" s="769"/>
      <c r="Z2" s="769"/>
      <c r="AA2" s="769"/>
      <c r="AB2" s="769"/>
      <c r="AC2" s="769"/>
      <c r="AD2" s="769"/>
      <c r="AE2" s="769"/>
      <c r="AF2" s="769"/>
      <c r="AG2" s="769"/>
      <c r="AH2" s="769"/>
      <c r="AI2" s="769"/>
      <c r="AJ2" s="769"/>
      <c r="AK2" s="769"/>
      <c r="AL2" s="769"/>
      <c r="AM2" s="769"/>
      <c r="AN2" s="769"/>
      <c r="AO2" s="769"/>
      <c r="AP2" s="769"/>
      <c r="AQ2" s="769"/>
      <c r="AR2" s="769"/>
      <c r="AS2" s="769"/>
      <c r="AT2" s="769"/>
      <c r="AU2" s="769"/>
      <c r="AV2" s="769"/>
      <c r="AW2" s="769"/>
      <c r="AX2" s="769"/>
      <c r="AY2" s="769"/>
      <c r="AZ2" s="769"/>
      <c r="BA2" s="769"/>
      <c r="BB2" s="769"/>
      <c r="BC2" s="769"/>
      <c r="BD2" s="769"/>
      <c r="BE2" s="769"/>
      <c r="BF2" s="769"/>
      <c r="BG2" s="769"/>
      <c r="BH2" s="769"/>
      <c r="BI2" s="769"/>
      <c r="BJ2" s="769"/>
      <c r="BK2" s="769"/>
      <c r="BL2" s="769"/>
      <c r="BM2" s="769"/>
      <c r="BN2" s="769"/>
      <c r="BO2" s="769"/>
      <c r="BP2" s="769"/>
      <c r="BQ2" s="769"/>
      <c r="BR2" s="769"/>
      <c r="BS2" s="769"/>
      <c r="BT2" s="769"/>
    </row>
    <row r="3" spans="1:73" ht="7.5" customHeight="1">
      <c r="A3" s="769"/>
      <c r="B3" s="769"/>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69"/>
      <c r="AZ3" s="769"/>
      <c r="BA3" s="769"/>
      <c r="BB3" s="769"/>
      <c r="BC3" s="769"/>
      <c r="BD3" s="769"/>
      <c r="BE3" s="769"/>
      <c r="BF3" s="769"/>
      <c r="BG3" s="769"/>
      <c r="BH3" s="769"/>
      <c r="BI3" s="769"/>
      <c r="BJ3" s="769"/>
      <c r="BK3" s="769"/>
      <c r="BL3" s="769"/>
      <c r="BM3" s="769"/>
      <c r="BN3" s="769"/>
      <c r="BO3" s="769"/>
      <c r="BP3" s="769"/>
      <c r="BQ3" s="769"/>
      <c r="BR3" s="769"/>
      <c r="BS3" s="769"/>
      <c r="BT3" s="769"/>
    </row>
    <row r="4" spans="1:73" ht="17.25">
      <c r="A4" s="768" t="s">
        <v>2996</v>
      </c>
      <c r="B4" s="768"/>
      <c r="C4" s="768"/>
      <c r="D4" s="768"/>
      <c r="E4" s="768"/>
      <c r="F4" s="768"/>
      <c r="G4" s="768"/>
      <c r="H4" s="768"/>
      <c r="I4" s="768"/>
      <c r="J4" s="768"/>
      <c r="K4" s="768"/>
      <c r="L4" s="768"/>
      <c r="M4" s="768"/>
      <c r="N4" s="768"/>
      <c r="O4" s="768"/>
      <c r="P4" s="768"/>
      <c r="Q4" s="768"/>
      <c r="R4" s="768"/>
      <c r="S4" s="768"/>
      <c r="T4" s="768"/>
      <c r="U4" s="768"/>
      <c r="V4" s="768"/>
      <c r="W4" s="768"/>
      <c r="X4" s="768"/>
      <c r="Y4" s="768"/>
      <c r="Z4" s="768"/>
      <c r="AA4" s="768"/>
      <c r="AB4" s="768"/>
      <c r="AC4" s="768"/>
      <c r="AD4" s="768"/>
      <c r="AE4" s="768"/>
      <c r="AF4" s="768"/>
      <c r="AG4" s="768"/>
      <c r="AH4" s="768"/>
      <c r="AI4" s="768"/>
      <c r="AJ4" s="768"/>
      <c r="AK4" s="768"/>
      <c r="AL4" s="768"/>
      <c r="AM4" s="768"/>
      <c r="AN4" s="768"/>
      <c r="AO4" s="768"/>
      <c r="AP4" s="768"/>
      <c r="AQ4" s="768"/>
      <c r="AR4" s="768"/>
      <c r="AS4" s="768"/>
      <c r="AT4" s="768"/>
      <c r="AU4" s="768"/>
      <c r="AV4" s="768"/>
      <c r="AW4" s="768"/>
      <c r="AX4" s="768"/>
      <c r="AY4" s="768"/>
      <c r="AZ4" s="768"/>
      <c r="BA4" s="768"/>
      <c r="BB4" s="768"/>
      <c r="BC4" s="768"/>
      <c r="BD4" s="768"/>
      <c r="BE4" s="768"/>
      <c r="BF4" s="768"/>
      <c r="BG4" s="768"/>
      <c r="BH4" s="768"/>
      <c r="BI4" s="768"/>
      <c r="BJ4" s="768"/>
      <c r="BK4" s="768"/>
      <c r="BL4" s="768"/>
      <c r="BM4" s="768"/>
      <c r="BN4" s="768"/>
      <c r="BO4" s="768"/>
      <c r="BP4" s="768"/>
      <c r="BQ4" s="768"/>
      <c r="BR4" s="768"/>
      <c r="BS4" s="768"/>
      <c r="BT4" s="768"/>
    </row>
    <row r="5" spans="1:73" ht="17.649999999999999">
      <c r="A5" s="917" t="str">
        <f>'3.13.Thành phố Kon Tum'!A5:BY5</f>
        <v>(Kèm theo Nghị quyết số 22/NQ-HĐND ngày 22 tháng 8 năm 2025 của Hội đồng nhân dân tỉnh)</v>
      </c>
      <c r="B5" s="917"/>
      <c r="C5" s="917"/>
      <c r="D5" s="917"/>
      <c r="E5" s="917"/>
      <c r="F5" s="917"/>
      <c r="G5" s="917"/>
      <c r="H5" s="917"/>
      <c r="I5" s="917"/>
      <c r="J5" s="917"/>
      <c r="K5" s="917"/>
      <c r="L5" s="917"/>
      <c r="M5" s="917"/>
      <c r="N5" s="917"/>
      <c r="O5" s="917"/>
      <c r="P5" s="917"/>
      <c r="Q5" s="917"/>
      <c r="R5" s="917"/>
      <c r="S5" s="917"/>
      <c r="T5" s="917"/>
      <c r="U5" s="917"/>
      <c r="V5" s="917"/>
      <c r="W5" s="917"/>
      <c r="X5" s="917"/>
      <c r="Y5" s="917"/>
      <c r="Z5" s="917"/>
      <c r="AA5" s="917"/>
      <c r="AB5" s="917"/>
      <c r="AC5" s="917"/>
      <c r="AD5" s="917"/>
      <c r="AE5" s="917"/>
      <c r="AF5" s="917"/>
      <c r="AG5" s="917"/>
      <c r="AH5" s="917"/>
      <c r="AI5" s="917"/>
      <c r="AJ5" s="917"/>
      <c r="AK5" s="917"/>
      <c r="AL5" s="917"/>
      <c r="AM5" s="917"/>
      <c r="AN5" s="917"/>
      <c r="AO5" s="917"/>
      <c r="AP5" s="917"/>
      <c r="AQ5" s="917"/>
      <c r="AR5" s="917"/>
      <c r="AS5" s="917"/>
      <c r="AT5" s="917"/>
      <c r="AU5" s="917"/>
      <c r="AV5" s="917"/>
      <c r="AW5" s="917"/>
      <c r="AX5" s="917"/>
      <c r="AY5" s="917"/>
      <c r="AZ5" s="917"/>
      <c r="BA5" s="917"/>
      <c r="BB5" s="917"/>
      <c r="BC5" s="917"/>
      <c r="BD5" s="917"/>
      <c r="BE5" s="917"/>
      <c r="BF5" s="917"/>
      <c r="BG5" s="917"/>
      <c r="BH5" s="917"/>
      <c r="BI5" s="917"/>
      <c r="BJ5" s="917"/>
      <c r="BK5" s="917"/>
      <c r="BL5" s="917"/>
      <c r="BM5" s="917"/>
      <c r="BN5" s="917"/>
      <c r="BO5" s="917"/>
      <c r="BP5" s="917"/>
      <c r="BQ5" s="917"/>
      <c r="BR5" s="917"/>
      <c r="BS5" s="917"/>
      <c r="BT5" s="917"/>
    </row>
    <row r="6" spans="1:73" ht="17.649999999999999">
      <c r="A6" s="386"/>
      <c r="B6" s="386"/>
      <c r="C6" s="386"/>
      <c r="D6" s="386"/>
      <c r="E6" s="386"/>
      <c r="F6" s="386"/>
      <c r="G6" s="386"/>
      <c r="H6" s="386"/>
      <c r="I6" s="386"/>
      <c r="J6" s="386"/>
      <c r="K6" s="386"/>
      <c r="L6" s="386"/>
      <c r="M6" s="386"/>
      <c r="N6" s="386"/>
      <c r="O6" s="386"/>
      <c r="P6" s="386"/>
      <c r="Q6" s="386"/>
      <c r="R6" s="386"/>
      <c r="S6" s="386"/>
      <c r="T6" s="386"/>
      <c r="U6" s="386"/>
      <c r="V6" s="386"/>
      <c r="W6" s="386"/>
      <c r="X6" s="386"/>
      <c r="Y6" s="386"/>
      <c r="Z6" s="386"/>
      <c r="AA6" s="386"/>
      <c r="AB6" s="386"/>
      <c r="AC6" s="386"/>
      <c r="AD6" s="386"/>
      <c r="AE6" s="386"/>
      <c r="AF6" s="386"/>
      <c r="AG6" s="386"/>
      <c r="AH6" s="386"/>
      <c r="AI6" s="386"/>
      <c r="AJ6" s="386"/>
      <c r="AK6" s="386"/>
      <c r="AL6" s="386"/>
      <c r="AM6" s="386"/>
      <c r="AN6" s="386"/>
      <c r="AO6" s="386"/>
      <c r="AP6" s="386"/>
      <c r="AQ6" s="386"/>
      <c r="AR6" s="386"/>
      <c r="AS6" s="386"/>
      <c r="AT6" s="386"/>
      <c r="AU6" s="707"/>
      <c r="AV6" s="707"/>
      <c r="AW6" s="707"/>
      <c r="AX6" s="707"/>
      <c r="AY6" s="707"/>
      <c r="AZ6" s="918" t="s">
        <v>1224</v>
      </c>
      <c r="BA6" s="918"/>
      <c r="BB6" s="918"/>
      <c r="BC6" s="918"/>
      <c r="BD6" s="918"/>
      <c r="BE6" s="918"/>
      <c r="BF6" s="918"/>
      <c r="BG6" s="918"/>
      <c r="BH6" s="918"/>
      <c r="BI6" s="918"/>
      <c r="BJ6" s="918"/>
      <c r="BK6" s="918"/>
      <c r="BL6" s="918"/>
      <c r="BM6" s="918"/>
      <c r="BN6" s="918"/>
      <c r="BO6" s="918"/>
      <c r="BP6" s="918"/>
      <c r="BQ6" s="918"/>
      <c r="BR6" s="918"/>
      <c r="BS6" s="918"/>
      <c r="BT6" s="918"/>
    </row>
    <row r="7" spans="1:73" ht="27" customHeight="1">
      <c r="A7" s="771" t="s">
        <v>16</v>
      </c>
      <c r="B7" s="771" t="s">
        <v>316</v>
      </c>
      <c r="C7" s="771" t="s">
        <v>17</v>
      </c>
      <c r="D7" s="771" t="s">
        <v>3673</v>
      </c>
      <c r="E7" s="771" t="s">
        <v>18</v>
      </c>
      <c r="F7" s="771" t="s">
        <v>19</v>
      </c>
      <c r="G7" s="771" t="s">
        <v>20</v>
      </c>
      <c r="H7" s="771" t="s">
        <v>1225</v>
      </c>
      <c r="I7" s="771" t="s">
        <v>23</v>
      </c>
      <c r="J7" s="771" t="s">
        <v>24</v>
      </c>
      <c r="K7" s="771" t="s">
        <v>1904</v>
      </c>
      <c r="L7" s="771"/>
      <c r="M7" s="771"/>
      <c r="N7" s="771"/>
      <c r="O7" s="771"/>
      <c r="P7" s="771"/>
      <c r="Q7" s="771" t="s">
        <v>25</v>
      </c>
      <c r="R7" s="771" t="s">
        <v>1226</v>
      </c>
      <c r="S7" s="771" t="s">
        <v>22</v>
      </c>
      <c r="T7" s="771" t="s">
        <v>876</v>
      </c>
      <c r="U7" s="775" t="s">
        <v>26</v>
      </c>
      <c r="V7" s="776"/>
      <c r="W7" s="776"/>
      <c r="X7" s="777"/>
      <c r="Y7" s="775" t="s">
        <v>27</v>
      </c>
      <c r="Z7" s="776"/>
      <c r="AA7" s="776"/>
      <c r="AB7" s="776"/>
      <c r="AC7" s="776"/>
      <c r="AD7" s="776"/>
      <c r="AE7" s="777"/>
      <c r="AF7" s="775" t="s">
        <v>877</v>
      </c>
      <c r="AG7" s="776"/>
      <c r="AH7" s="776"/>
      <c r="AI7" s="776"/>
      <c r="AJ7" s="776"/>
      <c r="AK7" s="776"/>
      <c r="AL7" s="777"/>
      <c r="AM7" s="397"/>
      <c r="AN7" s="397"/>
      <c r="AO7" s="397"/>
      <c r="AP7" s="397"/>
      <c r="AQ7" s="397"/>
      <c r="AR7" s="397"/>
      <c r="AS7" s="397"/>
      <c r="AT7" s="397"/>
      <c r="AU7" s="775" t="s">
        <v>6</v>
      </c>
      <c r="AV7" s="776"/>
      <c r="AW7" s="776"/>
      <c r="AX7" s="776"/>
      <c r="AY7" s="776"/>
      <c r="AZ7" s="776"/>
      <c r="BA7" s="777"/>
      <c r="BB7" s="397"/>
      <c r="BC7" s="397"/>
      <c r="BD7" s="397"/>
      <c r="BE7" s="397"/>
      <c r="BF7" s="397"/>
      <c r="BG7" s="397"/>
      <c r="BH7" s="397"/>
      <c r="BI7" s="397"/>
      <c r="BJ7" s="771" t="s">
        <v>28</v>
      </c>
      <c r="BK7" s="771"/>
      <c r="BL7" s="771"/>
      <c r="BM7" s="771"/>
      <c r="BN7" s="771"/>
      <c r="BO7" s="771"/>
      <c r="BP7" s="771"/>
      <c r="BQ7" s="771"/>
      <c r="BR7" s="791" t="s">
        <v>1227</v>
      </c>
      <c r="BS7" s="772" t="s">
        <v>3662</v>
      </c>
      <c r="BT7" s="771" t="s">
        <v>0</v>
      </c>
    </row>
    <row r="8" spans="1:73" ht="18" customHeight="1">
      <c r="A8" s="771"/>
      <c r="B8" s="771"/>
      <c r="C8" s="771"/>
      <c r="D8" s="771"/>
      <c r="E8" s="771"/>
      <c r="F8" s="771"/>
      <c r="G8" s="771"/>
      <c r="H8" s="771"/>
      <c r="I8" s="771"/>
      <c r="J8" s="771"/>
      <c r="K8" s="771"/>
      <c r="L8" s="771"/>
      <c r="M8" s="771"/>
      <c r="N8" s="771"/>
      <c r="O8" s="771"/>
      <c r="P8" s="771"/>
      <c r="Q8" s="771"/>
      <c r="R8" s="771"/>
      <c r="S8" s="771"/>
      <c r="T8" s="771"/>
      <c r="U8" s="788"/>
      <c r="V8" s="789"/>
      <c r="W8" s="789"/>
      <c r="X8" s="790"/>
      <c r="Y8" s="788"/>
      <c r="Z8" s="789"/>
      <c r="AA8" s="789"/>
      <c r="AB8" s="789"/>
      <c r="AC8" s="789"/>
      <c r="AD8" s="789"/>
      <c r="AE8" s="790"/>
      <c r="AF8" s="788"/>
      <c r="AG8" s="789"/>
      <c r="AH8" s="789"/>
      <c r="AI8" s="789"/>
      <c r="AJ8" s="789"/>
      <c r="AK8" s="789"/>
      <c r="AL8" s="790"/>
      <c r="AM8" s="397" t="s">
        <v>66</v>
      </c>
      <c r="AN8" s="397"/>
      <c r="AO8" s="397"/>
      <c r="AP8" s="397"/>
      <c r="AQ8" s="397"/>
      <c r="AR8" s="397"/>
      <c r="AS8" s="397"/>
      <c r="AT8" s="397"/>
      <c r="AU8" s="788"/>
      <c r="AV8" s="789"/>
      <c r="AW8" s="789"/>
      <c r="AX8" s="789"/>
      <c r="AY8" s="789"/>
      <c r="AZ8" s="789"/>
      <c r="BA8" s="790"/>
      <c r="BB8" s="397" t="s">
        <v>89</v>
      </c>
      <c r="BC8" s="397"/>
      <c r="BD8" s="397"/>
      <c r="BE8" s="397"/>
      <c r="BF8" s="397"/>
      <c r="BG8" s="397"/>
      <c r="BH8" s="397"/>
      <c r="BI8" s="397"/>
      <c r="BJ8" s="771" t="s">
        <v>30</v>
      </c>
      <c r="BK8" s="771"/>
      <c r="BL8" s="771"/>
      <c r="BM8" s="771"/>
      <c r="BN8" s="771" t="s">
        <v>89</v>
      </c>
      <c r="BO8" s="771"/>
      <c r="BP8" s="771"/>
      <c r="BQ8" s="771"/>
      <c r="BR8" s="791"/>
      <c r="BS8" s="773"/>
      <c r="BT8" s="771"/>
    </row>
    <row r="9" spans="1:73" ht="34.5" customHeight="1">
      <c r="A9" s="771"/>
      <c r="B9" s="771"/>
      <c r="C9" s="771"/>
      <c r="D9" s="771"/>
      <c r="E9" s="771"/>
      <c r="F9" s="771"/>
      <c r="G9" s="771"/>
      <c r="H9" s="771"/>
      <c r="I9" s="771"/>
      <c r="J9" s="771"/>
      <c r="K9" s="771" t="s">
        <v>31</v>
      </c>
      <c r="L9" s="771" t="s">
        <v>32</v>
      </c>
      <c r="M9" s="771" t="s">
        <v>33</v>
      </c>
      <c r="N9" s="866" t="s">
        <v>1228</v>
      </c>
      <c r="O9" s="866"/>
      <c r="P9" s="866"/>
      <c r="Q9" s="771"/>
      <c r="R9" s="771"/>
      <c r="S9" s="771"/>
      <c r="T9" s="771"/>
      <c r="U9" s="772" t="s">
        <v>305</v>
      </c>
      <c r="V9" s="921" t="s">
        <v>42</v>
      </c>
      <c r="W9" s="922"/>
      <c r="X9" s="923"/>
      <c r="Y9" s="772" t="s">
        <v>305</v>
      </c>
      <c r="Z9" s="771" t="s">
        <v>34</v>
      </c>
      <c r="AA9" s="771" t="s">
        <v>35</v>
      </c>
      <c r="AB9" s="771" t="s">
        <v>41</v>
      </c>
      <c r="AC9" s="791" t="s">
        <v>42</v>
      </c>
      <c r="AD9" s="792"/>
      <c r="AE9" s="843"/>
      <c r="AF9" s="771" t="s">
        <v>305</v>
      </c>
      <c r="AG9" s="771" t="s">
        <v>1</v>
      </c>
      <c r="AH9" s="771"/>
      <c r="AI9" s="771"/>
      <c r="AJ9" s="771"/>
      <c r="AK9" s="771"/>
      <c r="AL9" s="771"/>
      <c r="AM9" s="771" t="s">
        <v>29</v>
      </c>
      <c r="AN9" s="771" t="s">
        <v>1</v>
      </c>
      <c r="AO9" s="771"/>
      <c r="AP9" s="771"/>
      <c r="AQ9" s="771"/>
      <c r="AR9" s="771"/>
      <c r="AS9" s="771"/>
      <c r="AT9" s="771"/>
      <c r="AU9" s="771" t="s">
        <v>305</v>
      </c>
      <c r="AV9" s="771" t="s">
        <v>1</v>
      </c>
      <c r="AW9" s="771"/>
      <c r="AX9" s="771"/>
      <c r="AY9" s="771"/>
      <c r="AZ9" s="771"/>
      <c r="BA9" s="771"/>
      <c r="BB9" s="771" t="s">
        <v>29</v>
      </c>
      <c r="BC9" s="771" t="s">
        <v>1</v>
      </c>
      <c r="BD9" s="771"/>
      <c r="BE9" s="771"/>
      <c r="BF9" s="771"/>
      <c r="BG9" s="771"/>
      <c r="BH9" s="771"/>
      <c r="BI9" s="771"/>
      <c r="BJ9" s="771" t="s">
        <v>29</v>
      </c>
      <c r="BK9" s="771" t="s">
        <v>1</v>
      </c>
      <c r="BL9" s="771"/>
      <c r="BM9" s="771"/>
      <c r="BN9" s="771" t="s">
        <v>29</v>
      </c>
      <c r="BO9" s="771" t="s">
        <v>1</v>
      </c>
      <c r="BP9" s="771"/>
      <c r="BQ9" s="771"/>
      <c r="BR9" s="791"/>
      <c r="BS9" s="773"/>
      <c r="BT9" s="771"/>
    </row>
    <row r="10" spans="1:73" ht="15">
      <c r="A10" s="771"/>
      <c r="B10" s="771"/>
      <c r="C10" s="771"/>
      <c r="D10" s="771"/>
      <c r="E10" s="771"/>
      <c r="F10" s="771"/>
      <c r="G10" s="771"/>
      <c r="H10" s="771"/>
      <c r="I10" s="771"/>
      <c r="J10" s="771"/>
      <c r="K10" s="771"/>
      <c r="L10" s="771"/>
      <c r="M10" s="771"/>
      <c r="N10" s="771" t="s">
        <v>1229</v>
      </c>
      <c r="O10" s="771" t="s">
        <v>79</v>
      </c>
      <c r="P10" s="771" t="s">
        <v>91</v>
      </c>
      <c r="Q10" s="771"/>
      <c r="R10" s="771"/>
      <c r="S10" s="771"/>
      <c r="T10" s="771"/>
      <c r="U10" s="773"/>
      <c r="V10" s="772" t="s">
        <v>34</v>
      </c>
      <c r="W10" s="772" t="s">
        <v>35</v>
      </c>
      <c r="X10" s="772" t="s">
        <v>36</v>
      </c>
      <c r="Y10" s="773"/>
      <c r="Z10" s="771"/>
      <c r="AA10" s="771"/>
      <c r="AB10" s="771"/>
      <c r="AC10" s="781" t="s">
        <v>8</v>
      </c>
      <c r="AD10" s="781" t="s">
        <v>43</v>
      </c>
      <c r="AE10" s="781" t="s">
        <v>38</v>
      </c>
      <c r="AF10" s="771"/>
      <c r="AG10" s="771" t="s">
        <v>34</v>
      </c>
      <c r="AH10" s="771" t="s">
        <v>35</v>
      </c>
      <c r="AI10" s="771" t="s">
        <v>41</v>
      </c>
      <c r="AJ10" s="803" t="s">
        <v>8</v>
      </c>
      <c r="AK10" s="803" t="s">
        <v>43</v>
      </c>
      <c r="AL10" s="785" t="s">
        <v>38</v>
      </c>
      <c r="AM10" s="771"/>
      <c r="AN10" s="771" t="s">
        <v>34</v>
      </c>
      <c r="AO10" s="771" t="s">
        <v>35</v>
      </c>
      <c r="AP10" s="771" t="s">
        <v>41</v>
      </c>
      <c r="AQ10" s="803" t="s">
        <v>42</v>
      </c>
      <c r="AR10" s="803"/>
      <c r="AS10" s="803"/>
      <c r="AT10" s="803"/>
      <c r="AU10" s="771"/>
      <c r="AV10" s="771" t="s">
        <v>34</v>
      </c>
      <c r="AW10" s="771" t="s">
        <v>35</v>
      </c>
      <c r="AX10" s="771" t="s">
        <v>41</v>
      </c>
      <c r="AY10" s="803" t="s">
        <v>8</v>
      </c>
      <c r="AZ10" s="803" t="s">
        <v>43</v>
      </c>
      <c r="BA10" s="785" t="s">
        <v>38</v>
      </c>
      <c r="BB10" s="771"/>
      <c r="BC10" s="771" t="s">
        <v>34</v>
      </c>
      <c r="BD10" s="771" t="s">
        <v>35</v>
      </c>
      <c r="BE10" s="771" t="s">
        <v>41</v>
      </c>
      <c r="BF10" s="803" t="s">
        <v>42</v>
      </c>
      <c r="BG10" s="803"/>
      <c r="BH10" s="803"/>
      <c r="BI10" s="803"/>
      <c r="BJ10" s="771"/>
      <c r="BK10" s="771" t="s">
        <v>34</v>
      </c>
      <c r="BL10" s="771" t="s">
        <v>35</v>
      </c>
      <c r="BM10" s="771" t="s">
        <v>39</v>
      </c>
      <c r="BN10" s="771"/>
      <c r="BO10" s="771" t="s">
        <v>34</v>
      </c>
      <c r="BP10" s="771" t="s">
        <v>35</v>
      </c>
      <c r="BQ10" s="771" t="s">
        <v>39</v>
      </c>
      <c r="BR10" s="791"/>
      <c r="BS10" s="773"/>
      <c r="BT10" s="771"/>
    </row>
    <row r="11" spans="1:73" ht="54.75" customHeight="1">
      <c r="A11" s="771"/>
      <c r="B11" s="771"/>
      <c r="C11" s="771"/>
      <c r="D11" s="771"/>
      <c r="E11" s="771"/>
      <c r="F11" s="771"/>
      <c r="G11" s="771"/>
      <c r="H11" s="771"/>
      <c r="I11" s="771"/>
      <c r="J11" s="771"/>
      <c r="K11" s="771"/>
      <c r="L11" s="771"/>
      <c r="M11" s="771"/>
      <c r="N11" s="771"/>
      <c r="O11" s="771"/>
      <c r="P11" s="771"/>
      <c r="Q11" s="771"/>
      <c r="R11" s="771"/>
      <c r="S11" s="771"/>
      <c r="T11" s="771"/>
      <c r="U11" s="774"/>
      <c r="V11" s="774"/>
      <c r="W11" s="774"/>
      <c r="X11" s="774"/>
      <c r="Y11" s="774"/>
      <c r="Z11" s="771"/>
      <c r="AA11" s="771"/>
      <c r="AB11" s="771"/>
      <c r="AC11" s="783"/>
      <c r="AD11" s="783"/>
      <c r="AE11" s="783"/>
      <c r="AF11" s="771"/>
      <c r="AG11" s="771"/>
      <c r="AH11" s="771"/>
      <c r="AI11" s="771"/>
      <c r="AJ11" s="803"/>
      <c r="AK11" s="803"/>
      <c r="AL11" s="787"/>
      <c r="AM11" s="771"/>
      <c r="AN11" s="771"/>
      <c r="AO11" s="771"/>
      <c r="AP11" s="771"/>
      <c r="AQ11" s="408" t="s">
        <v>94</v>
      </c>
      <c r="AR11" s="408" t="s">
        <v>95</v>
      </c>
      <c r="AS11" s="408" t="s">
        <v>43</v>
      </c>
      <c r="AT11" s="408" t="s">
        <v>38</v>
      </c>
      <c r="AU11" s="771"/>
      <c r="AV11" s="771"/>
      <c r="AW11" s="771"/>
      <c r="AX11" s="771"/>
      <c r="AY11" s="803"/>
      <c r="AZ11" s="803"/>
      <c r="BA11" s="787"/>
      <c r="BB11" s="771"/>
      <c r="BC11" s="771"/>
      <c r="BD11" s="771"/>
      <c r="BE11" s="771"/>
      <c r="BF11" s="408" t="s">
        <v>94</v>
      </c>
      <c r="BG11" s="408" t="s">
        <v>95</v>
      </c>
      <c r="BH11" s="408" t="s">
        <v>43</v>
      </c>
      <c r="BI11" s="408" t="s">
        <v>38</v>
      </c>
      <c r="BJ11" s="771"/>
      <c r="BK11" s="771"/>
      <c r="BL11" s="771"/>
      <c r="BM11" s="771"/>
      <c r="BN11" s="771"/>
      <c r="BO11" s="771"/>
      <c r="BP11" s="771"/>
      <c r="BQ11" s="771"/>
      <c r="BR11" s="791"/>
      <c r="BS11" s="774"/>
      <c r="BT11" s="771"/>
    </row>
    <row r="12" spans="1:73" s="729" customFormat="1" ht="25.5" customHeight="1">
      <c r="A12" s="393">
        <v>1</v>
      </c>
      <c r="B12" s="393">
        <v>2</v>
      </c>
      <c r="C12" s="393">
        <v>3</v>
      </c>
      <c r="D12" s="393">
        <v>4</v>
      </c>
      <c r="E12" s="393">
        <v>5</v>
      </c>
      <c r="F12" s="393">
        <v>5</v>
      </c>
      <c r="G12" s="393">
        <v>6</v>
      </c>
      <c r="H12" s="393">
        <v>6</v>
      </c>
      <c r="I12" s="393">
        <v>7</v>
      </c>
      <c r="J12" s="393">
        <v>8</v>
      </c>
      <c r="K12" s="393">
        <v>9</v>
      </c>
      <c r="L12" s="393">
        <v>8</v>
      </c>
      <c r="M12" s="393">
        <v>9</v>
      </c>
      <c r="N12" s="393">
        <v>12</v>
      </c>
      <c r="O12" s="393">
        <v>13</v>
      </c>
      <c r="P12" s="393">
        <v>10</v>
      </c>
      <c r="Q12" s="393">
        <v>15</v>
      </c>
      <c r="R12" s="393">
        <v>16</v>
      </c>
      <c r="S12" s="393">
        <v>17</v>
      </c>
      <c r="T12" s="393">
        <v>18</v>
      </c>
      <c r="U12" s="393">
        <v>11</v>
      </c>
      <c r="V12" s="393">
        <v>20</v>
      </c>
      <c r="W12" s="393">
        <v>21</v>
      </c>
      <c r="X12" s="393">
        <v>12</v>
      </c>
      <c r="Y12" s="393">
        <v>13</v>
      </c>
      <c r="Z12" s="393">
        <v>24</v>
      </c>
      <c r="AA12" s="393">
        <v>25</v>
      </c>
      <c r="AB12" s="393">
        <v>26</v>
      </c>
      <c r="AC12" s="393">
        <v>14</v>
      </c>
      <c r="AD12" s="393">
        <v>15</v>
      </c>
      <c r="AE12" s="393">
        <v>16</v>
      </c>
      <c r="AF12" s="393">
        <v>31</v>
      </c>
      <c r="AG12" s="393">
        <v>32</v>
      </c>
      <c r="AH12" s="393">
        <v>33</v>
      </c>
      <c r="AI12" s="393">
        <v>34</v>
      </c>
      <c r="AJ12" s="393"/>
      <c r="AK12" s="393">
        <v>37</v>
      </c>
      <c r="AL12" s="393">
        <v>38</v>
      </c>
      <c r="AM12" s="393">
        <v>39</v>
      </c>
      <c r="AN12" s="393">
        <v>40</v>
      </c>
      <c r="AO12" s="393">
        <v>41</v>
      </c>
      <c r="AP12" s="393">
        <v>42</v>
      </c>
      <c r="AQ12" s="393">
        <v>43</v>
      </c>
      <c r="AR12" s="393">
        <v>44</v>
      </c>
      <c r="AS12" s="393">
        <v>45</v>
      </c>
      <c r="AT12" s="393">
        <v>46</v>
      </c>
      <c r="AU12" s="393">
        <v>17</v>
      </c>
      <c r="AV12" s="393">
        <v>48</v>
      </c>
      <c r="AW12" s="393">
        <v>49</v>
      </c>
      <c r="AX12" s="393">
        <v>50</v>
      </c>
      <c r="AY12" s="393">
        <v>18</v>
      </c>
      <c r="AZ12" s="393">
        <v>19</v>
      </c>
      <c r="BA12" s="393">
        <v>20</v>
      </c>
      <c r="BB12" s="393">
        <v>55</v>
      </c>
      <c r="BC12" s="393">
        <v>56</v>
      </c>
      <c r="BD12" s="393">
        <v>57</v>
      </c>
      <c r="BE12" s="393">
        <v>58</v>
      </c>
      <c r="BF12" s="393">
        <v>59</v>
      </c>
      <c r="BG12" s="393">
        <v>60</v>
      </c>
      <c r="BH12" s="393">
        <v>61</v>
      </c>
      <c r="BI12" s="393">
        <v>62</v>
      </c>
      <c r="BJ12" s="393">
        <v>63</v>
      </c>
      <c r="BK12" s="393">
        <v>64</v>
      </c>
      <c r="BL12" s="393">
        <v>65</v>
      </c>
      <c r="BM12" s="393">
        <v>66</v>
      </c>
      <c r="BN12" s="393">
        <v>67</v>
      </c>
      <c r="BO12" s="393">
        <v>68</v>
      </c>
      <c r="BP12" s="393">
        <v>69</v>
      </c>
      <c r="BQ12" s="393">
        <v>70</v>
      </c>
      <c r="BR12" s="398">
        <v>71</v>
      </c>
      <c r="BS12" s="398">
        <v>21</v>
      </c>
      <c r="BT12" s="728">
        <v>21</v>
      </c>
    </row>
    <row r="13" spans="1:73" ht="30.75" customHeight="1">
      <c r="A13" s="414"/>
      <c r="B13" s="414" t="s">
        <v>7</v>
      </c>
      <c r="C13" s="414"/>
      <c r="D13" s="414"/>
      <c r="E13" s="414"/>
      <c r="F13" s="414"/>
      <c r="G13" s="414"/>
      <c r="H13" s="609"/>
      <c r="I13" s="414"/>
      <c r="J13" s="414"/>
      <c r="K13" s="414"/>
      <c r="L13" s="414"/>
      <c r="M13" s="708">
        <f>M14+M244+M243</f>
        <v>1023135.5854409999</v>
      </c>
      <c r="N13" s="708">
        <f>N14+N244+N243</f>
        <v>49809</v>
      </c>
      <c r="O13" s="708">
        <f t="shared" ref="O13:BS13" si="0">O14+O244+O243</f>
        <v>15000</v>
      </c>
      <c r="P13" s="708">
        <f t="shared" si="0"/>
        <v>937398.33104100008</v>
      </c>
      <c r="Q13" s="708">
        <f t="shared" si="0"/>
        <v>0</v>
      </c>
      <c r="R13" s="708">
        <f t="shared" si="0"/>
        <v>0</v>
      </c>
      <c r="S13" s="708">
        <f t="shared" si="0"/>
        <v>0</v>
      </c>
      <c r="T13" s="708">
        <f t="shared" si="0"/>
        <v>0</v>
      </c>
      <c r="U13" s="708">
        <f t="shared" si="0"/>
        <v>0</v>
      </c>
      <c r="V13" s="708">
        <f t="shared" si="0"/>
        <v>0</v>
      </c>
      <c r="W13" s="708">
        <f t="shared" si="0"/>
        <v>0</v>
      </c>
      <c r="X13" s="708">
        <f t="shared" si="0"/>
        <v>0</v>
      </c>
      <c r="Y13" s="708">
        <f t="shared" si="0"/>
        <v>820545.99617099995</v>
      </c>
      <c r="Z13" s="708">
        <f t="shared" si="0"/>
        <v>0</v>
      </c>
      <c r="AA13" s="708">
        <f t="shared" si="0"/>
        <v>0</v>
      </c>
      <c r="AB13" s="708">
        <f t="shared" si="0"/>
        <v>820045.99617099995</v>
      </c>
      <c r="AC13" s="708">
        <f t="shared" si="0"/>
        <v>153465</v>
      </c>
      <c r="AD13" s="708">
        <f t="shared" si="0"/>
        <v>562461.99617099995</v>
      </c>
      <c r="AE13" s="708">
        <f t="shared" si="0"/>
        <v>104619</v>
      </c>
      <c r="AF13" s="708">
        <f t="shared" si="0"/>
        <v>392295.36217099999</v>
      </c>
      <c r="AG13" s="708">
        <f t="shared" si="0"/>
        <v>0</v>
      </c>
      <c r="AH13" s="708">
        <f t="shared" si="0"/>
        <v>0</v>
      </c>
      <c r="AI13" s="708">
        <f t="shared" si="0"/>
        <v>391795.36217099999</v>
      </c>
      <c r="AJ13" s="708">
        <f t="shared" si="0"/>
        <v>101491</v>
      </c>
      <c r="AK13" s="708">
        <f t="shared" si="0"/>
        <v>198379.36217099999</v>
      </c>
      <c r="AL13" s="708">
        <f t="shared" si="0"/>
        <v>92425</v>
      </c>
      <c r="AM13" s="708">
        <f t="shared" si="0"/>
        <v>92758.559101999999</v>
      </c>
      <c r="AN13" s="708">
        <f t="shared" si="0"/>
        <v>0</v>
      </c>
      <c r="AO13" s="708">
        <f t="shared" si="0"/>
        <v>1306.3889019999999</v>
      </c>
      <c r="AP13" s="708">
        <f t="shared" si="0"/>
        <v>91452.170200000008</v>
      </c>
      <c r="AQ13" s="708">
        <f t="shared" si="0"/>
        <v>39442.151750000005</v>
      </c>
      <c r="AR13" s="708">
        <f t="shared" si="0"/>
        <v>695</v>
      </c>
      <c r="AS13" s="708">
        <f t="shared" si="0"/>
        <v>51315.018450000003</v>
      </c>
      <c r="AT13" s="708">
        <f t="shared" si="0"/>
        <v>1306.3889019999999</v>
      </c>
      <c r="AU13" s="708">
        <f t="shared" si="0"/>
        <v>216623.99999999997</v>
      </c>
      <c r="AV13" s="708">
        <f t="shared" si="0"/>
        <v>0</v>
      </c>
      <c r="AW13" s="708">
        <f t="shared" si="0"/>
        <v>0</v>
      </c>
      <c r="AX13" s="708">
        <f t="shared" si="0"/>
        <v>216623.99999999997</v>
      </c>
      <c r="AY13" s="708">
        <f t="shared" si="0"/>
        <v>50624</v>
      </c>
      <c r="AZ13" s="708">
        <f t="shared" si="0"/>
        <v>166000</v>
      </c>
      <c r="BA13" s="708">
        <f t="shared" si="0"/>
        <v>0</v>
      </c>
      <c r="BB13" s="708">
        <f t="shared" si="0"/>
        <v>6597.6509219999998</v>
      </c>
      <c r="BC13" s="708">
        <f t="shared" si="0"/>
        <v>0</v>
      </c>
      <c r="BD13" s="708">
        <f t="shared" si="0"/>
        <v>0</v>
      </c>
      <c r="BE13" s="708">
        <f t="shared" si="0"/>
        <v>6597.6509219999998</v>
      </c>
      <c r="BF13" s="708">
        <f t="shared" si="0"/>
        <v>6597.6509219999998</v>
      </c>
      <c r="BG13" s="708">
        <f t="shared" si="0"/>
        <v>0</v>
      </c>
      <c r="BH13" s="708">
        <f t="shared" si="0"/>
        <v>0</v>
      </c>
      <c r="BI13" s="708">
        <f t="shared" si="0"/>
        <v>0</v>
      </c>
      <c r="BJ13" s="708">
        <f t="shared" si="0"/>
        <v>17.495999999999999</v>
      </c>
      <c r="BK13" s="708">
        <f t="shared" si="0"/>
        <v>0</v>
      </c>
      <c r="BL13" s="708">
        <f t="shared" si="0"/>
        <v>0</v>
      </c>
      <c r="BM13" s="708">
        <f t="shared" si="0"/>
        <v>41416.511078000003</v>
      </c>
      <c r="BN13" s="708">
        <f t="shared" si="0"/>
        <v>17.495999999999999</v>
      </c>
      <c r="BO13" s="708">
        <f t="shared" si="0"/>
        <v>0</v>
      </c>
      <c r="BP13" s="708">
        <f t="shared" si="0"/>
        <v>0</v>
      </c>
      <c r="BQ13" s="708">
        <f t="shared" si="0"/>
        <v>41416.511078000003</v>
      </c>
      <c r="BR13" s="708">
        <f t="shared" si="0"/>
        <v>20625</v>
      </c>
      <c r="BS13" s="708">
        <f t="shared" si="0"/>
        <v>56402.842077999994</v>
      </c>
      <c r="BT13" s="415"/>
      <c r="BU13" s="709"/>
    </row>
    <row r="14" spans="1:73" ht="42" customHeight="1">
      <c r="A14" s="418" t="s">
        <v>11</v>
      </c>
      <c r="B14" s="418" t="s">
        <v>3665</v>
      </c>
      <c r="C14" s="418"/>
      <c r="D14" s="454"/>
      <c r="E14" s="418"/>
      <c r="F14" s="418"/>
      <c r="G14" s="418"/>
      <c r="H14" s="454"/>
      <c r="I14" s="418"/>
      <c r="J14" s="418"/>
      <c r="K14" s="418"/>
      <c r="L14" s="418"/>
      <c r="M14" s="429">
        <f>M15+M133+M182</f>
        <v>1023135.5854409999</v>
      </c>
      <c r="N14" s="429">
        <f>N15+N133+N182</f>
        <v>49809</v>
      </c>
      <c r="O14" s="429">
        <f>O15+O133+O182</f>
        <v>15000</v>
      </c>
      <c r="P14" s="429">
        <f>P15+P133+P182</f>
        <v>937398.33104100008</v>
      </c>
      <c r="Q14" s="454"/>
      <c r="R14" s="454"/>
      <c r="S14" s="454"/>
      <c r="T14" s="454"/>
      <c r="U14" s="429">
        <f t="shared" ref="U14:BS14" si="1">U15+U133+U182</f>
        <v>0</v>
      </c>
      <c r="V14" s="429">
        <f t="shared" si="1"/>
        <v>0</v>
      </c>
      <c r="W14" s="429">
        <f t="shared" si="1"/>
        <v>0</v>
      </c>
      <c r="X14" s="429">
        <f t="shared" si="1"/>
        <v>0</v>
      </c>
      <c r="Y14" s="429">
        <f t="shared" si="1"/>
        <v>685034.198171</v>
      </c>
      <c r="Z14" s="429">
        <f t="shared" si="1"/>
        <v>0</v>
      </c>
      <c r="AA14" s="429">
        <f t="shared" si="1"/>
        <v>0</v>
      </c>
      <c r="AB14" s="429">
        <f t="shared" si="1"/>
        <v>684534.198171</v>
      </c>
      <c r="AC14" s="429">
        <f t="shared" si="1"/>
        <v>153083.83600000001</v>
      </c>
      <c r="AD14" s="429">
        <f t="shared" si="1"/>
        <v>440875.36217099999</v>
      </c>
      <c r="AE14" s="429">
        <f t="shared" si="1"/>
        <v>91075</v>
      </c>
      <c r="AF14" s="429">
        <f t="shared" si="1"/>
        <v>379373.36217099999</v>
      </c>
      <c r="AG14" s="429">
        <f t="shared" si="1"/>
        <v>0</v>
      </c>
      <c r="AH14" s="429">
        <f t="shared" si="1"/>
        <v>0</v>
      </c>
      <c r="AI14" s="429">
        <f t="shared" si="1"/>
        <v>378873.36217099999</v>
      </c>
      <c r="AJ14" s="429">
        <f t="shared" si="1"/>
        <v>101491</v>
      </c>
      <c r="AK14" s="429">
        <f t="shared" si="1"/>
        <v>185457.36217099999</v>
      </c>
      <c r="AL14" s="429">
        <f t="shared" si="1"/>
        <v>92425</v>
      </c>
      <c r="AM14" s="429">
        <f t="shared" si="1"/>
        <v>92758.559101999999</v>
      </c>
      <c r="AN14" s="429">
        <f t="shared" si="1"/>
        <v>0</v>
      </c>
      <c r="AO14" s="429">
        <f t="shared" si="1"/>
        <v>1306.3889019999999</v>
      </c>
      <c r="AP14" s="429">
        <f t="shared" si="1"/>
        <v>91452.170200000008</v>
      </c>
      <c r="AQ14" s="429">
        <f t="shared" si="1"/>
        <v>39442.151750000005</v>
      </c>
      <c r="AR14" s="429">
        <f t="shared" si="1"/>
        <v>695</v>
      </c>
      <c r="AS14" s="429">
        <f t="shared" si="1"/>
        <v>51315.018450000003</v>
      </c>
      <c r="AT14" s="429">
        <f t="shared" si="1"/>
        <v>1306.3889019999999</v>
      </c>
      <c r="AU14" s="429">
        <f t="shared" si="1"/>
        <v>199210.83599999998</v>
      </c>
      <c r="AV14" s="429">
        <f t="shared" si="1"/>
        <v>0</v>
      </c>
      <c r="AW14" s="429">
        <f t="shared" si="1"/>
        <v>0</v>
      </c>
      <c r="AX14" s="429">
        <f t="shared" si="1"/>
        <v>199210.83599999998</v>
      </c>
      <c r="AY14" s="429">
        <f t="shared" si="1"/>
        <v>50242.836000000003</v>
      </c>
      <c r="AZ14" s="429">
        <f t="shared" si="1"/>
        <v>148968</v>
      </c>
      <c r="BA14" s="429">
        <f t="shared" si="1"/>
        <v>0</v>
      </c>
      <c r="BB14" s="429">
        <f t="shared" si="1"/>
        <v>6597.6509219999998</v>
      </c>
      <c r="BC14" s="429">
        <f t="shared" si="1"/>
        <v>0</v>
      </c>
      <c r="BD14" s="429">
        <f t="shared" si="1"/>
        <v>0</v>
      </c>
      <c r="BE14" s="429">
        <f t="shared" si="1"/>
        <v>6597.6509219999998</v>
      </c>
      <c r="BF14" s="429">
        <f t="shared" si="1"/>
        <v>6597.6509219999998</v>
      </c>
      <c r="BG14" s="429">
        <f t="shared" si="1"/>
        <v>0</v>
      </c>
      <c r="BH14" s="429">
        <f t="shared" si="1"/>
        <v>0</v>
      </c>
      <c r="BI14" s="429">
        <f t="shared" si="1"/>
        <v>0</v>
      </c>
      <c r="BJ14" s="429">
        <f t="shared" si="1"/>
        <v>17.495999999999999</v>
      </c>
      <c r="BK14" s="429">
        <f t="shared" si="1"/>
        <v>0</v>
      </c>
      <c r="BL14" s="429">
        <f t="shared" si="1"/>
        <v>0</v>
      </c>
      <c r="BM14" s="429">
        <f t="shared" si="1"/>
        <v>41416.511078000003</v>
      </c>
      <c r="BN14" s="429">
        <f t="shared" si="1"/>
        <v>17.495999999999999</v>
      </c>
      <c r="BO14" s="429">
        <f t="shared" si="1"/>
        <v>0</v>
      </c>
      <c r="BP14" s="429">
        <f t="shared" si="1"/>
        <v>0</v>
      </c>
      <c r="BQ14" s="429">
        <f t="shared" si="1"/>
        <v>41416.511078000003</v>
      </c>
      <c r="BR14" s="429">
        <f t="shared" si="1"/>
        <v>20625</v>
      </c>
      <c r="BS14" s="429">
        <f t="shared" si="1"/>
        <v>55963.842077999994</v>
      </c>
      <c r="BT14" s="454" t="s">
        <v>3692</v>
      </c>
      <c r="BU14" s="709"/>
    </row>
    <row r="15" spans="1:73" ht="30" customHeight="1">
      <c r="A15" s="418" t="s">
        <v>12</v>
      </c>
      <c r="B15" s="418" t="s">
        <v>1230</v>
      </c>
      <c r="C15" s="418"/>
      <c r="D15" s="454"/>
      <c r="E15" s="730"/>
      <c r="F15" s="730"/>
      <c r="G15" s="731"/>
      <c r="H15" s="555"/>
      <c r="I15" s="551"/>
      <c r="J15" s="551"/>
      <c r="K15" s="730"/>
      <c r="L15" s="730"/>
      <c r="M15" s="713">
        <f>M16+M39+M52+M131</f>
        <v>797778.52984099998</v>
      </c>
      <c r="N15" s="713">
        <f>N16+N39+N52+N131</f>
        <v>9853</v>
      </c>
      <c r="O15" s="713">
        <f>O16+O39+O52+O131</f>
        <v>15000</v>
      </c>
      <c r="P15" s="713">
        <f>P16+P39+P52+P131</f>
        <v>764774.65904100006</v>
      </c>
      <c r="Q15" s="555"/>
      <c r="R15" s="555"/>
      <c r="S15" s="555"/>
      <c r="T15" s="555"/>
      <c r="U15" s="713">
        <f t="shared" ref="U15:BS15" si="2">U16+U39+U52+U131</f>
        <v>0</v>
      </c>
      <c r="V15" s="713">
        <f t="shared" si="2"/>
        <v>0</v>
      </c>
      <c r="W15" s="713">
        <f t="shared" si="2"/>
        <v>0</v>
      </c>
      <c r="X15" s="713">
        <f t="shared" si="2"/>
        <v>0</v>
      </c>
      <c r="Y15" s="713">
        <f t="shared" si="2"/>
        <v>599952.46017099998</v>
      </c>
      <c r="Z15" s="713">
        <f t="shared" si="2"/>
        <v>0</v>
      </c>
      <c r="AA15" s="713">
        <f t="shared" si="2"/>
        <v>0</v>
      </c>
      <c r="AB15" s="713">
        <f t="shared" si="2"/>
        <v>599452.46017099998</v>
      </c>
      <c r="AC15" s="713">
        <f t="shared" si="2"/>
        <v>136846.45200000002</v>
      </c>
      <c r="AD15" s="713">
        <f t="shared" si="2"/>
        <v>410252.00817099999</v>
      </c>
      <c r="AE15" s="713">
        <f t="shared" si="2"/>
        <v>52854</v>
      </c>
      <c r="AF15" s="713">
        <f t="shared" si="2"/>
        <v>297265.54317099997</v>
      </c>
      <c r="AG15" s="713">
        <f t="shared" si="2"/>
        <v>0</v>
      </c>
      <c r="AH15" s="713">
        <f t="shared" si="2"/>
        <v>0</v>
      </c>
      <c r="AI15" s="713">
        <f t="shared" si="2"/>
        <v>296765.54317099997</v>
      </c>
      <c r="AJ15" s="713">
        <f t="shared" si="2"/>
        <v>88902.535000000003</v>
      </c>
      <c r="AK15" s="713">
        <f t="shared" si="2"/>
        <v>154834.00817099999</v>
      </c>
      <c r="AL15" s="713">
        <f t="shared" si="2"/>
        <v>53529</v>
      </c>
      <c r="AM15" s="713">
        <f t="shared" si="2"/>
        <v>78316.813750000001</v>
      </c>
      <c r="AN15" s="713">
        <f t="shared" si="2"/>
        <v>0</v>
      </c>
      <c r="AO15" s="713">
        <f t="shared" si="2"/>
        <v>669.24199999999996</v>
      </c>
      <c r="AP15" s="713">
        <f t="shared" si="2"/>
        <v>77647.571750000003</v>
      </c>
      <c r="AQ15" s="713">
        <f t="shared" si="2"/>
        <v>35027.571750000003</v>
      </c>
      <c r="AR15" s="713">
        <f t="shared" si="2"/>
        <v>695</v>
      </c>
      <c r="AS15" s="713">
        <f t="shared" si="2"/>
        <v>41925</v>
      </c>
      <c r="AT15" s="713">
        <f t="shared" si="2"/>
        <v>669.24199999999996</v>
      </c>
      <c r="AU15" s="713">
        <f t="shared" si="2"/>
        <v>196318.91699999999</v>
      </c>
      <c r="AV15" s="713">
        <f t="shared" si="2"/>
        <v>0</v>
      </c>
      <c r="AW15" s="713">
        <f t="shared" si="2"/>
        <v>0</v>
      </c>
      <c r="AX15" s="713">
        <f t="shared" si="2"/>
        <v>196318.91699999999</v>
      </c>
      <c r="AY15" s="713">
        <f t="shared" si="2"/>
        <v>47350.917000000001</v>
      </c>
      <c r="AZ15" s="713">
        <f t="shared" si="2"/>
        <v>148968</v>
      </c>
      <c r="BA15" s="713">
        <f t="shared" si="2"/>
        <v>0</v>
      </c>
      <c r="BB15" s="713">
        <f t="shared" si="2"/>
        <v>4732.0709219999999</v>
      </c>
      <c r="BC15" s="713">
        <f t="shared" si="2"/>
        <v>0</v>
      </c>
      <c r="BD15" s="713">
        <f t="shared" si="2"/>
        <v>0</v>
      </c>
      <c r="BE15" s="713">
        <f t="shared" si="2"/>
        <v>4732.0709219999999</v>
      </c>
      <c r="BF15" s="713">
        <f t="shared" si="2"/>
        <v>4732.0709219999999</v>
      </c>
      <c r="BG15" s="713">
        <f t="shared" si="2"/>
        <v>0</v>
      </c>
      <c r="BH15" s="713">
        <f t="shared" si="2"/>
        <v>0</v>
      </c>
      <c r="BI15" s="713">
        <f t="shared" si="2"/>
        <v>0</v>
      </c>
      <c r="BJ15" s="713">
        <f t="shared" si="2"/>
        <v>17.495999999999999</v>
      </c>
      <c r="BK15" s="713">
        <f t="shared" si="2"/>
        <v>0</v>
      </c>
      <c r="BL15" s="713">
        <f t="shared" si="2"/>
        <v>0</v>
      </c>
      <c r="BM15" s="713">
        <f t="shared" si="2"/>
        <v>41416.511078000003</v>
      </c>
      <c r="BN15" s="713">
        <f t="shared" si="2"/>
        <v>17.495999999999999</v>
      </c>
      <c r="BO15" s="713">
        <f t="shared" si="2"/>
        <v>0</v>
      </c>
      <c r="BP15" s="713">
        <f t="shared" si="2"/>
        <v>0</v>
      </c>
      <c r="BQ15" s="713">
        <f t="shared" si="2"/>
        <v>41416.511078000003</v>
      </c>
      <c r="BR15" s="713">
        <f t="shared" si="2"/>
        <v>20625</v>
      </c>
      <c r="BS15" s="713">
        <f t="shared" si="2"/>
        <v>55963.842077999994</v>
      </c>
      <c r="BT15" s="555"/>
      <c r="BU15" s="709"/>
    </row>
    <row r="16" spans="1:73" ht="30" customHeight="1" outlineLevel="1">
      <c r="A16" s="553" t="s">
        <v>45</v>
      </c>
      <c r="B16" s="715" t="s">
        <v>46</v>
      </c>
      <c r="C16" s="418"/>
      <c r="D16" s="454"/>
      <c r="E16" s="418"/>
      <c r="F16" s="418"/>
      <c r="G16" s="418"/>
      <c r="H16" s="454"/>
      <c r="I16" s="418"/>
      <c r="J16" s="418"/>
      <c r="K16" s="418"/>
      <c r="L16" s="418"/>
      <c r="M16" s="429">
        <f>SUM(M17:M38)</f>
        <v>80822.916597999996</v>
      </c>
      <c r="N16" s="429">
        <f t="shared" ref="N16:BS16" si="3">SUM(N17:N38)</f>
        <v>0</v>
      </c>
      <c r="O16" s="429">
        <f t="shared" si="3"/>
        <v>0</v>
      </c>
      <c r="P16" s="429">
        <f t="shared" si="3"/>
        <v>80822.916597999996</v>
      </c>
      <c r="Q16" s="454">
        <f t="shared" si="3"/>
        <v>0</v>
      </c>
      <c r="R16" s="454">
        <f t="shared" si="3"/>
        <v>0</v>
      </c>
      <c r="S16" s="454">
        <f t="shared" si="3"/>
        <v>0</v>
      </c>
      <c r="T16" s="454">
        <f t="shared" si="3"/>
        <v>0</v>
      </c>
      <c r="U16" s="429">
        <f t="shared" si="3"/>
        <v>0</v>
      </c>
      <c r="V16" s="429">
        <f t="shared" si="3"/>
        <v>0</v>
      </c>
      <c r="W16" s="429">
        <f t="shared" si="3"/>
        <v>0</v>
      </c>
      <c r="X16" s="429">
        <f t="shared" si="3"/>
        <v>0</v>
      </c>
      <c r="Y16" s="429">
        <f t="shared" si="3"/>
        <v>723.68900000000008</v>
      </c>
      <c r="Z16" s="429">
        <f t="shared" si="3"/>
        <v>0</v>
      </c>
      <c r="AA16" s="429">
        <f t="shared" si="3"/>
        <v>0</v>
      </c>
      <c r="AB16" s="429">
        <f t="shared" si="3"/>
        <v>723.68900000000008</v>
      </c>
      <c r="AC16" s="429">
        <f t="shared" si="3"/>
        <v>723.68900000000008</v>
      </c>
      <c r="AD16" s="429">
        <f t="shared" si="3"/>
        <v>0</v>
      </c>
      <c r="AE16" s="429">
        <f t="shared" si="3"/>
        <v>0</v>
      </c>
      <c r="AF16" s="429">
        <f t="shared" si="3"/>
        <v>346.77199999999999</v>
      </c>
      <c r="AG16" s="429">
        <f t="shared" si="3"/>
        <v>0</v>
      </c>
      <c r="AH16" s="429">
        <f t="shared" si="3"/>
        <v>0</v>
      </c>
      <c r="AI16" s="429">
        <f t="shared" si="3"/>
        <v>346.77199999999999</v>
      </c>
      <c r="AJ16" s="429">
        <f t="shared" si="3"/>
        <v>346.77199999999999</v>
      </c>
      <c r="AK16" s="429">
        <f t="shared" si="3"/>
        <v>0</v>
      </c>
      <c r="AL16" s="429">
        <f t="shared" si="3"/>
        <v>0</v>
      </c>
      <c r="AM16" s="429">
        <f t="shared" si="3"/>
        <v>0</v>
      </c>
      <c r="AN16" s="429">
        <f t="shared" si="3"/>
        <v>0</v>
      </c>
      <c r="AO16" s="429">
        <f t="shared" si="3"/>
        <v>0</v>
      </c>
      <c r="AP16" s="429">
        <f t="shared" si="3"/>
        <v>0</v>
      </c>
      <c r="AQ16" s="429">
        <f t="shared" si="3"/>
        <v>0</v>
      </c>
      <c r="AR16" s="429">
        <f t="shared" si="3"/>
        <v>0</v>
      </c>
      <c r="AS16" s="429">
        <f t="shared" si="3"/>
        <v>0</v>
      </c>
      <c r="AT16" s="429">
        <f t="shared" si="3"/>
        <v>0</v>
      </c>
      <c r="AU16" s="429">
        <f t="shared" si="3"/>
        <v>376.91700000000003</v>
      </c>
      <c r="AV16" s="429">
        <f t="shared" si="3"/>
        <v>0</v>
      </c>
      <c r="AW16" s="429">
        <f t="shared" si="3"/>
        <v>0</v>
      </c>
      <c r="AX16" s="429">
        <f t="shared" si="3"/>
        <v>376.91700000000003</v>
      </c>
      <c r="AY16" s="429">
        <f t="shared" si="3"/>
        <v>376.91700000000003</v>
      </c>
      <c r="AZ16" s="429">
        <f t="shared" si="3"/>
        <v>0</v>
      </c>
      <c r="BA16" s="429">
        <f t="shared" si="3"/>
        <v>0</v>
      </c>
      <c r="BB16" s="429">
        <f t="shared" si="3"/>
        <v>0</v>
      </c>
      <c r="BC16" s="429">
        <f t="shared" si="3"/>
        <v>0</v>
      </c>
      <c r="BD16" s="429">
        <f t="shared" si="3"/>
        <v>0</v>
      </c>
      <c r="BE16" s="429">
        <f t="shared" si="3"/>
        <v>0</v>
      </c>
      <c r="BF16" s="429">
        <f t="shared" si="3"/>
        <v>0</v>
      </c>
      <c r="BG16" s="429">
        <f t="shared" si="3"/>
        <v>0</v>
      </c>
      <c r="BH16" s="429">
        <f t="shared" si="3"/>
        <v>0</v>
      </c>
      <c r="BI16" s="429">
        <f t="shared" si="3"/>
        <v>0</v>
      </c>
      <c r="BJ16" s="429">
        <f t="shared" si="3"/>
        <v>0</v>
      </c>
      <c r="BK16" s="429">
        <f t="shared" si="3"/>
        <v>0</v>
      </c>
      <c r="BL16" s="429">
        <f t="shared" si="3"/>
        <v>0</v>
      </c>
      <c r="BM16" s="429">
        <f t="shared" si="3"/>
        <v>0</v>
      </c>
      <c r="BN16" s="429">
        <f t="shared" si="3"/>
        <v>0</v>
      </c>
      <c r="BO16" s="429">
        <f t="shared" si="3"/>
        <v>0</v>
      </c>
      <c r="BP16" s="429">
        <f t="shared" si="3"/>
        <v>0</v>
      </c>
      <c r="BQ16" s="429">
        <f t="shared" si="3"/>
        <v>0</v>
      </c>
      <c r="BR16" s="429">
        <f t="shared" si="3"/>
        <v>0</v>
      </c>
      <c r="BS16" s="429">
        <f t="shared" si="3"/>
        <v>0</v>
      </c>
      <c r="BT16" s="454"/>
    </row>
    <row r="17" spans="1:72" ht="30.75" outlineLevel="1">
      <c r="A17" s="420">
        <v>1</v>
      </c>
      <c r="B17" s="710" t="s">
        <v>1231</v>
      </c>
      <c r="C17" s="420" t="s">
        <v>699</v>
      </c>
      <c r="D17" s="434" t="s">
        <v>1232</v>
      </c>
      <c r="E17" s="588" t="s">
        <v>49</v>
      </c>
      <c r="F17" s="588" t="s">
        <v>105</v>
      </c>
      <c r="G17" s="732">
        <v>7893543</v>
      </c>
      <c r="H17" s="434" t="s">
        <v>1233</v>
      </c>
      <c r="I17" s="422">
        <v>2021</v>
      </c>
      <c r="J17" s="422">
        <v>2021</v>
      </c>
      <c r="K17" s="588" t="s">
        <v>1234</v>
      </c>
      <c r="L17" s="588" t="s">
        <v>1235</v>
      </c>
      <c r="M17" s="448">
        <v>920</v>
      </c>
      <c r="N17" s="448"/>
      <c r="O17" s="448"/>
      <c r="P17" s="448">
        <v>920</v>
      </c>
      <c r="Q17" s="434" t="s">
        <v>1236</v>
      </c>
      <c r="R17" s="434" t="s">
        <v>1233</v>
      </c>
      <c r="S17" s="434" t="s">
        <v>1230</v>
      </c>
      <c r="T17" s="434" t="s">
        <v>1232</v>
      </c>
      <c r="U17" s="462"/>
      <c r="V17" s="462"/>
      <c r="W17" s="462"/>
      <c r="X17" s="462"/>
      <c r="Y17" s="145">
        <f>Z17+AA17+AB17</f>
        <v>4.548</v>
      </c>
      <c r="Z17" s="145"/>
      <c r="AA17" s="145"/>
      <c r="AB17" s="370">
        <f>AC17+AD17+AE17</f>
        <v>4.548</v>
      </c>
      <c r="AC17" s="370">
        <v>4.548</v>
      </c>
      <c r="AD17" s="145"/>
      <c r="AE17" s="145"/>
      <c r="AF17" s="145">
        <f>AG17+AH17+AI17</f>
        <v>4.548</v>
      </c>
      <c r="AG17" s="145"/>
      <c r="AH17" s="145"/>
      <c r="AI17" s="145">
        <f>AJ17+AK17+AL17</f>
        <v>4.548</v>
      </c>
      <c r="AJ17" s="145">
        <v>4.548</v>
      </c>
      <c r="AK17" s="145"/>
      <c r="AL17" s="145"/>
      <c r="AM17" s="145"/>
      <c r="AN17" s="145"/>
      <c r="AO17" s="145"/>
      <c r="AP17" s="145"/>
      <c r="AQ17" s="370"/>
      <c r="AR17" s="145"/>
      <c r="AS17" s="145"/>
      <c r="AT17" s="145"/>
      <c r="AU17" s="145">
        <f>AV17+AW17+AX17</f>
        <v>0</v>
      </c>
      <c r="AV17" s="145"/>
      <c r="AW17" s="145"/>
      <c r="AX17" s="145">
        <f>AY17+AZ17+BA17</f>
        <v>0</v>
      </c>
      <c r="AY17" s="145">
        <v>0</v>
      </c>
      <c r="AZ17" s="145"/>
      <c r="BA17" s="145"/>
      <c r="BB17" s="145"/>
      <c r="BC17" s="145"/>
      <c r="BD17" s="145"/>
      <c r="BE17" s="145"/>
      <c r="BF17" s="370"/>
      <c r="BG17" s="145"/>
      <c r="BH17" s="145"/>
      <c r="BI17" s="145"/>
      <c r="BJ17" s="145"/>
      <c r="BK17" s="145"/>
      <c r="BL17" s="145"/>
      <c r="BM17" s="370"/>
      <c r="BN17" s="145"/>
      <c r="BO17" s="145"/>
      <c r="BP17" s="145"/>
      <c r="BQ17" s="370"/>
      <c r="BR17" s="433"/>
      <c r="BS17" s="433"/>
      <c r="BT17" s="424"/>
    </row>
    <row r="18" spans="1:72" ht="30.75" outlineLevel="1">
      <c r="A18" s="420">
        <v>2</v>
      </c>
      <c r="B18" s="710" t="s">
        <v>1237</v>
      </c>
      <c r="C18" s="420" t="s">
        <v>1238</v>
      </c>
      <c r="D18" s="434" t="s">
        <v>1232</v>
      </c>
      <c r="E18" s="588" t="s">
        <v>49</v>
      </c>
      <c r="F18" s="588" t="s">
        <v>105</v>
      </c>
      <c r="G18" s="422" t="s">
        <v>1239</v>
      </c>
      <c r="H18" s="434" t="s">
        <v>1240</v>
      </c>
      <c r="I18" s="422">
        <v>2020</v>
      </c>
      <c r="J18" s="422">
        <v>2020</v>
      </c>
      <c r="K18" s="588" t="s">
        <v>1241</v>
      </c>
      <c r="L18" s="588" t="s">
        <v>1242</v>
      </c>
      <c r="M18" s="373">
        <v>1350</v>
      </c>
      <c r="N18" s="448"/>
      <c r="O18" s="448"/>
      <c r="P18" s="373">
        <v>1350</v>
      </c>
      <c r="Q18" s="434" t="s">
        <v>1243</v>
      </c>
      <c r="R18" s="434" t="s">
        <v>1240</v>
      </c>
      <c r="S18" s="434" t="s">
        <v>1230</v>
      </c>
      <c r="T18" s="434" t="s">
        <v>1232</v>
      </c>
      <c r="U18" s="462"/>
      <c r="V18" s="462"/>
      <c r="W18" s="462"/>
      <c r="X18" s="462"/>
      <c r="Y18" s="145">
        <f t="shared" ref="Y18:Y86" si="4">Z18+AA18+AB18</f>
        <v>7.6950000000000003</v>
      </c>
      <c r="Z18" s="145"/>
      <c r="AA18" s="145"/>
      <c r="AB18" s="370">
        <f t="shared" ref="AB18:AB86" si="5">AC18+AD18+AE18</f>
        <v>7.6950000000000003</v>
      </c>
      <c r="AC18" s="370">
        <v>7.6950000000000003</v>
      </c>
      <c r="AD18" s="145"/>
      <c r="AE18" s="145"/>
      <c r="AF18" s="145">
        <f t="shared" ref="AF18:AF86" si="6">AG18+AH18+AI18</f>
        <v>7.6950000000000003</v>
      </c>
      <c r="AG18" s="145"/>
      <c r="AH18" s="145"/>
      <c r="AI18" s="145">
        <f t="shared" ref="AI18:AI86" si="7">AJ18+AK18+AL18</f>
        <v>7.6950000000000003</v>
      </c>
      <c r="AJ18" s="145">
        <v>7.6950000000000003</v>
      </c>
      <c r="AK18" s="145"/>
      <c r="AL18" s="145"/>
      <c r="AM18" s="145"/>
      <c r="AN18" s="145"/>
      <c r="AO18" s="145"/>
      <c r="AP18" s="145"/>
      <c r="AQ18" s="370"/>
      <c r="AR18" s="145"/>
      <c r="AS18" s="145"/>
      <c r="AT18" s="145"/>
      <c r="AU18" s="145">
        <f t="shared" ref="AU18:AU86" si="8">AV18+AW18+AX18</f>
        <v>0</v>
      </c>
      <c r="AV18" s="145"/>
      <c r="AW18" s="145"/>
      <c r="AX18" s="145">
        <f t="shared" ref="AX18:AX86" si="9">AY18+AZ18+BA18</f>
        <v>0</v>
      </c>
      <c r="AY18" s="145">
        <v>0</v>
      </c>
      <c r="AZ18" s="145"/>
      <c r="BA18" s="145"/>
      <c r="BB18" s="145"/>
      <c r="BC18" s="145"/>
      <c r="BD18" s="145"/>
      <c r="BE18" s="145"/>
      <c r="BF18" s="370"/>
      <c r="BG18" s="145"/>
      <c r="BH18" s="145"/>
      <c r="BI18" s="145"/>
      <c r="BJ18" s="145"/>
      <c r="BK18" s="145"/>
      <c r="BL18" s="145"/>
      <c r="BM18" s="370"/>
      <c r="BN18" s="145"/>
      <c r="BO18" s="145"/>
      <c r="BP18" s="145"/>
      <c r="BQ18" s="370"/>
      <c r="BR18" s="433"/>
      <c r="BS18" s="433"/>
      <c r="BT18" s="424"/>
    </row>
    <row r="19" spans="1:72" ht="30.75" outlineLevel="1">
      <c r="A19" s="420">
        <v>3</v>
      </c>
      <c r="B19" s="710" t="s">
        <v>1244</v>
      </c>
      <c r="C19" s="420" t="s">
        <v>1238</v>
      </c>
      <c r="D19" s="434" t="s">
        <v>1232</v>
      </c>
      <c r="E19" s="588" t="s">
        <v>49</v>
      </c>
      <c r="F19" s="588" t="s">
        <v>105</v>
      </c>
      <c r="G19" s="422">
        <v>7790665</v>
      </c>
      <c r="H19" s="434" t="s">
        <v>1233</v>
      </c>
      <c r="I19" s="422">
        <v>2020</v>
      </c>
      <c r="J19" s="422">
        <v>2020</v>
      </c>
      <c r="K19" s="588" t="s">
        <v>1241</v>
      </c>
      <c r="L19" s="588" t="s">
        <v>1245</v>
      </c>
      <c r="M19" s="373">
        <v>2850</v>
      </c>
      <c r="N19" s="448"/>
      <c r="O19" s="448"/>
      <c r="P19" s="373">
        <v>2850</v>
      </c>
      <c r="Q19" s="434" t="s">
        <v>1246</v>
      </c>
      <c r="R19" s="434" t="s">
        <v>1233</v>
      </c>
      <c r="S19" s="434" t="s">
        <v>1230</v>
      </c>
      <c r="T19" s="434" t="s">
        <v>1232</v>
      </c>
      <c r="U19" s="462"/>
      <c r="V19" s="462"/>
      <c r="W19" s="462"/>
      <c r="X19" s="462"/>
      <c r="Y19" s="145">
        <f t="shared" si="4"/>
        <v>16.245000000000001</v>
      </c>
      <c r="Z19" s="145"/>
      <c r="AA19" s="145"/>
      <c r="AB19" s="370">
        <f t="shared" si="5"/>
        <v>16.245000000000001</v>
      </c>
      <c r="AC19" s="370">
        <v>16.245000000000001</v>
      </c>
      <c r="AD19" s="145"/>
      <c r="AE19" s="145"/>
      <c r="AF19" s="145">
        <f t="shared" si="6"/>
        <v>16.245000000000001</v>
      </c>
      <c r="AG19" s="145"/>
      <c r="AH19" s="145"/>
      <c r="AI19" s="145">
        <f t="shared" si="7"/>
        <v>16.245000000000001</v>
      </c>
      <c r="AJ19" s="145">
        <v>16.245000000000001</v>
      </c>
      <c r="AK19" s="145"/>
      <c r="AL19" s="145"/>
      <c r="AM19" s="145"/>
      <c r="AN19" s="145"/>
      <c r="AO19" s="145"/>
      <c r="AP19" s="145"/>
      <c r="AQ19" s="370"/>
      <c r="AR19" s="145"/>
      <c r="AS19" s="145"/>
      <c r="AT19" s="145"/>
      <c r="AU19" s="145">
        <f t="shared" si="8"/>
        <v>0</v>
      </c>
      <c r="AV19" s="145"/>
      <c r="AW19" s="145"/>
      <c r="AX19" s="145">
        <f t="shared" si="9"/>
        <v>0</v>
      </c>
      <c r="AY19" s="145">
        <v>0</v>
      </c>
      <c r="AZ19" s="145"/>
      <c r="BA19" s="145"/>
      <c r="BB19" s="145"/>
      <c r="BC19" s="145"/>
      <c r="BD19" s="145"/>
      <c r="BE19" s="145"/>
      <c r="BF19" s="370"/>
      <c r="BG19" s="145"/>
      <c r="BH19" s="145"/>
      <c r="BI19" s="145"/>
      <c r="BJ19" s="145"/>
      <c r="BK19" s="145"/>
      <c r="BL19" s="145"/>
      <c r="BM19" s="370"/>
      <c r="BN19" s="145"/>
      <c r="BO19" s="145"/>
      <c r="BP19" s="145"/>
      <c r="BQ19" s="370"/>
      <c r="BR19" s="433"/>
      <c r="BS19" s="433"/>
      <c r="BT19" s="424"/>
    </row>
    <row r="20" spans="1:72" ht="30.75" outlineLevel="1">
      <c r="A20" s="420">
        <v>4</v>
      </c>
      <c r="B20" s="710" t="s">
        <v>1247</v>
      </c>
      <c r="C20" s="420" t="s">
        <v>1238</v>
      </c>
      <c r="D20" s="434" t="s">
        <v>1232</v>
      </c>
      <c r="E20" s="588" t="s">
        <v>49</v>
      </c>
      <c r="F20" s="588" t="s">
        <v>105</v>
      </c>
      <c r="G20" s="422" t="s">
        <v>1248</v>
      </c>
      <c r="H20" s="434" t="s">
        <v>1233</v>
      </c>
      <c r="I20" s="422">
        <v>2020</v>
      </c>
      <c r="J20" s="422">
        <v>2020</v>
      </c>
      <c r="K20" s="588" t="s">
        <v>1241</v>
      </c>
      <c r="L20" s="588" t="s">
        <v>1249</v>
      </c>
      <c r="M20" s="373">
        <v>4150</v>
      </c>
      <c r="N20" s="448"/>
      <c r="O20" s="448"/>
      <c r="P20" s="373">
        <v>4150</v>
      </c>
      <c r="Q20" s="434" t="s">
        <v>1250</v>
      </c>
      <c r="R20" s="434" t="s">
        <v>1233</v>
      </c>
      <c r="S20" s="434" t="s">
        <v>1230</v>
      </c>
      <c r="T20" s="434" t="s">
        <v>1232</v>
      </c>
      <c r="U20" s="462"/>
      <c r="V20" s="462"/>
      <c r="W20" s="462"/>
      <c r="X20" s="462"/>
      <c r="Y20" s="145">
        <f t="shared" si="4"/>
        <v>23.655000000000001</v>
      </c>
      <c r="Z20" s="145"/>
      <c r="AA20" s="145"/>
      <c r="AB20" s="370">
        <f t="shared" si="5"/>
        <v>23.655000000000001</v>
      </c>
      <c r="AC20" s="370">
        <v>23.655000000000001</v>
      </c>
      <c r="AD20" s="145"/>
      <c r="AE20" s="145"/>
      <c r="AF20" s="145">
        <f t="shared" si="6"/>
        <v>23.655000000000001</v>
      </c>
      <c r="AG20" s="145"/>
      <c r="AH20" s="145"/>
      <c r="AI20" s="145">
        <f t="shared" si="7"/>
        <v>23.655000000000001</v>
      </c>
      <c r="AJ20" s="145">
        <v>23.655000000000001</v>
      </c>
      <c r="AK20" s="145"/>
      <c r="AL20" s="145"/>
      <c r="AM20" s="145"/>
      <c r="AN20" s="145"/>
      <c r="AO20" s="145"/>
      <c r="AP20" s="145"/>
      <c r="AQ20" s="370"/>
      <c r="AR20" s="145"/>
      <c r="AS20" s="145"/>
      <c r="AT20" s="145"/>
      <c r="AU20" s="145">
        <f t="shared" si="8"/>
        <v>0</v>
      </c>
      <c r="AV20" s="145"/>
      <c r="AW20" s="145"/>
      <c r="AX20" s="145">
        <f t="shared" si="9"/>
        <v>0</v>
      </c>
      <c r="AY20" s="145">
        <v>0</v>
      </c>
      <c r="AZ20" s="145"/>
      <c r="BA20" s="145"/>
      <c r="BB20" s="145"/>
      <c r="BC20" s="145"/>
      <c r="BD20" s="145"/>
      <c r="BE20" s="145"/>
      <c r="BF20" s="370"/>
      <c r="BG20" s="145"/>
      <c r="BH20" s="145"/>
      <c r="BI20" s="145"/>
      <c r="BJ20" s="145"/>
      <c r="BK20" s="145"/>
      <c r="BL20" s="145"/>
      <c r="BM20" s="370"/>
      <c r="BN20" s="145"/>
      <c r="BO20" s="145"/>
      <c r="BP20" s="145"/>
      <c r="BQ20" s="370"/>
      <c r="BR20" s="433"/>
      <c r="BS20" s="433"/>
      <c r="BT20" s="424"/>
    </row>
    <row r="21" spans="1:72" ht="30.75" outlineLevel="1">
      <c r="A21" s="420">
        <v>5</v>
      </c>
      <c r="B21" s="710" t="s">
        <v>1251</v>
      </c>
      <c r="C21" s="420" t="s">
        <v>1238</v>
      </c>
      <c r="D21" s="434" t="s">
        <v>1232</v>
      </c>
      <c r="E21" s="588" t="s">
        <v>49</v>
      </c>
      <c r="F21" s="588" t="s">
        <v>105</v>
      </c>
      <c r="G21" s="422" t="s">
        <v>1252</v>
      </c>
      <c r="H21" s="434" t="s">
        <v>1233</v>
      </c>
      <c r="I21" s="712" t="s">
        <v>80</v>
      </c>
      <c r="J21" s="422">
        <v>2019</v>
      </c>
      <c r="K21" s="420" t="s">
        <v>1241</v>
      </c>
      <c r="L21" s="420" t="s">
        <v>1253</v>
      </c>
      <c r="M21" s="373">
        <v>4980</v>
      </c>
      <c r="N21" s="448"/>
      <c r="O21" s="448"/>
      <c r="P21" s="373">
        <v>4980</v>
      </c>
      <c r="Q21" s="434" t="s">
        <v>1254</v>
      </c>
      <c r="R21" s="434" t="s">
        <v>1233</v>
      </c>
      <c r="S21" s="434" t="s">
        <v>1230</v>
      </c>
      <c r="T21" s="434" t="s">
        <v>1232</v>
      </c>
      <c r="U21" s="462"/>
      <c r="V21" s="462"/>
      <c r="W21" s="462"/>
      <c r="X21" s="462"/>
      <c r="Y21" s="145">
        <f t="shared" si="4"/>
        <v>28.385999999999999</v>
      </c>
      <c r="Z21" s="145"/>
      <c r="AA21" s="145"/>
      <c r="AB21" s="370">
        <f t="shared" si="5"/>
        <v>28.385999999999999</v>
      </c>
      <c r="AC21" s="370">
        <v>28.385999999999999</v>
      </c>
      <c r="AD21" s="145"/>
      <c r="AE21" s="145"/>
      <c r="AF21" s="145">
        <f t="shared" si="6"/>
        <v>28.385999999999999</v>
      </c>
      <c r="AG21" s="145"/>
      <c r="AH21" s="145"/>
      <c r="AI21" s="145">
        <f t="shared" si="7"/>
        <v>28.385999999999999</v>
      </c>
      <c r="AJ21" s="145">
        <v>28.385999999999999</v>
      </c>
      <c r="AK21" s="145"/>
      <c r="AL21" s="145"/>
      <c r="AM21" s="145"/>
      <c r="AN21" s="145"/>
      <c r="AO21" s="145"/>
      <c r="AP21" s="145"/>
      <c r="AQ21" s="370"/>
      <c r="AR21" s="145"/>
      <c r="AS21" s="145"/>
      <c r="AT21" s="145"/>
      <c r="AU21" s="145">
        <f t="shared" si="8"/>
        <v>0</v>
      </c>
      <c r="AV21" s="145"/>
      <c r="AW21" s="145"/>
      <c r="AX21" s="145">
        <f t="shared" si="9"/>
        <v>0</v>
      </c>
      <c r="AY21" s="145">
        <v>0</v>
      </c>
      <c r="AZ21" s="145"/>
      <c r="BA21" s="145"/>
      <c r="BB21" s="145"/>
      <c r="BC21" s="145"/>
      <c r="BD21" s="145"/>
      <c r="BE21" s="145"/>
      <c r="BF21" s="370"/>
      <c r="BG21" s="145"/>
      <c r="BH21" s="145"/>
      <c r="BI21" s="145"/>
      <c r="BJ21" s="145"/>
      <c r="BK21" s="145"/>
      <c r="BL21" s="145"/>
      <c r="BM21" s="370"/>
      <c r="BN21" s="145"/>
      <c r="BO21" s="145"/>
      <c r="BP21" s="145"/>
      <c r="BQ21" s="370"/>
      <c r="BR21" s="433"/>
      <c r="BS21" s="433"/>
      <c r="BT21" s="424"/>
    </row>
    <row r="22" spans="1:72" ht="30.75" outlineLevel="1">
      <c r="A22" s="420">
        <v>6</v>
      </c>
      <c r="B22" s="710" t="s">
        <v>1255</v>
      </c>
      <c r="C22" s="420" t="s">
        <v>1238</v>
      </c>
      <c r="D22" s="434" t="s">
        <v>1232</v>
      </c>
      <c r="E22" s="588" t="s">
        <v>49</v>
      </c>
      <c r="F22" s="588" t="s">
        <v>48</v>
      </c>
      <c r="G22" s="588">
        <v>7790788</v>
      </c>
      <c r="H22" s="434" t="s">
        <v>1233</v>
      </c>
      <c r="I22" s="712" t="s">
        <v>80</v>
      </c>
      <c r="J22" s="422">
        <v>2020</v>
      </c>
      <c r="K22" s="420" t="s">
        <v>1256</v>
      </c>
      <c r="L22" s="420" t="s">
        <v>1257</v>
      </c>
      <c r="M22" s="448">
        <v>332.7</v>
      </c>
      <c r="N22" s="448"/>
      <c r="O22" s="448"/>
      <c r="P22" s="448">
        <v>332.7</v>
      </c>
      <c r="Q22" s="434" t="s">
        <v>1258</v>
      </c>
      <c r="R22" s="434" t="s">
        <v>1233</v>
      </c>
      <c r="S22" s="434" t="s">
        <v>1230</v>
      </c>
      <c r="T22" s="434" t="s">
        <v>1232</v>
      </c>
      <c r="U22" s="462"/>
      <c r="V22" s="462"/>
      <c r="W22" s="462"/>
      <c r="X22" s="462"/>
      <c r="Y22" s="145">
        <f t="shared" si="4"/>
        <v>1.456</v>
      </c>
      <c r="Z22" s="145"/>
      <c r="AA22" s="145"/>
      <c r="AB22" s="370">
        <f t="shared" si="5"/>
        <v>1.456</v>
      </c>
      <c r="AC22" s="370">
        <v>1.456</v>
      </c>
      <c r="AD22" s="145"/>
      <c r="AE22" s="145"/>
      <c r="AF22" s="145">
        <f t="shared" si="6"/>
        <v>1.456</v>
      </c>
      <c r="AG22" s="145"/>
      <c r="AH22" s="145"/>
      <c r="AI22" s="145">
        <f t="shared" si="7"/>
        <v>1.456</v>
      </c>
      <c r="AJ22" s="145">
        <v>1.456</v>
      </c>
      <c r="AK22" s="145"/>
      <c r="AL22" s="145"/>
      <c r="AM22" s="145"/>
      <c r="AN22" s="145"/>
      <c r="AO22" s="145"/>
      <c r="AP22" s="145"/>
      <c r="AQ22" s="370"/>
      <c r="AR22" s="145"/>
      <c r="AS22" s="145"/>
      <c r="AT22" s="145"/>
      <c r="AU22" s="145">
        <f t="shared" si="8"/>
        <v>0</v>
      </c>
      <c r="AV22" s="145"/>
      <c r="AW22" s="145"/>
      <c r="AX22" s="145">
        <f t="shared" si="9"/>
        <v>0</v>
      </c>
      <c r="AY22" s="145">
        <v>0</v>
      </c>
      <c r="AZ22" s="145"/>
      <c r="BA22" s="145"/>
      <c r="BB22" s="145"/>
      <c r="BC22" s="145"/>
      <c r="BD22" s="145"/>
      <c r="BE22" s="145"/>
      <c r="BF22" s="370"/>
      <c r="BG22" s="145"/>
      <c r="BH22" s="145"/>
      <c r="BI22" s="145"/>
      <c r="BJ22" s="145"/>
      <c r="BK22" s="145"/>
      <c r="BL22" s="145"/>
      <c r="BM22" s="370"/>
      <c r="BN22" s="145"/>
      <c r="BO22" s="145"/>
      <c r="BP22" s="145"/>
      <c r="BQ22" s="370"/>
      <c r="BR22" s="433"/>
      <c r="BS22" s="433"/>
      <c r="BT22" s="424"/>
    </row>
    <row r="23" spans="1:72" ht="30.75" outlineLevel="1">
      <c r="A23" s="420">
        <v>7</v>
      </c>
      <c r="B23" s="710" t="s">
        <v>1259</v>
      </c>
      <c r="C23" s="420" t="s">
        <v>1238</v>
      </c>
      <c r="D23" s="434" t="s">
        <v>1232</v>
      </c>
      <c r="E23" s="588" t="s">
        <v>49</v>
      </c>
      <c r="F23" s="588" t="s">
        <v>48</v>
      </c>
      <c r="G23" s="588">
        <v>7790657</v>
      </c>
      <c r="H23" s="434" t="s">
        <v>1233</v>
      </c>
      <c r="I23" s="712" t="s">
        <v>80</v>
      </c>
      <c r="J23" s="422">
        <v>2020</v>
      </c>
      <c r="K23" s="420" t="s">
        <v>1256</v>
      </c>
      <c r="L23" s="420" t="s">
        <v>1260</v>
      </c>
      <c r="M23" s="448">
        <v>996.6</v>
      </c>
      <c r="N23" s="448"/>
      <c r="O23" s="448"/>
      <c r="P23" s="448">
        <v>996.6</v>
      </c>
      <c r="Q23" s="434" t="s">
        <v>1261</v>
      </c>
      <c r="R23" s="434" t="s">
        <v>1233</v>
      </c>
      <c r="S23" s="434" t="s">
        <v>1230</v>
      </c>
      <c r="T23" s="434" t="s">
        <v>1232</v>
      </c>
      <c r="U23" s="462"/>
      <c r="V23" s="462"/>
      <c r="W23" s="462"/>
      <c r="X23" s="462"/>
      <c r="Y23" s="145">
        <f t="shared" si="4"/>
        <v>4.3470000000000004</v>
      </c>
      <c r="Z23" s="145"/>
      <c r="AA23" s="145"/>
      <c r="AB23" s="370">
        <f t="shared" si="5"/>
        <v>4.3470000000000004</v>
      </c>
      <c r="AC23" s="370">
        <v>4.3470000000000004</v>
      </c>
      <c r="AD23" s="145"/>
      <c r="AE23" s="145"/>
      <c r="AF23" s="145">
        <f t="shared" si="6"/>
        <v>4.3470000000000004</v>
      </c>
      <c r="AG23" s="145"/>
      <c r="AH23" s="145"/>
      <c r="AI23" s="145">
        <f t="shared" si="7"/>
        <v>4.3470000000000004</v>
      </c>
      <c r="AJ23" s="145">
        <v>4.3470000000000004</v>
      </c>
      <c r="AK23" s="145"/>
      <c r="AL23" s="145"/>
      <c r="AM23" s="145"/>
      <c r="AN23" s="145"/>
      <c r="AO23" s="145"/>
      <c r="AP23" s="145"/>
      <c r="AQ23" s="370"/>
      <c r="AR23" s="145"/>
      <c r="AS23" s="145"/>
      <c r="AT23" s="145"/>
      <c r="AU23" s="145">
        <f t="shared" si="8"/>
        <v>0</v>
      </c>
      <c r="AV23" s="145"/>
      <c r="AW23" s="145"/>
      <c r="AX23" s="145">
        <f t="shared" si="9"/>
        <v>0</v>
      </c>
      <c r="AY23" s="145">
        <v>0</v>
      </c>
      <c r="AZ23" s="145"/>
      <c r="BA23" s="145"/>
      <c r="BB23" s="145"/>
      <c r="BC23" s="145"/>
      <c r="BD23" s="145"/>
      <c r="BE23" s="145"/>
      <c r="BF23" s="370"/>
      <c r="BG23" s="145"/>
      <c r="BH23" s="145"/>
      <c r="BI23" s="145"/>
      <c r="BJ23" s="145"/>
      <c r="BK23" s="145"/>
      <c r="BL23" s="145"/>
      <c r="BM23" s="370"/>
      <c r="BN23" s="145"/>
      <c r="BO23" s="145"/>
      <c r="BP23" s="145"/>
      <c r="BQ23" s="370"/>
      <c r="BR23" s="433"/>
      <c r="BS23" s="433"/>
      <c r="BT23" s="424"/>
    </row>
    <row r="24" spans="1:72" ht="30.75" outlineLevel="1">
      <c r="A24" s="420">
        <v>8</v>
      </c>
      <c r="B24" s="710" t="s">
        <v>1262</v>
      </c>
      <c r="C24" s="420" t="s">
        <v>1238</v>
      </c>
      <c r="D24" s="434" t="s">
        <v>1232</v>
      </c>
      <c r="E24" s="588" t="s">
        <v>49</v>
      </c>
      <c r="F24" s="588" t="s">
        <v>48</v>
      </c>
      <c r="G24" s="588">
        <v>7790789</v>
      </c>
      <c r="H24" s="434" t="s">
        <v>1233</v>
      </c>
      <c r="I24" s="712" t="s">
        <v>80</v>
      </c>
      <c r="J24" s="422">
        <v>2020</v>
      </c>
      <c r="K24" s="420" t="s">
        <v>1256</v>
      </c>
      <c r="L24" s="420" t="s">
        <v>1263</v>
      </c>
      <c r="M24" s="448">
        <v>615</v>
      </c>
      <c r="N24" s="448"/>
      <c r="O24" s="448"/>
      <c r="P24" s="448">
        <v>615</v>
      </c>
      <c r="Q24" s="434" t="s">
        <v>1264</v>
      </c>
      <c r="R24" s="434" t="s">
        <v>1233</v>
      </c>
      <c r="S24" s="434" t="s">
        <v>1230</v>
      </c>
      <c r="T24" s="434" t="s">
        <v>1232</v>
      </c>
      <c r="U24" s="462"/>
      <c r="V24" s="462"/>
      <c r="W24" s="462"/>
      <c r="X24" s="462"/>
      <c r="Y24" s="145">
        <f t="shared" si="4"/>
        <v>2.952</v>
      </c>
      <c r="Z24" s="145"/>
      <c r="AA24" s="145"/>
      <c r="AB24" s="370">
        <f t="shared" si="5"/>
        <v>2.952</v>
      </c>
      <c r="AC24" s="370">
        <v>2.952</v>
      </c>
      <c r="AD24" s="145"/>
      <c r="AE24" s="145"/>
      <c r="AF24" s="145">
        <f t="shared" si="6"/>
        <v>2.952</v>
      </c>
      <c r="AG24" s="145"/>
      <c r="AH24" s="145"/>
      <c r="AI24" s="145">
        <f t="shared" si="7"/>
        <v>2.952</v>
      </c>
      <c r="AJ24" s="145">
        <v>2.952</v>
      </c>
      <c r="AK24" s="145"/>
      <c r="AL24" s="145"/>
      <c r="AM24" s="145"/>
      <c r="AN24" s="145"/>
      <c r="AO24" s="145"/>
      <c r="AP24" s="145"/>
      <c r="AQ24" s="370"/>
      <c r="AR24" s="145"/>
      <c r="AS24" s="145"/>
      <c r="AT24" s="145"/>
      <c r="AU24" s="145">
        <f t="shared" si="8"/>
        <v>0</v>
      </c>
      <c r="AV24" s="145"/>
      <c r="AW24" s="145"/>
      <c r="AX24" s="145">
        <f t="shared" si="9"/>
        <v>0</v>
      </c>
      <c r="AY24" s="145">
        <v>0</v>
      </c>
      <c r="AZ24" s="145"/>
      <c r="BA24" s="145"/>
      <c r="BB24" s="145"/>
      <c r="BC24" s="145"/>
      <c r="BD24" s="145"/>
      <c r="BE24" s="145"/>
      <c r="BF24" s="370"/>
      <c r="BG24" s="145"/>
      <c r="BH24" s="145"/>
      <c r="BI24" s="145"/>
      <c r="BJ24" s="145"/>
      <c r="BK24" s="145"/>
      <c r="BL24" s="145"/>
      <c r="BM24" s="370"/>
      <c r="BN24" s="145"/>
      <c r="BO24" s="145"/>
      <c r="BP24" s="145"/>
      <c r="BQ24" s="370"/>
      <c r="BR24" s="433"/>
      <c r="BS24" s="433"/>
      <c r="BT24" s="424"/>
    </row>
    <row r="25" spans="1:72" ht="30.75" outlineLevel="1">
      <c r="A25" s="420">
        <v>9</v>
      </c>
      <c r="B25" s="710" t="s">
        <v>1265</v>
      </c>
      <c r="C25" s="420" t="s">
        <v>1238</v>
      </c>
      <c r="D25" s="434" t="s">
        <v>1232</v>
      </c>
      <c r="E25" s="588" t="s">
        <v>49</v>
      </c>
      <c r="F25" s="588" t="s">
        <v>105</v>
      </c>
      <c r="G25" s="733" t="s">
        <v>1266</v>
      </c>
      <c r="H25" s="434" t="s">
        <v>1267</v>
      </c>
      <c r="I25" s="422">
        <v>2021</v>
      </c>
      <c r="J25" s="422">
        <v>2021</v>
      </c>
      <c r="K25" s="420" t="s">
        <v>1268</v>
      </c>
      <c r="L25" s="420" t="s">
        <v>1269</v>
      </c>
      <c r="M25" s="448">
        <v>700</v>
      </c>
      <c r="N25" s="448"/>
      <c r="O25" s="448"/>
      <c r="P25" s="448">
        <v>700</v>
      </c>
      <c r="Q25" s="434"/>
      <c r="R25" s="434" t="s">
        <v>1267</v>
      </c>
      <c r="S25" s="434" t="s">
        <v>1230</v>
      </c>
      <c r="T25" s="434" t="s">
        <v>1232</v>
      </c>
      <c r="U25" s="462"/>
      <c r="V25" s="462"/>
      <c r="W25" s="462"/>
      <c r="X25" s="462"/>
      <c r="Y25" s="145">
        <f t="shared" si="4"/>
        <v>3.9580000000000002</v>
      </c>
      <c r="Z25" s="145"/>
      <c r="AA25" s="145"/>
      <c r="AB25" s="370">
        <f t="shared" si="5"/>
        <v>3.9580000000000002</v>
      </c>
      <c r="AC25" s="370">
        <v>3.9580000000000002</v>
      </c>
      <c r="AD25" s="145"/>
      <c r="AE25" s="145"/>
      <c r="AF25" s="145">
        <f t="shared" si="6"/>
        <v>3.9580000000000002</v>
      </c>
      <c r="AG25" s="145"/>
      <c r="AH25" s="145"/>
      <c r="AI25" s="145">
        <f t="shared" si="7"/>
        <v>3.9580000000000002</v>
      </c>
      <c r="AJ25" s="145">
        <v>3.9580000000000002</v>
      </c>
      <c r="AK25" s="145"/>
      <c r="AL25" s="145"/>
      <c r="AM25" s="145"/>
      <c r="AN25" s="145"/>
      <c r="AO25" s="145"/>
      <c r="AP25" s="145"/>
      <c r="AQ25" s="370"/>
      <c r="AR25" s="145"/>
      <c r="AS25" s="145"/>
      <c r="AT25" s="145"/>
      <c r="AU25" s="145">
        <f t="shared" si="8"/>
        <v>0</v>
      </c>
      <c r="AV25" s="145"/>
      <c r="AW25" s="145"/>
      <c r="AX25" s="145">
        <f t="shared" si="9"/>
        <v>0</v>
      </c>
      <c r="AY25" s="145">
        <v>0</v>
      </c>
      <c r="AZ25" s="145"/>
      <c r="BA25" s="145"/>
      <c r="BB25" s="145"/>
      <c r="BC25" s="145"/>
      <c r="BD25" s="145"/>
      <c r="BE25" s="145"/>
      <c r="BF25" s="370"/>
      <c r="BG25" s="145"/>
      <c r="BH25" s="145"/>
      <c r="BI25" s="145"/>
      <c r="BJ25" s="145"/>
      <c r="BK25" s="145"/>
      <c r="BL25" s="145"/>
      <c r="BM25" s="370"/>
      <c r="BN25" s="145"/>
      <c r="BO25" s="145"/>
      <c r="BP25" s="145"/>
      <c r="BQ25" s="370"/>
      <c r="BR25" s="433"/>
      <c r="BS25" s="433"/>
      <c r="BT25" s="424"/>
    </row>
    <row r="26" spans="1:72" ht="30.75" outlineLevel="1">
      <c r="A26" s="420">
        <v>10</v>
      </c>
      <c r="B26" s="710" t="s">
        <v>1270</v>
      </c>
      <c r="C26" s="420" t="s">
        <v>1238</v>
      </c>
      <c r="D26" s="434" t="s">
        <v>1232</v>
      </c>
      <c r="E26" s="588" t="s">
        <v>49</v>
      </c>
      <c r="F26" s="588" t="s">
        <v>82</v>
      </c>
      <c r="G26" s="588">
        <v>7714548</v>
      </c>
      <c r="H26" s="434" t="s">
        <v>1233</v>
      </c>
      <c r="I26" s="422">
        <v>2018</v>
      </c>
      <c r="J26" s="422">
        <v>2018</v>
      </c>
      <c r="K26" s="420" t="s">
        <v>1271</v>
      </c>
      <c r="L26" s="420" t="s">
        <v>1272</v>
      </c>
      <c r="M26" s="448">
        <v>30000</v>
      </c>
      <c r="N26" s="448"/>
      <c r="O26" s="448"/>
      <c r="P26" s="448">
        <v>30000</v>
      </c>
      <c r="Q26" s="434"/>
      <c r="R26" s="434" t="s">
        <v>1233</v>
      </c>
      <c r="S26" s="434" t="s">
        <v>1230</v>
      </c>
      <c r="T26" s="434" t="s">
        <v>1232</v>
      </c>
      <c r="U26" s="462"/>
      <c r="V26" s="462"/>
      <c r="W26" s="462"/>
      <c r="X26" s="462"/>
      <c r="Y26" s="145">
        <f t="shared" si="4"/>
        <v>207.01400000000001</v>
      </c>
      <c r="Z26" s="145"/>
      <c r="AA26" s="145"/>
      <c r="AB26" s="370">
        <f t="shared" si="5"/>
        <v>207.01400000000001</v>
      </c>
      <c r="AC26" s="370">
        <v>207.01400000000001</v>
      </c>
      <c r="AD26" s="145"/>
      <c r="AE26" s="145"/>
      <c r="AF26" s="145">
        <f t="shared" si="6"/>
        <v>207.01400000000001</v>
      </c>
      <c r="AG26" s="145"/>
      <c r="AH26" s="145"/>
      <c r="AI26" s="145">
        <f t="shared" si="7"/>
        <v>207.01400000000001</v>
      </c>
      <c r="AJ26" s="145">
        <v>207.01400000000001</v>
      </c>
      <c r="AK26" s="145"/>
      <c r="AL26" s="145"/>
      <c r="AM26" s="145"/>
      <c r="AN26" s="145"/>
      <c r="AO26" s="145"/>
      <c r="AP26" s="145"/>
      <c r="AQ26" s="370"/>
      <c r="AR26" s="145"/>
      <c r="AS26" s="145"/>
      <c r="AT26" s="145"/>
      <c r="AU26" s="145">
        <f t="shared" si="8"/>
        <v>0</v>
      </c>
      <c r="AV26" s="145"/>
      <c r="AW26" s="145"/>
      <c r="AX26" s="145">
        <f t="shared" si="9"/>
        <v>0</v>
      </c>
      <c r="AY26" s="145">
        <v>0</v>
      </c>
      <c r="AZ26" s="145"/>
      <c r="BA26" s="145"/>
      <c r="BB26" s="145"/>
      <c r="BC26" s="145"/>
      <c r="BD26" s="145"/>
      <c r="BE26" s="145"/>
      <c r="BF26" s="370"/>
      <c r="BG26" s="145"/>
      <c r="BH26" s="145"/>
      <c r="BI26" s="145"/>
      <c r="BJ26" s="145"/>
      <c r="BK26" s="145"/>
      <c r="BL26" s="145"/>
      <c r="BM26" s="370"/>
      <c r="BN26" s="145"/>
      <c r="BO26" s="145"/>
      <c r="BP26" s="145"/>
      <c r="BQ26" s="370"/>
      <c r="BR26" s="433"/>
      <c r="BS26" s="433"/>
      <c r="BT26" s="424"/>
    </row>
    <row r="27" spans="1:72" ht="30.75" outlineLevel="1">
      <c r="A27" s="420">
        <v>11</v>
      </c>
      <c r="B27" s="710" t="s">
        <v>1273</v>
      </c>
      <c r="C27" s="420" t="s">
        <v>1238</v>
      </c>
      <c r="D27" s="434" t="s">
        <v>1232</v>
      </c>
      <c r="E27" s="588" t="s">
        <v>49</v>
      </c>
      <c r="F27" s="588" t="s">
        <v>105</v>
      </c>
      <c r="G27" s="420">
        <v>7939114</v>
      </c>
      <c r="H27" s="434" t="s">
        <v>1233</v>
      </c>
      <c r="I27" s="712" t="s">
        <v>756</v>
      </c>
      <c r="J27" s="422">
        <v>2022</v>
      </c>
      <c r="K27" s="422"/>
      <c r="L27" s="420" t="s">
        <v>1274</v>
      </c>
      <c r="M27" s="453">
        <v>650</v>
      </c>
      <c r="N27" s="448"/>
      <c r="O27" s="448"/>
      <c r="P27" s="453">
        <v>650</v>
      </c>
      <c r="Q27" s="420" t="s">
        <v>1275</v>
      </c>
      <c r="R27" s="434" t="s">
        <v>1233</v>
      </c>
      <c r="S27" s="434" t="s">
        <v>1230</v>
      </c>
      <c r="T27" s="434" t="s">
        <v>1232</v>
      </c>
      <c r="U27" s="462"/>
      <c r="V27" s="462"/>
      <c r="W27" s="462"/>
      <c r="X27" s="462"/>
      <c r="Y27" s="145">
        <f t="shared" si="4"/>
        <v>3.6110000000000002</v>
      </c>
      <c r="Z27" s="145"/>
      <c r="AA27" s="145"/>
      <c r="AB27" s="370">
        <f t="shared" si="5"/>
        <v>3.6110000000000002</v>
      </c>
      <c r="AC27" s="370">
        <v>3.6110000000000002</v>
      </c>
      <c r="AD27" s="145"/>
      <c r="AE27" s="145"/>
      <c r="AF27" s="145">
        <f t="shared" si="6"/>
        <v>3.6110000000000002</v>
      </c>
      <c r="AG27" s="145"/>
      <c r="AH27" s="145"/>
      <c r="AI27" s="145">
        <f t="shared" si="7"/>
        <v>3.6110000000000002</v>
      </c>
      <c r="AJ27" s="145">
        <v>3.6110000000000002</v>
      </c>
      <c r="AK27" s="145"/>
      <c r="AL27" s="145"/>
      <c r="AM27" s="145"/>
      <c r="AN27" s="145"/>
      <c r="AO27" s="145"/>
      <c r="AP27" s="145"/>
      <c r="AQ27" s="370"/>
      <c r="AR27" s="145"/>
      <c r="AS27" s="145"/>
      <c r="AT27" s="145"/>
      <c r="AU27" s="145">
        <f t="shared" si="8"/>
        <v>0</v>
      </c>
      <c r="AV27" s="145"/>
      <c r="AW27" s="145"/>
      <c r="AX27" s="145">
        <f t="shared" si="9"/>
        <v>0</v>
      </c>
      <c r="AY27" s="145">
        <v>0</v>
      </c>
      <c r="AZ27" s="145"/>
      <c r="BA27" s="145"/>
      <c r="BB27" s="145"/>
      <c r="BC27" s="145"/>
      <c r="BD27" s="145"/>
      <c r="BE27" s="145"/>
      <c r="BF27" s="370"/>
      <c r="BG27" s="145"/>
      <c r="BH27" s="145"/>
      <c r="BI27" s="145"/>
      <c r="BJ27" s="145"/>
      <c r="BK27" s="145"/>
      <c r="BL27" s="145"/>
      <c r="BM27" s="370"/>
      <c r="BN27" s="145"/>
      <c r="BO27" s="145"/>
      <c r="BP27" s="145"/>
      <c r="BQ27" s="370"/>
      <c r="BR27" s="433"/>
      <c r="BS27" s="433"/>
      <c r="BT27" s="424"/>
    </row>
    <row r="28" spans="1:72" ht="30.75" outlineLevel="1">
      <c r="A28" s="420">
        <v>12</v>
      </c>
      <c r="B28" s="710" t="s">
        <v>1276</v>
      </c>
      <c r="C28" s="420" t="s">
        <v>1238</v>
      </c>
      <c r="D28" s="434" t="s">
        <v>1232</v>
      </c>
      <c r="E28" s="588" t="s">
        <v>49</v>
      </c>
      <c r="F28" s="588" t="s">
        <v>1035</v>
      </c>
      <c r="G28" s="420">
        <v>7790782</v>
      </c>
      <c r="H28" s="434" t="s">
        <v>1267</v>
      </c>
      <c r="I28" s="712" t="s">
        <v>69</v>
      </c>
      <c r="J28" s="422">
        <v>2020</v>
      </c>
      <c r="K28" s="420" t="s">
        <v>1277</v>
      </c>
      <c r="L28" s="420" t="s">
        <v>1278</v>
      </c>
      <c r="M28" s="448">
        <v>12393.816000000001</v>
      </c>
      <c r="N28" s="448"/>
      <c r="O28" s="448"/>
      <c r="P28" s="448">
        <v>12393.816000000001</v>
      </c>
      <c r="Q28" s="420" t="s">
        <v>1279</v>
      </c>
      <c r="R28" s="434" t="s">
        <v>1267</v>
      </c>
      <c r="S28" s="434" t="s">
        <v>1230</v>
      </c>
      <c r="T28" s="434" t="s">
        <v>1232</v>
      </c>
      <c r="U28" s="462"/>
      <c r="V28" s="462"/>
      <c r="W28" s="462"/>
      <c r="X28" s="462"/>
      <c r="Y28" s="145">
        <f t="shared" si="4"/>
        <v>36.546999999999997</v>
      </c>
      <c r="Z28" s="145"/>
      <c r="AA28" s="145"/>
      <c r="AB28" s="370">
        <f t="shared" si="5"/>
        <v>36.546999999999997</v>
      </c>
      <c r="AC28" s="370">
        <v>36.546999999999997</v>
      </c>
      <c r="AD28" s="145"/>
      <c r="AE28" s="145"/>
      <c r="AF28" s="145">
        <f t="shared" si="6"/>
        <v>36.546999999999997</v>
      </c>
      <c r="AG28" s="145"/>
      <c r="AH28" s="145"/>
      <c r="AI28" s="145">
        <f t="shared" si="7"/>
        <v>36.546999999999997</v>
      </c>
      <c r="AJ28" s="145">
        <v>36.546999999999997</v>
      </c>
      <c r="AK28" s="145"/>
      <c r="AL28" s="145"/>
      <c r="AM28" s="145"/>
      <c r="AN28" s="145"/>
      <c r="AO28" s="145"/>
      <c r="AP28" s="145"/>
      <c r="AQ28" s="370"/>
      <c r="AR28" s="145"/>
      <c r="AS28" s="145"/>
      <c r="AT28" s="145"/>
      <c r="AU28" s="145">
        <f t="shared" si="8"/>
        <v>0</v>
      </c>
      <c r="AV28" s="145"/>
      <c r="AW28" s="145"/>
      <c r="AX28" s="145">
        <f t="shared" si="9"/>
        <v>0</v>
      </c>
      <c r="AY28" s="145">
        <v>0</v>
      </c>
      <c r="AZ28" s="145"/>
      <c r="BA28" s="145"/>
      <c r="BB28" s="145"/>
      <c r="BC28" s="145"/>
      <c r="BD28" s="145"/>
      <c r="BE28" s="145"/>
      <c r="BF28" s="370"/>
      <c r="BG28" s="145"/>
      <c r="BH28" s="145"/>
      <c r="BI28" s="145"/>
      <c r="BJ28" s="145"/>
      <c r="BK28" s="145"/>
      <c r="BL28" s="145"/>
      <c r="BM28" s="370"/>
      <c r="BN28" s="145"/>
      <c r="BO28" s="145"/>
      <c r="BP28" s="145"/>
      <c r="BQ28" s="370"/>
      <c r="BR28" s="433"/>
      <c r="BS28" s="433"/>
      <c r="BT28" s="424"/>
    </row>
    <row r="29" spans="1:72" ht="46.15" outlineLevel="1">
      <c r="A29" s="420">
        <v>13</v>
      </c>
      <c r="B29" s="710" t="s">
        <v>1280</v>
      </c>
      <c r="C29" s="420" t="s">
        <v>1281</v>
      </c>
      <c r="D29" s="434" t="s">
        <v>1232</v>
      </c>
      <c r="E29" s="588" t="s">
        <v>49</v>
      </c>
      <c r="F29" s="588" t="s">
        <v>1282</v>
      </c>
      <c r="G29" s="438">
        <v>7892241</v>
      </c>
      <c r="H29" s="434" t="s">
        <v>1233</v>
      </c>
      <c r="I29" s="712">
        <v>2021</v>
      </c>
      <c r="J29" s="422">
        <v>2021</v>
      </c>
      <c r="K29" s="420" t="s">
        <v>1234</v>
      </c>
      <c r="L29" s="585" t="s">
        <v>1283</v>
      </c>
      <c r="M29" s="370">
        <v>1178.579</v>
      </c>
      <c r="N29" s="448"/>
      <c r="O29" s="448"/>
      <c r="P29" s="370">
        <v>1178.579</v>
      </c>
      <c r="Q29" s="434" t="s">
        <v>1284</v>
      </c>
      <c r="R29" s="434" t="s">
        <v>1233</v>
      </c>
      <c r="S29" s="434" t="s">
        <v>1230</v>
      </c>
      <c r="T29" s="434" t="s">
        <v>1232</v>
      </c>
      <c r="U29" s="462"/>
      <c r="V29" s="462"/>
      <c r="W29" s="462"/>
      <c r="X29" s="462"/>
      <c r="Y29" s="145">
        <f t="shared" si="4"/>
        <v>6.3579999999999997</v>
      </c>
      <c r="Z29" s="145"/>
      <c r="AA29" s="145"/>
      <c r="AB29" s="370">
        <f t="shared" si="5"/>
        <v>6.3579999999999997</v>
      </c>
      <c r="AC29" s="370">
        <v>6.3579999999999997</v>
      </c>
      <c r="AD29" s="145"/>
      <c r="AE29" s="145"/>
      <c r="AF29" s="145">
        <f t="shared" si="6"/>
        <v>6.3579999999999997</v>
      </c>
      <c r="AG29" s="145"/>
      <c r="AH29" s="145"/>
      <c r="AI29" s="145">
        <f t="shared" si="7"/>
        <v>6.3579999999999997</v>
      </c>
      <c r="AJ29" s="145">
        <v>6.3579999999999997</v>
      </c>
      <c r="AK29" s="145"/>
      <c r="AL29" s="145"/>
      <c r="AM29" s="145"/>
      <c r="AN29" s="145"/>
      <c r="AO29" s="145"/>
      <c r="AP29" s="145"/>
      <c r="AQ29" s="370"/>
      <c r="AR29" s="145"/>
      <c r="AS29" s="145"/>
      <c r="AT29" s="145"/>
      <c r="AU29" s="145">
        <f t="shared" si="8"/>
        <v>0</v>
      </c>
      <c r="AV29" s="145"/>
      <c r="AW29" s="145"/>
      <c r="AX29" s="145">
        <f t="shared" si="9"/>
        <v>0</v>
      </c>
      <c r="AY29" s="145">
        <v>0</v>
      </c>
      <c r="AZ29" s="145"/>
      <c r="BA29" s="145"/>
      <c r="BB29" s="145"/>
      <c r="BC29" s="145"/>
      <c r="BD29" s="145"/>
      <c r="BE29" s="145"/>
      <c r="BF29" s="370"/>
      <c r="BG29" s="145"/>
      <c r="BH29" s="145"/>
      <c r="BI29" s="145"/>
      <c r="BJ29" s="145"/>
      <c r="BK29" s="145"/>
      <c r="BL29" s="145"/>
      <c r="BM29" s="370"/>
      <c r="BN29" s="145"/>
      <c r="BO29" s="145"/>
      <c r="BP29" s="145"/>
      <c r="BQ29" s="370"/>
      <c r="BR29" s="433"/>
      <c r="BS29" s="433"/>
      <c r="BT29" s="424"/>
    </row>
    <row r="30" spans="1:72" ht="46.15" outlineLevel="1">
      <c r="A30" s="420">
        <v>14</v>
      </c>
      <c r="B30" s="710" t="s">
        <v>1285</v>
      </c>
      <c r="C30" s="420" t="s">
        <v>1281</v>
      </c>
      <c r="D30" s="434" t="s">
        <v>1232</v>
      </c>
      <c r="E30" s="588" t="s">
        <v>49</v>
      </c>
      <c r="F30" s="588" t="s">
        <v>82</v>
      </c>
      <c r="G30" s="438">
        <v>7941000</v>
      </c>
      <c r="H30" s="434" t="s">
        <v>1233</v>
      </c>
      <c r="I30" s="712" t="s">
        <v>76</v>
      </c>
      <c r="J30" s="422">
        <v>2022</v>
      </c>
      <c r="K30" s="420" t="s">
        <v>1286</v>
      </c>
      <c r="L30" s="585" t="s">
        <v>1287</v>
      </c>
      <c r="M30" s="370">
        <v>1499.2215980000001</v>
      </c>
      <c r="N30" s="448"/>
      <c r="O30" s="448"/>
      <c r="P30" s="370">
        <v>1499.2215980000001</v>
      </c>
      <c r="Q30" s="434" t="s">
        <v>1288</v>
      </c>
      <c r="R30" s="434" t="s">
        <v>1233</v>
      </c>
      <c r="S30" s="434" t="s">
        <v>1230</v>
      </c>
      <c r="T30" s="434" t="s">
        <v>1232</v>
      </c>
      <c r="U30" s="462"/>
      <c r="V30" s="462"/>
      <c r="W30" s="462"/>
      <c r="X30" s="462"/>
      <c r="Y30" s="145">
        <f t="shared" si="4"/>
        <v>103.78100000000001</v>
      </c>
      <c r="Z30" s="145"/>
      <c r="AA30" s="145"/>
      <c r="AB30" s="370">
        <f t="shared" si="5"/>
        <v>103.78100000000001</v>
      </c>
      <c r="AC30" s="370">
        <v>103.78100000000001</v>
      </c>
      <c r="AD30" s="145"/>
      <c r="AE30" s="145"/>
      <c r="AF30" s="145">
        <f t="shared" si="6"/>
        <v>0</v>
      </c>
      <c r="AG30" s="145"/>
      <c r="AH30" s="145"/>
      <c r="AI30" s="145">
        <f t="shared" si="7"/>
        <v>0</v>
      </c>
      <c r="AJ30" s="145">
        <v>0</v>
      </c>
      <c r="AK30" s="145"/>
      <c r="AL30" s="145"/>
      <c r="AM30" s="145"/>
      <c r="AN30" s="145"/>
      <c r="AO30" s="145"/>
      <c r="AP30" s="145"/>
      <c r="AQ30" s="370"/>
      <c r="AR30" s="145"/>
      <c r="AS30" s="145"/>
      <c r="AT30" s="145"/>
      <c r="AU30" s="145">
        <f t="shared" si="8"/>
        <v>103.78100000000001</v>
      </c>
      <c r="AV30" s="145"/>
      <c r="AW30" s="145"/>
      <c r="AX30" s="145">
        <f t="shared" si="9"/>
        <v>103.78100000000001</v>
      </c>
      <c r="AY30" s="145">
        <v>103.78100000000001</v>
      </c>
      <c r="AZ30" s="145"/>
      <c r="BA30" s="145"/>
      <c r="BB30" s="145"/>
      <c r="BC30" s="145"/>
      <c r="BD30" s="145"/>
      <c r="BE30" s="145"/>
      <c r="BF30" s="370"/>
      <c r="BG30" s="145"/>
      <c r="BH30" s="145"/>
      <c r="BI30" s="145"/>
      <c r="BJ30" s="145"/>
      <c r="BK30" s="145"/>
      <c r="BL30" s="145"/>
      <c r="BM30" s="370"/>
      <c r="BN30" s="145"/>
      <c r="BO30" s="145"/>
      <c r="BP30" s="145"/>
      <c r="BQ30" s="370"/>
      <c r="BR30" s="433"/>
      <c r="BS30" s="433"/>
      <c r="BT30" s="424"/>
    </row>
    <row r="31" spans="1:72" ht="46.15" outlineLevel="1">
      <c r="A31" s="420">
        <v>15</v>
      </c>
      <c r="B31" s="710" t="s">
        <v>1289</v>
      </c>
      <c r="C31" s="420" t="s">
        <v>1281</v>
      </c>
      <c r="D31" s="434" t="s">
        <v>1232</v>
      </c>
      <c r="E31" s="588" t="s">
        <v>49</v>
      </c>
      <c r="F31" s="588" t="s">
        <v>82</v>
      </c>
      <c r="G31" s="588">
        <v>8039324</v>
      </c>
      <c r="H31" s="434" t="s">
        <v>1233</v>
      </c>
      <c r="I31" s="422">
        <v>2024</v>
      </c>
      <c r="J31" s="422">
        <v>2023</v>
      </c>
      <c r="K31" s="420" t="s">
        <v>1290</v>
      </c>
      <c r="L31" s="585" t="s">
        <v>1291</v>
      </c>
      <c r="M31" s="448">
        <v>1100</v>
      </c>
      <c r="N31" s="448"/>
      <c r="O31" s="448"/>
      <c r="P31" s="448">
        <v>1100</v>
      </c>
      <c r="Q31" s="434" t="s">
        <v>1292</v>
      </c>
      <c r="R31" s="434" t="s">
        <v>1233</v>
      </c>
      <c r="S31" s="434" t="s">
        <v>1230</v>
      </c>
      <c r="T31" s="434" t="s">
        <v>1232</v>
      </c>
      <c r="U31" s="462"/>
      <c r="V31" s="462"/>
      <c r="W31" s="462"/>
      <c r="X31" s="462"/>
      <c r="Y31" s="145">
        <f t="shared" si="4"/>
        <v>5.9409999999999998</v>
      </c>
      <c r="Z31" s="145"/>
      <c r="AA31" s="145"/>
      <c r="AB31" s="370">
        <f t="shared" si="5"/>
        <v>5.9409999999999998</v>
      </c>
      <c r="AC31" s="370">
        <v>5.9409999999999998</v>
      </c>
      <c r="AD31" s="145"/>
      <c r="AE31" s="145"/>
      <c r="AF31" s="145">
        <f t="shared" si="6"/>
        <v>0</v>
      </c>
      <c r="AG31" s="145"/>
      <c r="AH31" s="145"/>
      <c r="AI31" s="145">
        <f t="shared" si="7"/>
        <v>0</v>
      </c>
      <c r="AJ31" s="145">
        <v>0</v>
      </c>
      <c r="AK31" s="145"/>
      <c r="AL31" s="145"/>
      <c r="AM31" s="145"/>
      <c r="AN31" s="145"/>
      <c r="AO31" s="145"/>
      <c r="AP31" s="145"/>
      <c r="AQ31" s="370"/>
      <c r="AR31" s="145"/>
      <c r="AS31" s="145"/>
      <c r="AT31" s="145"/>
      <c r="AU31" s="145">
        <f t="shared" si="8"/>
        <v>5.9409999999999998</v>
      </c>
      <c r="AV31" s="145"/>
      <c r="AW31" s="145"/>
      <c r="AX31" s="145">
        <f t="shared" si="9"/>
        <v>5.9409999999999998</v>
      </c>
      <c r="AY31" s="145">
        <v>5.9409999999999998</v>
      </c>
      <c r="AZ31" s="145"/>
      <c r="BA31" s="145"/>
      <c r="BB31" s="145"/>
      <c r="BC31" s="145"/>
      <c r="BD31" s="145"/>
      <c r="BE31" s="145"/>
      <c r="BF31" s="370"/>
      <c r="BG31" s="145"/>
      <c r="BH31" s="145"/>
      <c r="BI31" s="145"/>
      <c r="BJ31" s="145"/>
      <c r="BK31" s="145"/>
      <c r="BL31" s="145"/>
      <c r="BM31" s="370"/>
      <c r="BN31" s="145"/>
      <c r="BO31" s="145"/>
      <c r="BP31" s="145"/>
      <c r="BQ31" s="370"/>
      <c r="BR31" s="433"/>
      <c r="BS31" s="433"/>
      <c r="BT31" s="424"/>
    </row>
    <row r="32" spans="1:72" ht="46.15" outlineLevel="1">
      <c r="A32" s="420">
        <v>16</v>
      </c>
      <c r="B32" s="710" t="s">
        <v>1293</v>
      </c>
      <c r="C32" s="420" t="s">
        <v>1281</v>
      </c>
      <c r="D32" s="434" t="s">
        <v>1232</v>
      </c>
      <c r="E32" s="588" t="s">
        <v>49</v>
      </c>
      <c r="F32" s="588" t="s">
        <v>82</v>
      </c>
      <c r="G32" s="588">
        <v>8039323</v>
      </c>
      <c r="H32" s="434" t="s">
        <v>1233</v>
      </c>
      <c r="I32" s="422">
        <v>2024</v>
      </c>
      <c r="J32" s="422">
        <v>2023</v>
      </c>
      <c r="K32" s="420" t="s">
        <v>1294</v>
      </c>
      <c r="L32" s="585" t="s">
        <v>1295</v>
      </c>
      <c r="M32" s="448">
        <v>1607</v>
      </c>
      <c r="N32" s="448"/>
      <c r="O32" s="448"/>
      <c r="P32" s="448">
        <v>1607</v>
      </c>
      <c r="Q32" s="434" t="s">
        <v>1296</v>
      </c>
      <c r="R32" s="434" t="s">
        <v>1233</v>
      </c>
      <c r="S32" s="434" t="s">
        <v>1230</v>
      </c>
      <c r="T32" s="434" t="s">
        <v>1232</v>
      </c>
      <c r="U32" s="462"/>
      <c r="V32" s="462"/>
      <c r="W32" s="462"/>
      <c r="X32" s="462"/>
      <c r="Y32" s="145">
        <f t="shared" si="4"/>
        <v>5.3630000000000004</v>
      </c>
      <c r="Z32" s="145"/>
      <c r="AA32" s="145"/>
      <c r="AB32" s="370">
        <f t="shared" si="5"/>
        <v>5.3630000000000004</v>
      </c>
      <c r="AC32" s="370">
        <v>5.3630000000000004</v>
      </c>
      <c r="AD32" s="145"/>
      <c r="AE32" s="145"/>
      <c r="AF32" s="145">
        <f t="shared" si="6"/>
        <v>0</v>
      </c>
      <c r="AG32" s="145"/>
      <c r="AH32" s="145"/>
      <c r="AI32" s="145">
        <f t="shared" si="7"/>
        <v>0</v>
      </c>
      <c r="AJ32" s="145">
        <v>0</v>
      </c>
      <c r="AK32" s="145"/>
      <c r="AL32" s="145"/>
      <c r="AM32" s="145"/>
      <c r="AN32" s="145"/>
      <c r="AO32" s="145"/>
      <c r="AP32" s="145"/>
      <c r="AQ32" s="370"/>
      <c r="AR32" s="145"/>
      <c r="AS32" s="145"/>
      <c r="AT32" s="145"/>
      <c r="AU32" s="145">
        <f t="shared" si="8"/>
        <v>5.3630000000000004</v>
      </c>
      <c r="AV32" s="145"/>
      <c r="AW32" s="145"/>
      <c r="AX32" s="145">
        <f t="shared" si="9"/>
        <v>5.3630000000000004</v>
      </c>
      <c r="AY32" s="145">
        <v>5.3630000000000004</v>
      </c>
      <c r="AZ32" s="145"/>
      <c r="BA32" s="145"/>
      <c r="BB32" s="145"/>
      <c r="BC32" s="145"/>
      <c r="BD32" s="145"/>
      <c r="BE32" s="145"/>
      <c r="BF32" s="370"/>
      <c r="BG32" s="145"/>
      <c r="BH32" s="145"/>
      <c r="BI32" s="145"/>
      <c r="BJ32" s="145"/>
      <c r="BK32" s="145"/>
      <c r="BL32" s="145"/>
      <c r="BM32" s="370"/>
      <c r="BN32" s="145"/>
      <c r="BO32" s="145"/>
      <c r="BP32" s="145"/>
      <c r="BQ32" s="370"/>
      <c r="BR32" s="433"/>
      <c r="BS32" s="433"/>
      <c r="BT32" s="424"/>
    </row>
    <row r="33" spans="1:72" ht="30.75" outlineLevel="1">
      <c r="A33" s="420">
        <v>17</v>
      </c>
      <c r="B33" s="710" t="s">
        <v>1297</v>
      </c>
      <c r="C33" s="420" t="s">
        <v>1238</v>
      </c>
      <c r="D33" s="434" t="s">
        <v>1232</v>
      </c>
      <c r="E33" s="588" t="s">
        <v>49</v>
      </c>
      <c r="F33" s="588" t="s">
        <v>1282</v>
      </c>
      <c r="G33" s="588">
        <v>8040401</v>
      </c>
      <c r="H33" s="434" t="s">
        <v>1267</v>
      </c>
      <c r="I33" s="712" t="s">
        <v>56</v>
      </c>
      <c r="J33" s="422">
        <v>2023</v>
      </c>
      <c r="K33" s="420" t="s">
        <v>1298</v>
      </c>
      <c r="L33" s="377" t="s">
        <v>1299</v>
      </c>
      <c r="M33" s="448">
        <v>650</v>
      </c>
      <c r="N33" s="448"/>
      <c r="O33" s="448"/>
      <c r="P33" s="448">
        <v>650</v>
      </c>
      <c r="Q33" s="434" t="s">
        <v>1300</v>
      </c>
      <c r="R33" s="434" t="s">
        <v>1267</v>
      </c>
      <c r="S33" s="434" t="s">
        <v>1230</v>
      </c>
      <c r="T33" s="434" t="s">
        <v>1232</v>
      </c>
      <c r="U33" s="462"/>
      <c r="V33" s="462"/>
      <c r="W33" s="462"/>
      <c r="X33" s="462"/>
      <c r="Y33" s="145">
        <f t="shared" si="4"/>
        <v>3.456</v>
      </c>
      <c r="Z33" s="145"/>
      <c r="AA33" s="145"/>
      <c r="AB33" s="370">
        <f t="shared" si="5"/>
        <v>3.456</v>
      </c>
      <c r="AC33" s="370">
        <v>3.456</v>
      </c>
      <c r="AD33" s="145"/>
      <c r="AE33" s="145"/>
      <c r="AF33" s="145">
        <f t="shared" si="6"/>
        <v>0</v>
      </c>
      <c r="AG33" s="145"/>
      <c r="AH33" s="145"/>
      <c r="AI33" s="145">
        <f t="shared" si="7"/>
        <v>0</v>
      </c>
      <c r="AJ33" s="145">
        <v>0</v>
      </c>
      <c r="AK33" s="145"/>
      <c r="AL33" s="145"/>
      <c r="AM33" s="145"/>
      <c r="AN33" s="145"/>
      <c r="AO33" s="145"/>
      <c r="AP33" s="145"/>
      <c r="AQ33" s="370"/>
      <c r="AR33" s="145"/>
      <c r="AS33" s="145"/>
      <c r="AT33" s="145"/>
      <c r="AU33" s="145">
        <f t="shared" si="8"/>
        <v>3.456</v>
      </c>
      <c r="AV33" s="145"/>
      <c r="AW33" s="145"/>
      <c r="AX33" s="145">
        <f t="shared" si="9"/>
        <v>3.456</v>
      </c>
      <c r="AY33" s="145">
        <v>3.456</v>
      </c>
      <c r="AZ33" s="145"/>
      <c r="BA33" s="145"/>
      <c r="BB33" s="145"/>
      <c r="BC33" s="145"/>
      <c r="BD33" s="145"/>
      <c r="BE33" s="145"/>
      <c r="BF33" s="370"/>
      <c r="BG33" s="145"/>
      <c r="BH33" s="145"/>
      <c r="BI33" s="145"/>
      <c r="BJ33" s="145"/>
      <c r="BK33" s="145"/>
      <c r="BL33" s="145"/>
      <c r="BM33" s="370"/>
      <c r="BN33" s="145"/>
      <c r="BO33" s="145"/>
      <c r="BP33" s="145"/>
      <c r="BQ33" s="370"/>
      <c r="BR33" s="433"/>
      <c r="BS33" s="433"/>
      <c r="BT33" s="424"/>
    </row>
    <row r="34" spans="1:72" ht="30.75" outlineLevel="1">
      <c r="A34" s="420">
        <v>18</v>
      </c>
      <c r="B34" s="710" t="s">
        <v>1301</v>
      </c>
      <c r="C34" s="420" t="s">
        <v>1238</v>
      </c>
      <c r="D34" s="434" t="s">
        <v>1232</v>
      </c>
      <c r="E34" s="588" t="s">
        <v>49</v>
      </c>
      <c r="F34" s="588" t="s">
        <v>105</v>
      </c>
      <c r="G34" s="438" t="s">
        <v>1302</v>
      </c>
      <c r="H34" s="434" t="s">
        <v>1233</v>
      </c>
      <c r="I34" s="712" t="s">
        <v>1303</v>
      </c>
      <c r="J34" s="422">
        <v>2023</v>
      </c>
      <c r="K34" s="420" t="s">
        <v>1304</v>
      </c>
      <c r="L34" s="377" t="s">
        <v>1305</v>
      </c>
      <c r="M34" s="448">
        <v>2200</v>
      </c>
      <c r="N34" s="448"/>
      <c r="O34" s="448"/>
      <c r="P34" s="448">
        <v>2200</v>
      </c>
      <c r="Q34" s="434" t="s">
        <v>1306</v>
      </c>
      <c r="R34" s="434" t="s">
        <v>1233</v>
      </c>
      <c r="S34" s="434" t="s">
        <v>1230</v>
      </c>
      <c r="T34" s="434" t="s">
        <v>1232</v>
      </c>
      <c r="U34" s="462"/>
      <c r="V34" s="462"/>
      <c r="W34" s="462"/>
      <c r="X34" s="462"/>
      <c r="Y34" s="145">
        <f t="shared" si="4"/>
        <v>11.893000000000001</v>
      </c>
      <c r="Z34" s="145"/>
      <c r="AA34" s="145"/>
      <c r="AB34" s="370">
        <f t="shared" si="5"/>
        <v>11.893000000000001</v>
      </c>
      <c r="AC34" s="370">
        <v>11.893000000000001</v>
      </c>
      <c r="AD34" s="145"/>
      <c r="AE34" s="145"/>
      <c r="AF34" s="145">
        <f t="shared" si="6"/>
        <v>0</v>
      </c>
      <c r="AG34" s="145"/>
      <c r="AH34" s="145"/>
      <c r="AI34" s="145">
        <f t="shared" si="7"/>
        <v>0</v>
      </c>
      <c r="AJ34" s="145">
        <v>0</v>
      </c>
      <c r="AK34" s="145"/>
      <c r="AL34" s="145"/>
      <c r="AM34" s="145"/>
      <c r="AN34" s="145"/>
      <c r="AO34" s="145"/>
      <c r="AP34" s="145"/>
      <c r="AQ34" s="370"/>
      <c r="AR34" s="145"/>
      <c r="AS34" s="145"/>
      <c r="AT34" s="145"/>
      <c r="AU34" s="145">
        <f t="shared" si="8"/>
        <v>11.893000000000001</v>
      </c>
      <c r="AV34" s="145"/>
      <c r="AW34" s="145"/>
      <c r="AX34" s="145">
        <f t="shared" si="9"/>
        <v>11.893000000000001</v>
      </c>
      <c r="AY34" s="145">
        <v>11.893000000000001</v>
      </c>
      <c r="AZ34" s="145"/>
      <c r="BA34" s="145"/>
      <c r="BB34" s="145"/>
      <c r="BC34" s="145"/>
      <c r="BD34" s="145"/>
      <c r="BE34" s="145"/>
      <c r="BF34" s="370"/>
      <c r="BG34" s="145"/>
      <c r="BH34" s="145"/>
      <c r="BI34" s="145"/>
      <c r="BJ34" s="145"/>
      <c r="BK34" s="145"/>
      <c r="BL34" s="145"/>
      <c r="BM34" s="370"/>
      <c r="BN34" s="145"/>
      <c r="BO34" s="145"/>
      <c r="BP34" s="145"/>
      <c r="BQ34" s="370"/>
      <c r="BR34" s="433"/>
      <c r="BS34" s="433"/>
      <c r="BT34" s="424"/>
    </row>
    <row r="35" spans="1:72" ht="30.75" outlineLevel="1">
      <c r="A35" s="420">
        <v>19</v>
      </c>
      <c r="B35" s="710" t="s">
        <v>1307</v>
      </c>
      <c r="C35" s="420" t="s">
        <v>1238</v>
      </c>
      <c r="D35" s="434" t="s">
        <v>1232</v>
      </c>
      <c r="E35" s="588" t="s">
        <v>49</v>
      </c>
      <c r="F35" s="588" t="s">
        <v>82</v>
      </c>
      <c r="G35" s="733" t="s">
        <v>1308</v>
      </c>
      <c r="H35" s="434" t="s">
        <v>1233</v>
      </c>
      <c r="I35" s="712" t="s">
        <v>56</v>
      </c>
      <c r="J35" s="422">
        <v>2023</v>
      </c>
      <c r="K35" s="420" t="s">
        <v>1309</v>
      </c>
      <c r="L35" s="420" t="s">
        <v>1310</v>
      </c>
      <c r="M35" s="448">
        <v>6000</v>
      </c>
      <c r="N35" s="448"/>
      <c r="O35" s="448"/>
      <c r="P35" s="448">
        <v>6000</v>
      </c>
      <c r="Q35" s="434" t="s">
        <v>1311</v>
      </c>
      <c r="R35" s="434" t="s">
        <v>1233</v>
      </c>
      <c r="S35" s="434" t="s">
        <v>1230</v>
      </c>
      <c r="T35" s="434" t="s">
        <v>1232</v>
      </c>
      <c r="U35" s="462"/>
      <c r="V35" s="462"/>
      <c r="W35" s="462"/>
      <c r="X35" s="462"/>
      <c r="Y35" s="145">
        <f t="shared" si="4"/>
        <v>28.914000000000001</v>
      </c>
      <c r="Z35" s="145"/>
      <c r="AA35" s="145"/>
      <c r="AB35" s="370">
        <f t="shared" si="5"/>
        <v>28.914000000000001</v>
      </c>
      <c r="AC35" s="370">
        <v>28.914000000000001</v>
      </c>
      <c r="AD35" s="145"/>
      <c r="AE35" s="145"/>
      <c r="AF35" s="145">
        <f t="shared" si="6"/>
        <v>0</v>
      </c>
      <c r="AG35" s="145"/>
      <c r="AH35" s="145"/>
      <c r="AI35" s="145">
        <f t="shared" si="7"/>
        <v>0</v>
      </c>
      <c r="AJ35" s="145">
        <v>0</v>
      </c>
      <c r="AK35" s="145"/>
      <c r="AL35" s="145"/>
      <c r="AM35" s="145"/>
      <c r="AN35" s="145"/>
      <c r="AO35" s="145"/>
      <c r="AP35" s="145"/>
      <c r="AQ35" s="370"/>
      <c r="AR35" s="145"/>
      <c r="AS35" s="145"/>
      <c r="AT35" s="145"/>
      <c r="AU35" s="145">
        <f t="shared" si="8"/>
        <v>28.914000000000001</v>
      </c>
      <c r="AV35" s="145"/>
      <c r="AW35" s="145"/>
      <c r="AX35" s="145">
        <f t="shared" si="9"/>
        <v>28.914000000000001</v>
      </c>
      <c r="AY35" s="145">
        <v>28.914000000000001</v>
      </c>
      <c r="AZ35" s="145"/>
      <c r="BA35" s="145"/>
      <c r="BB35" s="145"/>
      <c r="BC35" s="145"/>
      <c r="BD35" s="145"/>
      <c r="BE35" s="145"/>
      <c r="BF35" s="370"/>
      <c r="BG35" s="145"/>
      <c r="BH35" s="145"/>
      <c r="BI35" s="145"/>
      <c r="BJ35" s="145"/>
      <c r="BK35" s="145"/>
      <c r="BL35" s="145"/>
      <c r="BM35" s="370"/>
      <c r="BN35" s="145"/>
      <c r="BO35" s="145"/>
      <c r="BP35" s="145"/>
      <c r="BQ35" s="370"/>
      <c r="BR35" s="433"/>
      <c r="BS35" s="433"/>
      <c r="BT35" s="424"/>
    </row>
    <row r="36" spans="1:72" ht="30.75" outlineLevel="1">
      <c r="A36" s="420">
        <v>20</v>
      </c>
      <c r="B36" s="710" t="s">
        <v>1312</v>
      </c>
      <c r="C36" s="420" t="s">
        <v>1238</v>
      </c>
      <c r="D36" s="434" t="s">
        <v>1232</v>
      </c>
      <c r="E36" s="588" t="s">
        <v>49</v>
      </c>
      <c r="F36" s="588" t="s">
        <v>48</v>
      </c>
      <c r="G36" s="733" t="s">
        <v>1313</v>
      </c>
      <c r="H36" s="434" t="s">
        <v>1233</v>
      </c>
      <c r="I36" s="712" t="s">
        <v>84</v>
      </c>
      <c r="J36" s="422">
        <v>2024</v>
      </c>
      <c r="K36" s="420" t="s">
        <v>1314</v>
      </c>
      <c r="L36" s="420" t="s">
        <v>1315</v>
      </c>
      <c r="M36" s="448">
        <v>1500</v>
      </c>
      <c r="N36" s="448"/>
      <c r="O36" s="448"/>
      <c r="P36" s="448">
        <v>1500</v>
      </c>
      <c r="Q36" s="434" t="s">
        <v>1316</v>
      </c>
      <c r="R36" s="434" t="s">
        <v>1233</v>
      </c>
      <c r="S36" s="434" t="s">
        <v>1230</v>
      </c>
      <c r="T36" s="434" t="s">
        <v>1232</v>
      </c>
      <c r="U36" s="462"/>
      <c r="V36" s="462"/>
      <c r="W36" s="462"/>
      <c r="X36" s="462"/>
      <c r="Y36" s="145">
        <f t="shared" si="4"/>
        <v>68.569999999999993</v>
      </c>
      <c r="Z36" s="145"/>
      <c r="AA36" s="145"/>
      <c r="AB36" s="370">
        <f t="shared" si="5"/>
        <v>68.569999999999993</v>
      </c>
      <c r="AC36" s="370">
        <v>68.569999999999993</v>
      </c>
      <c r="AD36" s="145"/>
      <c r="AE36" s="145"/>
      <c r="AF36" s="145">
        <f t="shared" si="6"/>
        <v>0</v>
      </c>
      <c r="AG36" s="145"/>
      <c r="AH36" s="145"/>
      <c r="AI36" s="145">
        <f t="shared" si="7"/>
        <v>0</v>
      </c>
      <c r="AJ36" s="145">
        <v>0</v>
      </c>
      <c r="AK36" s="145"/>
      <c r="AL36" s="145"/>
      <c r="AM36" s="145"/>
      <c r="AN36" s="145"/>
      <c r="AO36" s="145"/>
      <c r="AP36" s="145"/>
      <c r="AQ36" s="370"/>
      <c r="AR36" s="145"/>
      <c r="AS36" s="145"/>
      <c r="AT36" s="145"/>
      <c r="AU36" s="145">
        <f t="shared" si="8"/>
        <v>68.569999999999993</v>
      </c>
      <c r="AV36" s="145"/>
      <c r="AW36" s="145"/>
      <c r="AX36" s="145">
        <f t="shared" si="9"/>
        <v>68.569999999999993</v>
      </c>
      <c r="AY36" s="145">
        <v>68.569999999999993</v>
      </c>
      <c r="AZ36" s="145"/>
      <c r="BA36" s="145"/>
      <c r="BB36" s="145"/>
      <c r="BC36" s="145"/>
      <c r="BD36" s="145"/>
      <c r="BE36" s="145"/>
      <c r="BF36" s="370"/>
      <c r="BG36" s="145"/>
      <c r="BH36" s="145"/>
      <c r="BI36" s="145"/>
      <c r="BJ36" s="145"/>
      <c r="BK36" s="145"/>
      <c r="BL36" s="145"/>
      <c r="BM36" s="370"/>
      <c r="BN36" s="145"/>
      <c r="BO36" s="145"/>
      <c r="BP36" s="145"/>
      <c r="BQ36" s="370"/>
      <c r="BR36" s="433"/>
      <c r="BS36" s="433"/>
      <c r="BT36" s="424"/>
    </row>
    <row r="37" spans="1:72" ht="30.75" outlineLevel="1">
      <c r="A37" s="420">
        <v>21</v>
      </c>
      <c r="B37" s="710" t="s">
        <v>1317</v>
      </c>
      <c r="C37" s="420" t="s">
        <v>1238</v>
      </c>
      <c r="D37" s="434" t="s">
        <v>1232</v>
      </c>
      <c r="E37" s="588" t="s">
        <v>49</v>
      </c>
      <c r="F37" s="588" t="s">
        <v>82</v>
      </c>
      <c r="G37" s="733" t="s">
        <v>1318</v>
      </c>
      <c r="H37" s="434" t="s">
        <v>1233</v>
      </c>
      <c r="I37" s="712">
        <v>2024</v>
      </c>
      <c r="J37" s="422">
        <v>2023</v>
      </c>
      <c r="K37" s="420" t="s">
        <v>1319</v>
      </c>
      <c r="L37" s="420" t="s">
        <v>1320</v>
      </c>
      <c r="M37" s="448">
        <v>4950</v>
      </c>
      <c r="N37" s="448"/>
      <c r="O37" s="448"/>
      <c r="P37" s="448">
        <v>4950</v>
      </c>
      <c r="Q37" s="434" t="s">
        <v>1321</v>
      </c>
      <c r="R37" s="434" t="s">
        <v>1233</v>
      </c>
      <c r="S37" s="434" t="s">
        <v>1230</v>
      </c>
      <c r="T37" s="434" t="s">
        <v>1232</v>
      </c>
      <c r="U37" s="462"/>
      <c r="V37" s="462"/>
      <c r="W37" s="462"/>
      <c r="X37" s="462"/>
      <c r="Y37" s="145">
        <f t="shared" si="4"/>
        <v>147.898</v>
      </c>
      <c r="Z37" s="145"/>
      <c r="AA37" s="145"/>
      <c r="AB37" s="370">
        <f t="shared" si="5"/>
        <v>147.898</v>
      </c>
      <c r="AC37" s="370">
        <v>147.898</v>
      </c>
      <c r="AD37" s="145"/>
      <c r="AE37" s="145"/>
      <c r="AF37" s="145">
        <f t="shared" si="6"/>
        <v>0</v>
      </c>
      <c r="AG37" s="145"/>
      <c r="AH37" s="145"/>
      <c r="AI37" s="145">
        <f t="shared" si="7"/>
        <v>0</v>
      </c>
      <c r="AJ37" s="145">
        <v>0</v>
      </c>
      <c r="AK37" s="145"/>
      <c r="AL37" s="145"/>
      <c r="AM37" s="145"/>
      <c r="AN37" s="145"/>
      <c r="AO37" s="145"/>
      <c r="AP37" s="145"/>
      <c r="AQ37" s="370"/>
      <c r="AR37" s="145"/>
      <c r="AS37" s="145"/>
      <c r="AT37" s="145"/>
      <c r="AU37" s="145">
        <f t="shared" si="8"/>
        <v>147.898</v>
      </c>
      <c r="AV37" s="145"/>
      <c r="AW37" s="145"/>
      <c r="AX37" s="145">
        <f t="shared" si="9"/>
        <v>147.898</v>
      </c>
      <c r="AY37" s="145">
        <v>147.898</v>
      </c>
      <c r="AZ37" s="145"/>
      <c r="BA37" s="145"/>
      <c r="BB37" s="145"/>
      <c r="BC37" s="145"/>
      <c r="BD37" s="145"/>
      <c r="BE37" s="145"/>
      <c r="BF37" s="370"/>
      <c r="BG37" s="145"/>
      <c r="BH37" s="145"/>
      <c r="BI37" s="145"/>
      <c r="BJ37" s="145"/>
      <c r="BK37" s="145"/>
      <c r="BL37" s="145"/>
      <c r="BM37" s="370"/>
      <c r="BN37" s="145"/>
      <c r="BO37" s="145"/>
      <c r="BP37" s="145"/>
      <c r="BQ37" s="370"/>
      <c r="BR37" s="433"/>
      <c r="BS37" s="433"/>
      <c r="BT37" s="424"/>
    </row>
    <row r="38" spans="1:72" ht="46.15" outlineLevel="1">
      <c r="A38" s="420">
        <v>22</v>
      </c>
      <c r="B38" s="710" t="s">
        <v>1322</v>
      </c>
      <c r="C38" s="420" t="s">
        <v>1323</v>
      </c>
      <c r="D38" s="434" t="s">
        <v>1232</v>
      </c>
      <c r="E38" s="588" t="s">
        <v>49</v>
      </c>
      <c r="F38" s="588" t="s">
        <v>1122</v>
      </c>
      <c r="G38" s="733">
        <v>8039325</v>
      </c>
      <c r="H38" s="434" t="s">
        <v>1233</v>
      </c>
      <c r="I38" s="712">
        <v>2024</v>
      </c>
      <c r="J38" s="422">
        <v>2023</v>
      </c>
      <c r="K38" s="420" t="s">
        <v>1324</v>
      </c>
      <c r="L38" s="420" t="s">
        <v>1325</v>
      </c>
      <c r="M38" s="448">
        <v>200</v>
      </c>
      <c r="N38" s="448"/>
      <c r="O38" s="448"/>
      <c r="P38" s="448">
        <v>200</v>
      </c>
      <c r="Q38" s="434" t="s">
        <v>1326</v>
      </c>
      <c r="R38" s="434" t="s">
        <v>1233</v>
      </c>
      <c r="S38" s="434" t="s">
        <v>1230</v>
      </c>
      <c r="T38" s="434" t="s">
        <v>1232</v>
      </c>
      <c r="U38" s="462"/>
      <c r="V38" s="462"/>
      <c r="W38" s="462"/>
      <c r="X38" s="462"/>
      <c r="Y38" s="145">
        <f t="shared" si="4"/>
        <v>1.101</v>
      </c>
      <c r="Z38" s="145"/>
      <c r="AA38" s="145"/>
      <c r="AB38" s="370">
        <f t="shared" si="5"/>
        <v>1.101</v>
      </c>
      <c r="AC38" s="370">
        <v>1.101</v>
      </c>
      <c r="AD38" s="145"/>
      <c r="AE38" s="145"/>
      <c r="AF38" s="145">
        <f t="shared" si="6"/>
        <v>0</v>
      </c>
      <c r="AG38" s="145"/>
      <c r="AH38" s="145"/>
      <c r="AI38" s="145">
        <f t="shared" si="7"/>
        <v>0</v>
      </c>
      <c r="AJ38" s="145">
        <v>0</v>
      </c>
      <c r="AK38" s="145"/>
      <c r="AL38" s="145"/>
      <c r="AM38" s="145"/>
      <c r="AN38" s="145"/>
      <c r="AO38" s="145"/>
      <c r="AP38" s="145"/>
      <c r="AQ38" s="370"/>
      <c r="AR38" s="145"/>
      <c r="AS38" s="145"/>
      <c r="AT38" s="145"/>
      <c r="AU38" s="145">
        <f t="shared" si="8"/>
        <v>1.101</v>
      </c>
      <c r="AV38" s="145"/>
      <c r="AW38" s="145"/>
      <c r="AX38" s="145">
        <f t="shared" si="9"/>
        <v>1.101</v>
      </c>
      <c r="AY38" s="145">
        <v>1.101</v>
      </c>
      <c r="AZ38" s="145"/>
      <c r="BA38" s="145"/>
      <c r="BB38" s="145"/>
      <c r="BC38" s="145"/>
      <c r="BD38" s="145"/>
      <c r="BE38" s="145"/>
      <c r="BF38" s="370"/>
      <c r="BG38" s="145"/>
      <c r="BH38" s="145"/>
      <c r="BI38" s="145"/>
      <c r="BJ38" s="145"/>
      <c r="BK38" s="145"/>
      <c r="BL38" s="145"/>
      <c r="BM38" s="370"/>
      <c r="BN38" s="145"/>
      <c r="BO38" s="145"/>
      <c r="BP38" s="145"/>
      <c r="BQ38" s="370"/>
      <c r="BR38" s="433"/>
      <c r="BS38" s="433"/>
      <c r="BT38" s="424"/>
    </row>
    <row r="39" spans="1:72" ht="30" outlineLevel="1">
      <c r="A39" s="553" t="s">
        <v>45</v>
      </c>
      <c r="B39" s="715" t="s">
        <v>1327</v>
      </c>
      <c r="C39" s="418"/>
      <c r="D39" s="454"/>
      <c r="E39" s="418"/>
      <c r="F39" s="418"/>
      <c r="G39" s="418"/>
      <c r="H39" s="454"/>
      <c r="I39" s="418"/>
      <c r="J39" s="418"/>
      <c r="K39" s="418"/>
      <c r="L39" s="418"/>
      <c r="M39" s="429">
        <f>SUM(M40:M51)</f>
        <v>173961.84</v>
      </c>
      <c r="N39" s="429">
        <f>SUM(N40:N51)</f>
        <v>9853</v>
      </c>
      <c r="O39" s="429">
        <f t="shared" ref="O39:BS39" si="10">SUM(O43:O51)</f>
        <v>0</v>
      </c>
      <c r="P39" s="429">
        <f>SUM(P40:P51)</f>
        <v>163923.84</v>
      </c>
      <c r="Q39" s="454">
        <f t="shared" si="10"/>
        <v>0</v>
      </c>
      <c r="R39" s="454">
        <f t="shared" si="10"/>
        <v>0</v>
      </c>
      <c r="S39" s="454">
        <f t="shared" si="10"/>
        <v>0</v>
      </c>
      <c r="T39" s="454">
        <f t="shared" si="10"/>
        <v>0</v>
      </c>
      <c r="U39" s="429">
        <f t="shared" si="10"/>
        <v>0</v>
      </c>
      <c r="V39" s="429">
        <f t="shared" si="10"/>
        <v>0</v>
      </c>
      <c r="W39" s="429">
        <f t="shared" si="10"/>
        <v>0</v>
      </c>
      <c r="X39" s="429">
        <f t="shared" si="10"/>
        <v>0</v>
      </c>
      <c r="Y39" s="429">
        <f>SUM(Y40:Y51)</f>
        <v>81940</v>
      </c>
      <c r="Z39" s="429">
        <f t="shared" si="10"/>
        <v>0</v>
      </c>
      <c r="AA39" s="429">
        <f t="shared" si="10"/>
        <v>0</v>
      </c>
      <c r="AB39" s="429">
        <f t="shared" si="10"/>
        <v>81440</v>
      </c>
      <c r="AC39" s="429">
        <f t="shared" si="10"/>
        <v>0</v>
      </c>
      <c r="AD39" s="429">
        <f>SUM(AD40:AD51)</f>
        <v>81940</v>
      </c>
      <c r="AE39" s="429">
        <f t="shared" si="10"/>
        <v>0</v>
      </c>
      <c r="AF39" s="429">
        <f>SUM(AF40:AF51)</f>
        <v>650</v>
      </c>
      <c r="AG39" s="429">
        <f t="shared" si="10"/>
        <v>0</v>
      </c>
      <c r="AH39" s="429">
        <f t="shared" si="10"/>
        <v>0</v>
      </c>
      <c r="AI39" s="429">
        <f t="shared" si="10"/>
        <v>150</v>
      </c>
      <c r="AJ39" s="429">
        <f t="shared" si="10"/>
        <v>0</v>
      </c>
      <c r="AK39" s="429">
        <f>SUM(AK40:AK51)</f>
        <v>650</v>
      </c>
      <c r="AL39" s="429">
        <f t="shared" si="10"/>
        <v>0</v>
      </c>
      <c r="AM39" s="429">
        <f t="shared" si="10"/>
        <v>0</v>
      </c>
      <c r="AN39" s="429">
        <f t="shared" si="10"/>
        <v>0</v>
      </c>
      <c r="AO39" s="429">
        <f t="shared" si="10"/>
        <v>0</v>
      </c>
      <c r="AP39" s="429">
        <f t="shared" si="10"/>
        <v>0</v>
      </c>
      <c r="AQ39" s="429">
        <f t="shared" si="10"/>
        <v>0</v>
      </c>
      <c r="AR39" s="429">
        <f t="shared" si="10"/>
        <v>0</v>
      </c>
      <c r="AS39" s="429">
        <f t="shared" si="10"/>
        <v>0</v>
      </c>
      <c r="AT39" s="429">
        <f t="shared" si="10"/>
        <v>0</v>
      </c>
      <c r="AU39" s="429">
        <f t="shared" si="10"/>
        <v>0</v>
      </c>
      <c r="AV39" s="429">
        <f t="shared" si="10"/>
        <v>0</v>
      </c>
      <c r="AW39" s="429">
        <f t="shared" si="10"/>
        <v>0</v>
      </c>
      <c r="AX39" s="429">
        <f t="shared" si="10"/>
        <v>0</v>
      </c>
      <c r="AY39" s="429">
        <f t="shared" si="10"/>
        <v>0</v>
      </c>
      <c r="AZ39" s="429">
        <f t="shared" si="10"/>
        <v>0</v>
      </c>
      <c r="BA39" s="429">
        <f t="shared" si="10"/>
        <v>0</v>
      </c>
      <c r="BB39" s="429">
        <f t="shared" si="10"/>
        <v>0</v>
      </c>
      <c r="BC39" s="429">
        <f t="shared" si="10"/>
        <v>0</v>
      </c>
      <c r="BD39" s="429">
        <f t="shared" si="10"/>
        <v>0</v>
      </c>
      <c r="BE39" s="429">
        <f t="shared" si="10"/>
        <v>0</v>
      </c>
      <c r="BF39" s="429">
        <f t="shared" si="10"/>
        <v>0</v>
      </c>
      <c r="BG39" s="429">
        <f t="shared" si="10"/>
        <v>0</v>
      </c>
      <c r="BH39" s="429">
        <f t="shared" si="10"/>
        <v>0</v>
      </c>
      <c r="BI39" s="429">
        <f t="shared" si="10"/>
        <v>0</v>
      </c>
      <c r="BJ39" s="429">
        <f t="shared" si="10"/>
        <v>0</v>
      </c>
      <c r="BK39" s="429">
        <f t="shared" si="10"/>
        <v>0</v>
      </c>
      <c r="BL39" s="429">
        <f t="shared" si="10"/>
        <v>0</v>
      </c>
      <c r="BM39" s="429">
        <f t="shared" si="10"/>
        <v>0</v>
      </c>
      <c r="BN39" s="429">
        <f t="shared" si="10"/>
        <v>0</v>
      </c>
      <c r="BO39" s="429">
        <f t="shared" si="10"/>
        <v>0</v>
      </c>
      <c r="BP39" s="429">
        <f t="shared" si="10"/>
        <v>0</v>
      </c>
      <c r="BQ39" s="429">
        <f t="shared" si="10"/>
        <v>0</v>
      </c>
      <c r="BR39" s="429">
        <f t="shared" si="10"/>
        <v>0</v>
      </c>
      <c r="BS39" s="429">
        <f t="shared" si="10"/>
        <v>0</v>
      </c>
      <c r="BT39" s="454"/>
    </row>
    <row r="40" spans="1:72" ht="46.15" outlineLevel="1">
      <c r="A40" s="438">
        <v>1</v>
      </c>
      <c r="B40" s="710" t="s">
        <v>1328</v>
      </c>
      <c r="C40" s="420" t="s">
        <v>1238</v>
      </c>
      <c r="D40" s="434" t="s">
        <v>1232</v>
      </c>
      <c r="E40" s="588" t="s">
        <v>49</v>
      </c>
      <c r="F40" s="588" t="s">
        <v>1122</v>
      </c>
      <c r="G40" s="588">
        <v>7929891</v>
      </c>
      <c r="H40" s="712" t="s">
        <v>1233</v>
      </c>
      <c r="I40" s="438" t="s">
        <v>75</v>
      </c>
      <c r="J40" s="552"/>
      <c r="K40" s="420" t="s">
        <v>1329</v>
      </c>
      <c r="L40" s="420" t="s">
        <v>1330</v>
      </c>
      <c r="M40" s="373">
        <v>30000</v>
      </c>
      <c r="N40" s="448"/>
      <c r="O40" s="373"/>
      <c r="P40" s="373">
        <v>30000</v>
      </c>
      <c r="Q40" s="434"/>
      <c r="R40" s="712" t="s">
        <v>1233</v>
      </c>
      <c r="S40" s="434" t="s">
        <v>1230</v>
      </c>
      <c r="T40" s="434" t="s">
        <v>1232</v>
      </c>
      <c r="U40" s="462"/>
      <c r="V40" s="462"/>
      <c r="W40" s="462"/>
      <c r="X40" s="462"/>
      <c r="Y40" s="145">
        <f>Z40+AA40+AB40</f>
        <v>150</v>
      </c>
      <c r="Z40" s="145"/>
      <c r="AA40" s="145"/>
      <c r="AB40" s="370">
        <f>AC40+AD40+AE40</f>
        <v>150</v>
      </c>
      <c r="AC40" s="370">
        <v>0</v>
      </c>
      <c r="AD40" s="145">
        <v>150</v>
      </c>
      <c r="AE40" s="145"/>
      <c r="AF40" s="145">
        <f>AG40+AH40+AI40</f>
        <v>150</v>
      </c>
      <c r="AG40" s="145"/>
      <c r="AH40" s="145"/>
      <c r="AI40" s="145">
        <f>AJ40+AK40+AL40</f>
        <v>150</v>
      </c>
      <c r="AJ40" s="145">
        <v>0</v>
      </c>
      <c r="AK40" s="145">
        <v>150</v>
      </c>
      <c r="AL40" s="145"/>
      <c r="AM40" s="145"/>
      <c r="AN40" s="145"/>
      <c r="AO40" s="145"/>
      <c r="AP40" s="145"/>
      <c r="AQ40" s="145"/>
      <c r="AR40" s="145"/>
      <c r="AS40" s="145"/>
      <c r="AT40" s="145"/>
      <c r="AU40" s="145">
        <f>AV40+AW40+AX40</f>
        <v>0</v>
      </c>
      <c r="AV40" s="145"/>
      <c r="AW40" s="145"/>
      <c r="AX40" s="145">
        <f>AY40+AZ40+BA40</f>
        <v>0</v>
      </c>
      <c r="AY40" s="145">
        <v>0</v>
      </c>
      <c r="AZ40" s="734"/>
      <c r="BA40" s="145"/>
      <c r="BB40" s="145"/>
      <c r="BC40" s="145"/>
      <c r="BD40" s="145"/>
      <c r="BE40" s="370"/>
      <c r="BF40" s="370"/>
      <c r="BG40" s="370"/>
      <c r="BH40" s="734"/>
      <c r="BI40" s="370"/>
      <c r="BJ40" s="370"/>
      <c r="BK40" s="370"/>
      <c r="BL40" s="370"/>
      <c r="BM40" s="734"/>
      <c r="BN40" s="370"/>
      <c r="BO40" s="370"/>
      <c r="BP40" s="370"/>
      <c r="BQ40" s="734"/>
      <c r="BR40" s="716">
        <v>0</v>
      </c>
      <c r="BS40" s="716"/>
      <c r="BT40" s="424"/>
    </row>
    <row r="41" spans="1:72" ht="30.75" outlineLevel="1">
      <c r="A41" s="438">
        <v>2</v>
      </c>
      <c r="B41" s="710" t="s">
        <v>1331</v>
      </c>
      <c r="C41" s="420" t="s">
        <v>1238</v>
      </c>
      <c r="D41" s="434" t="s">
        <v>1232</v>
      </c>
      <c r="E41" s="735" t="s">
        <v>49</v>
      </c>
      <c r="F41" s="438" t="s">
        <v>105</v>
      </c>
      <c r="G41" s="588">
        <v>7930071</v>
      </c>
      <c r="H41" s="712" t="s">
        <v>1233</v>
      </c>
      <c r="I41" s="438" t="s">
        <v>75</v>
      </c>
      <c r="J41" s="424"/>
      <c r="K41" s="736" t="s">
        <v>1332</v>
      </c>
      <c r="L41" s="420" t="s">
        <v>1333</v>
      </c>
      <c r="M41" s="373">
        <v>23000</v>
      </c>
      <c r="N41" s="448"/>
      <c r="O41" s="373"/>
      <c r="P41" s="373">
        <v>23000</v>
      </c>
      <c r="Q41" s="454"/>
      <c r="R41" s="712" t="s">
        <v>1233</v>
      </c>
      <c r="S41" s="434" t="s">
        <v>1230</v>
      </c>
      <c r="T41" s="434" t="s">
        <v>1232</v>
      </c>
      <c r="U41" s="462"/>
      <c r="V41" s="462"/>
      <c r="W41" s="462"/>
      <c r="X41" s="462"/>
      <c r="Y41" s="145">
        <f>Z41+AA41+AB41</f>
        <v>150</v>
      </c>
      <c r="Z41" s="145"/>
      <c r="AA41" s="145"/>
      <c r="AB41" s="370">
        <f>AC41+AD41+AE41</f>
        <v>150</v>
      </c>
      <c r="AC41" s="370">
        <v>0</v>
      </c>
      <c r="AD41" s="371">
        <f>150</f>
        <v>150</v>
      </c>
      <c r="AE41" s="145"/>
      <c r="AF41" s="145">
        <f>AG41+AH41+AI41</f>
        <v>150</v>
      </c>
      <c r="AG41" s="145"/>
      <c r="AH41" s="145"/>
      <c r="AI41" s="145">
        <f>AJ41+AK41+AL41</f>
        <v>150</v>
      </c>
      <c r="AJ41" s="145">
        <v>0</v>
      </c>
      <c r="AK41" s="145">
        <f>150</f>
        <v>150</v>
      </c>
      <c r="AL41" s="145"/>
      <c r="AM41" s="145"/>
      <c r="AN41" s="145"/>
      <c r="AO41" s="145"/>
      <c r="AP41" s="145"/>
      <c r="AQ41" s="145"/>
      <c r="AR41" s="145"/>
      <c r="AS41" s="145"/>
      <c r="AT41" s="145"/>
      <c r="AU41" s="145">
        <f>AV41+AW41+AX41</f>
        <v>0</v>
      </c>
      <c r="AV41" s="145"/>
      <c r="AW41" s="145"/>
      <c r="AX41" s="145">
        <f>AY41+AZ41+BA41</f>
        <v>0</v>
      </c>
      <c r="AY41" s="145">
        <v>0</v>
      </c>
      <c r="AZ41" s="734"/>
      <c r="BA41" s="145"/>
      <c r="BB41" s="145"/>
      <c r="BC41" s="145"/>
      <c r="BD41" s="145"/>
      <c r="BE41" s="370"/>
      <c r="BF41" s="370"/>
      <c r="BG41" s="370"/>
      <c r="BH41" s="734"/>
      <c r="BI41" s="370"/>
      <c r="BJ41" s="370"/>
      <c r="BK41" s="370"/>
      <c r="BL41" s="370"/>
      <c r="BM41" s="734"/>
      <c r="BN41" s="370"/>
      <c r="BO41" s="370"/>
      <c r="BP41" s="370"/>
      <c r="BQ41" s="734"/>
      <c r="BR41" s="716">
        <v>0</v>
      </c>
      <c r="BS41" s="716"/>
      <c r="BT41" s="424"/>
    </row>
    <row r="42" spans="1:72" ht="30.75" outlineLevel="1">
      <c r="A42" s="438">
        <v>3</v>
      </c>
      <c r="B42" s="710" t="s">
        <v>1334</v>
      </c>
      <c r="C42" s="420" t="s">
        <v>1238</v>
      </c>
      <c r="D42" s="434" t="s">
        <v>1232</v>
      </c>
      <c r="E42" s="588" t="s">
        <v>49</v>
      </c>
      <c r="F42" s="588" t="s">
        <v>82</v>
      </c>
      <c r="G42" s="420">
        <v>8039317</v>
      </c>
      <c r="H42" s="712" t="s">
        <v>1233</v>
      </c>
      <c r="I42" s="438" t="s">
        <v>75</v>
      </c>
      <c r="J42" s="552"/>
      <c r="K42" s="420" t="s">
        <v>1335</v>
      </c>
      <c r="L42" s="420" t="s">
        <v>1336</v>
      </c>
      <c r="M42" s="373">
        <v>22185</v>
      </c>
      <c r="N42" s="713"/>
      <c r="O42" s="374"/>
      <c r="P42" s="373">
        <v>22000</v>
      </c>
      <c r="Q42" s="434"/>
      <c r="R42" s="712" t="s">
        <v>1233</v>
      </c>
      <c r="S42" s="434" t="s">
        <v>1230</v>
      </c>
      <c r="T42" s="434" t="s">
        <v>1232</v>
      </c>
      <c r="U42" s="462"/>
      <c r="V42" s="462"/>
      <c r="W42" s="462"/>
      <c r="X42" s="462"/>
      <c r="Y42" s="145">
        <f>Z42+AA42+AB42</f>
        <v>200</v>
      </c>
      <c r="Z42" s="145"/>
      <c r="AA42" s="145"/>
      <c r="AB42" s="370">
        <f>AC42+AD42+AE42</f>
        <v>200</v>
      </c>
      <c r="AC42" s="370">
        <v>0</v>
      </c>
      <c r="AD42" s="145">
        <v>200</v>
      </c>
      <c r="AE42" s="145"/>
      <c r="AF42" s="145">
        <f>AG42+AH42+AI42</f>
        <v>200</v>
      </c>
      <c r="AG42" s="145"/>
      <c r="AH42" s="145"/>
      <c r="AI42" s="145">
        <f>AJ42+AK42+AL42</f>
        <v>200</v>
      </c>
      <c r="AJ42" s="145">
        <v>0</v>
      </c>
      <c r="AK42" s="145">
        <v>200</v>
      </c>
      <c r="AL42" s="145"/>
      <c r="AM42" s="145"/>
      <c r="AN42" s="145"/>
      <c r="AO42" s="145"/>
      <c r="AP42" s="145"/>
      <c r="AQ42" s="145"/>
      <c r="AR42" s="145"/>
      <c r="AS42" s="145"/>
      <c r="AT42" s="145"/>
      <c r="AU42" s="145">
        <f>AV42+AW42+AX42</f>
        <v>0</v>
      </c>
      <c r="AV42" s="145"/>
      <c r="AW42" s="145"/>
      <c r="AX42" s="145">
        <f>AY42+AZ42+BA42</f>
        <v>0</v>
      </c>
      <c r="AY42" s="145">
        <v>0</v>
      </c>
      <c r="AZ42" s="734"/>
      <c r="BA42" s="145"/>
      <c r="BB42" s="145"/>
      <c r="BC42" s="145"/>
      <c r="BD42" s="145"/>
      <c r="BE42" s="370"/>
      <c r="BF42" s="370"/>
      <c r="BG42" s="370"/>
      <c r="BH42" s="734"/>
      <c r="BI42" s="370"/>
      <c r="BJ42" s="370"/>
      <c r="BK42" s="370"/>
      <c r="BL42" s="370"/>
      <c r="BM42" s="734"/>
      <c r="BN42" s="370"/>
      <c r="BO42" s="370"/>
      <c r="BP42" s="370"/>
      <c r="BQ42" s="734"/>
      <c r="BR42" s="716">
        <v>0</v>
      </c>
      <c r="BS42" s="716"/>
      <c r="BT42" s="424"/>
    </row>
    <row r="43" spans="1:72" ht="30.75" outlineLevel="1">
      <c r="A43" s="438">
        <v>4</v>
      </c>
      <c r="B43" s="737" t="s">
        <v>1337</v>
      </c>
      <c r="C43" s="420" t="s">
        <v>1338</v>
      </c>
      <c r="D43" s="434" t="s">
        <v>1232</v>
      </c>
      <c r="E43" s="588" t="s">
        <v>49</v>
      </c>
      <c r="F43" s="588" t="s">
        <v>1282</v>
      </c>
      <c r="G43" s="738" t="s">
        <v>1339</v>
      </c>
      <c r="H43" s="712" t="s">
        <v>1240</v>
      </c>
      <c r="I43" s="422">
        <v>2025</v>
      </c>
      <c r="J43" s="424">
        <v>2025</v>
      </c>
      <c r="K43" s="588" t="s">
        <v>1340</v>
      </c>
      <c r="L43" s="420" t="s">
        <v>1341</v>
      </c>
      <c r="M43" s="373">
        <v>2366</v>
      </c>
      <c r="N43" s="448">
        <v>2167</v>
      </c>
      <c r="O43" s="374"/>
      <c r="P43" s="373">
        <v>199</v>
      </c>
      <c r="Q43" s="454"/>
      <c r="R43" s="712" t="s">
        <v>1240</v>
      </c>
      <c r="S43" s="434" t="s">
        <v>1230</v>
      </c>
      <c r="T43" s="434" t="s">
        <v>1232</v>
      </c>
      <c r="U43" s="429"/>
      <c r="V43" s="429"/>
      <c r="W43" s="429"/>
      <c r="X43" s="429"/>
      <c r="Y43" s="145">
        <f t="shared" si="4"/>
        <v>30</v>
      </c>
      <c r="Z43" s="375"/>
      <c r="AA43" s="375"/>
      <c r="AB43" s="370">
        <f t="shared" si="5"/>
        <v>30</v>
      </c>
      <c r="AC43" s="370">
        <v>0</v>
      </c>
      <c r="AD43" s="145">
        <v>30</v>
      </c>
      <c r="AE43" s="375"/>
      <c r="AF43" s="145">
        <f t="shared" si="6"/>
        <v>30</v>
      </c>
      <c r="AG43" s="375"/>
      <c r="AH43" s="375"/>
      <c r="AI43" s="145">
        <f t="shared" si="7"/>
        <v>30</v>
      </c>
      <c r="AJ43" s="145">
        <v>0</v>
      </c>
      <c r="AK43" s="145">
        <v>30</v>
      </c>
      <c r="AL43" s="375"/>
      <c r="AM43" s="375"/>
      <c r="AN43" s="375"/>
      <c r="AO43" s="375"/>
      <c r="AP43" s="375"/>
      <c r="AQ43" s="375"/>
      <c r="AR43" s="375"/>
      <c r="AS43" s="376"/>
      <c r="AT43" s="375"/>
      <c r="AU43" s="145">
        <f t="shared" si="8"/>
        <v>0</v>
      </c>
      <c r="AV43" s="375"/>
      <c r="AW43" s="375"/>
      <c r="AX43" s="145">
        <f t="shared" si="9"/>
        <v>0</v>
      </c>
      <c r="AY43" s="145">
        <v>0</v>
      </c>
      <c r="AZ43" s="375"/>
      <c r="BA43" s="375"/>
      <c r="BB43" s="375"/>
      <c r="BC43" s="375"/>
      <c r="BD43" s="375"/>
      <c r="BE43" s="376"/>
      <c r="BF43" s="376"/>
      <c r="BG43" s="376"/>
      <c r="BH43" s="376"/>
      <c r="BI43" s="376"/>
      <c r="BJ43" s="376"/>
      <c r="BK43" s="376"/>
      <c r="BL43" s="376"/>
      <c r="BM43" s="376"/>
      <c r="BN43" s="376"/>
      <c r="BO43" s="376"/>
      <c r="BP43" s="376"/>
      <c r="BQ43" s="376"/>
      <c r="BR43" s="504"/>
      <c r="BS43" s="504"/>
      <c r="BT43" s="552"/>
    </row>
    <row r="44" spans="1:72" ht="30.75" outlineLevel="1">
      <c r="A44" s="438">
        <v>5</v>
      </c>
      <c r="B44" s="737" t="s">
        <v>1342</v>
      </c>
      <c r="C44" s="420" t="s">
        <v>1338</v>
      </c>
      <c r="D44" s="434" t="s">
        <v>1232</v>
      </c>
      <c r="E44" s="588" t="s">
        <v>49</v>
      </c>
      <c r="F44" s="588" t="s">
        <v>48</v>
      </c>
      <c r="G44" s="738" t="s">
        <v>1343</v>
      </c>
      <c r="H44" s="712" t="s">
        <v>1240</v>
      </c>
      <c r="I44" s="422">
        <v>2025</v>
      </c>
      <c r="J44" s="424">
        <v>2025</v>
      </c>
      <c r="K44" s="588" t="s">
        <v>1340</v>
      </c>
      <c r="L44" s="420" t="s">
        <v>1344</v>
      </c>
      <c r="M44" s="373">
        <v>1226</v>
      </c>
      <c r="N44" s="448">
        <v>1226</v>
      </c>
      <c r="O44" s="374"/>
      <c r="P44" s="373">
        <v>0</v>
      </c>
      <c r="Q44" s="454"/>
      <c r="R44" s="712" t="s">
        <v>1240</v>
      </c>
      <c r="S44" s="434" t="s">
        <v>1230</v>
      </c>
      <c r="T44" s="434" t="s">
        <v>1232</v>
      </c>
      <c r="U44" s="429"/>
      <c r="V44" s="429"/>
      <c r="W44" s="429"/>
      <c r="X44" s="429"/>
      <c r="Y44" s="145">
        <f t="shared" si="4"/>
        <v>20</v>
      </c>
      <c r="Z44" s="375"/>
      <c r="AA44" s="375"/>
      <c r="AB44" s="370">
        <f t="shared" si="5"/>
        <v>20</v>
      </c>
      <c r="AC44" s="370">
        <v>0</v>
      </c>
      <c r="AD44" s="145">
        <v>20</v>
      </c>
      <c r="AE44" s="375"/>
      <c r="AF44" s="145">
        <f t="shared" si="6"/>
        <v>20</v>
      </c>
      <c r="AG44" s="375"/>
      <c r="AH44" s="375"/>
      <c r="AI44" s="145">
        <f t="shared" si="7"/>
        <v>20</v>
      </c>
      <c r="AJ44" s="145">
        <v>0</v>
      </c>
      <c r="AK44" s="145">
        <v>20</v>
      </c>
      <c r="AL44" s="375"/>
      <c r="AM44" s="375"/>
      <c r="AN44" s="375"/>
      <c r="AO44" s="375"/>
      <c r="AP44" s="375"/>
      <c r="AQ44" s="375"/>
      <c r="AR44" s="375"/>
      <c r="AS44" s="376"/>
      <c r="AT44" s="375"/>
      <c r="AU44" s="145">
        <f t="shared" si="8"/>
        <v>0</v>
      </c>
      <c r="AV44" s="375"/>
      <c r="AW44" s="375"/>
      <c r="AX44" s="145">
        <f t="shared" si="9"/>
        <v>0</v>
      </c>
      <c r="AY44" s="145">
        <v>0</v>
      </c>
      <c r="AZ44" s="375"/>
      <c r="BA44" s="375"/>
      <c r="BB44" s="375"/>
      <c r="BC44" s="375"/>
      <c r="BD44" s="375"/>
      <c r="BE44" s="376"/>
      <c r="BF44" s="376"/>
      <c r="BG44" s="376"/>
      <c r="BH44" s="376"/>
      <c r="BI44" s="376"/>
      <c r="BJ44" s="376"/>
      <c r="BK44" s="376"/>
      <c r="BL44" s="376"/>
      <c r="BM44" s="376"/>
      <c r="BN44" s="376"/>
      <c r="BO44" s="376"/>
      <c r="BP44" s="376"/>
      <c r="BQ44" s="376"/>
      <c r="BR44" s="504"/>
      <c r="BS44" s="504"/>
      <c r="BT44" s="552"/>
    </row>
    <row r="45" spans="1:72" ht="30.75" outlineLevel="1">
      <c r="A45" s="438">
        <v>6</v>
      </c>
      <c r="B45" s="710" t="s">
        <v>1345</v>
      </c>
      <c r="C45" s="420" t="s">
        <v>1346</v>
      </c>
      <c r="D45" s="434" t="s">
        <v>1232</v>
      </c>
      <c r="E45" s="588" t="s">
        <v>49</v>
      </c>
      <c r="F45" s="588" t="s">
        <v>48</v>
      </c>
      <c r="G45" s="588" t="s">
        <v>1347</v>
      </c>
      <c r="H45" s="434" t="s">
        <v>1233</v>
      </c>
      <c r="I45" s="422">
        <v>2025</v>
      </c>
      <c r="J45" s="424">
        <v>2025</v>
      </c>
      <c r="K45" s="588" t="s">
        <v>1340</v>
      </c>
      <c r="L45" s="420" t="s">
        <v>1348</v>
      </c>
      <c r="M45" s="373">
        <v>880</v>
      </c>
      <c r="N45" s="448">
        <v>880</v>
      </c>
      <c r="O45" s="374"/>
      <c r="P45" s="373"/>
      <c r="Q45" s="454"/>
      <c r="R45" s="434" t="s">
        <v>1233</v>
      </c>
      <c r="S45" s="434" t="s">
        <v>1230</v>
      </c>
      <c r="T45" s="434" t="s">
        <v>1232</v>
      </c>
      <c r="U45" s="429"/>
      <c r="V45" s="429"/>
      <c r="W45" s="429"/>
      <c r="X45" s="429"/>
      <c r="Y45" s="145">
        <f t="shared" si="4"/>
        <v>20</v>
      </c>
      <c r="Z45" s="375"/>
      <c r="AA45" s="375"/>
      <c r="AB45" s="370">
        <f t="shared" si="5"/>
        <v>20</v>
      </c>
      <c r="AC45" s="370">
        <v>0</v>
      </c>
      <c r="AD45" s="145">
        <v>20</v>
      </c>
      <c r="AE45" s="375"/>
      <c r="AF45" s="145">
        <f t="shared" si="6"/>
        <v>20</v>
      </c>
      <c r="AG45" s="375"/>
      <c r="AH45" s="375"/>
      <c r="AI45" s="145">
        <f t="shared" si="7"/>
        <v>20</v>
      </c>
      <c r="AJ45" s="145">
        <v>0</v>
      </c>
      <c r="AK45" s="145">
        <v>20</v>
      </c>
      <c r="AL45" s="375"/>
      <c r="AM45" s="375"/>
      <c r="AN45" s="375"/>
      <c r="AO45" s="375"/>
      <c r="AP45" s="375"/>
      <c r="AQ45" s="375"/>
      <c r="AR45" s="375"/>
      <c r="AS45" s="376"/>
      <c r="AT45" s="375"/>
      <c r="AU45" s="145">
        <f t="shared" si="8"/>
        <v>0</v>
      </c>
      <c r="AV45" s="375"/>
      <c r="AW45" s="375"/>
      <c r="AX45" s="145">
        <f t="shared" si="9"/>
        <v>0</v>
      </c>
      <c r="AY45" s="145">
        <v>0</v>
      </c>
      <c r="AZ45" s="375"/>
      <c r="BA45" s="375"/>
      <c r="BB45" s="375"/>
      <c r="BC45" s="375"/>
      <c r="BD45" s="375"/>
      <c r="BE45" s="376"/>
      <c r="BF45" s="376"/>
      <c r="BG45" s="376"/>
      <c r="BH45" s="376"/>
      <c r="BI45" s="376"/>
      <c r="BJ45" s="376"/>
      <c r="BK45" s="376"/>
      <c r="BL45" s="376"/>
      <c r="BM45" s="376"/>
      <c r="BN45" s="376"/>
      <c r="BO45" s="376"/>
      <c r="BP45" s="376"/>
      <c r="BQ45" s="376"/>
      <c r="BR45" s="504"/>
      <c r="BS45" s="504"/>
      <c r="BT45" s="552"/>
    </row>
    <row r="46" spans="1:72" ht="30.75" outlineLevel="1">
      <c r="A46" s="438">
        <v>7</v>
      </c>
      <c r="B46" s="739" t="s">
        <v>1349</v>
      </c>
      <c r="C46" s="420" t="s">
        <v>1238</v>
      </c>
      <c r="D46" s="434" t="s">
        <v>1232</v>
      </c>
      <c r="E46" s="588" t="s">
        <v>49</v>
      </c>
      <c r="F46" s="588" t="s">
        <v>48</v>
      </c>
      <c r="G46" s="588" t="s">
        <v>1350</v>
      </c>
      <c r="H46" s="434" t="s">
        <v>1267</v>
      </c>
      <c r="I46" s="422">
        <v>2025</v>
      </c>
      <c r="J46" s="424">
        <v>2025</v>
      </c>
      <c r="K46" s="420" t="s">
        <v>1351</v>
      </c>
      <c r="L46" s="420" t="s">
        <v>1352</v>
      </c>
      <c r="M46" s="373">
        <v>10852.84</v>
      </c>
      <c r="N46" s="448">
        <v>4800</v>
      </c>
      <c r="O46" s="374"/>
      <c r="P46" s="373">
        <v>6052.84</v>
      </c>
      <c r="Q46" s="454"/>
      <c r="R46" s="434" t="s">
        <v>1267</v>
      </c>
      <c r="S46" s="434" t="s">
        <v>1230</v>
      </c>
      <c r="T46" s="434" t="s">
        <v>1232</v>
      </c>
      <c r="U46" s="429"/>
      <c r="V46" s="429"/>
      <c r="W46" s="429"/>
      <c r="X46" s="429"/>
      <c r="Y46" s="145">
        <f t="shared" si="4"/>
        <v>50</v>
      </c>
      <c r="Z46" s="375"/>
      <c r="AA46" s="375"/>
      <c r="AB46" s="370">
        <f t="shared" si="5"/>
        <v>50</v>
      </c>
      <c r="AC46" s="370">
        <v>0</v>
      </c>
      <c r="AD46" s="145">
        <v>50</v>
      </c>
      <c r="AE46" s="375"/>
      <c r="AF46" s="145">
        <f t="shared" si="6"/>
        <v>50</v>
      </c>
      <c r="AG46" s="375"/>
      <c r="AH46" s="375"/>
      <c r="AI46" s="145">
        <f t="shared" si="7"/>
        <v>50</v>
      </c>
      <c r="AJ46" s="145">
        <v>0</v>
      </c>
      <c r="AK46" s="145">
        <v>50</v>
      </c>
      <c r="AL46" s="375"/>
      <c r="AM46" s="375"/>
      <c r="AN46" s="375"/>
      <c r="AO46" s="375"/>
      <c r="AP46" s="375"/>
      <c r="AQ46" s="375"/>
      <c r="AR46" s="375"/>
      <c r="AS46" s="376"/>
      <c r="AT46" s="375"/>
      <c r="AU46" s="145">
        <f t="shared" si="8"/>
        <v>0</v>
      </c>
      <c r="AV46" s="375"/>
      <c r="AW46" s="375"/>
      <c r="AX46" s="145">
        <f t="shared" si="9"/>
        <v>0</v>
      </c>
      <c r="AY46" s="145">
        <v>0</v>
      </c>
      <c r="AZ46" s="375"/>
      <c r="BA46" s="375"/>
      <c r="BB46" s="375"/>
      <c r="BC46" s="375"/>
      <c r="BD46" s="375"/>
      <c r="BE46" s="376"/>
      <c r="BF46" s="376"/>
      <c r="BG46" s="376"/>
      <c r="BH46" s="376"/>
      <c r="BI46" s="376"/>
      <c r="BJ46" s="376"/>
      <c r="BK46" s="376"/>
      <c r="BL46" s="376"/>
      <c r="BM46" s="376"/>
      <c r="BN46" s="376"/>
      <c r="BO46" s="376"/>
      <c r="BP46" s="376"/>
      <c r="BQ46" s="376"/>
      <c r="BR46" s="504"/>
      <c r="BS46" s="504"/>
      <c r="BT46" s="552"/>
    </row>
    <row r="47" spans="1:72" ht="30.75" outlineLevel="1">
      <c r="A47" s="438">
        <v>8</v>
      </c>
      <c r="B47" s="710" t="s">
        <v>1331</v>
      </c>
      <c r="C47" s="420" t="s">
        <v>1238</v>
      </c>
      <c r="D47" s="434" t="s">
        <v>1232</v>
      </c>
      <c r="E47" s="422" t="s">
        <v>49</v>
      </c>
      <c r="F47" s="420" t="s">
        <v>105</v>
      </c>
      <c r="G47" s="422">
        <v>7930071</v>
      </c>
      <c r="H47" s="420" t="s">
        <v>1233</v>
      </c>
      <c r="I47" s="420" t="s">
        <v>75</v>
      </c>
      <c r="J47" s="422"/>
      <c r="K47" s="420" t="s">
        <v>1353</v>
      </c>
      <c r="L47" s="585" t="s">
        <v>1333</v>
      </c>
      <c r="M47" s="368">
        <v>23000</v>
      </c>
      <c r="N47" s="711"/>
      <c r="O47" s="711"/>
      <c r="P47" s="711">
        <v>23000</v>
      </c>
      <c r="Q47" s="712"/>
      <c r="R47" s="420" t="s">
        <v>1233</v>
      </c>
      <c r="S47" s="434" t="s">
        <v>1230</v>
      </c>
      <c r="T47" s="434" t="s">
        <v>1232</v>
      </c>
      <c r="U47" s="369"/>
      <c r="V47" s="369"/>
      <c r="W47" s="369"/>
      <c r="X47" s="369"/>
      <c r="Y47" s="145">
        <f t="shared" si="4"/>
        <v>23000</v>
      </c>
      <c r="Z47" s="145"/>
      <c r="AA47" s="145"/>
      <c r="AB47" s="370">
        <f t="shared" si="5"/>
        <v>23000</v>
      </c>
      <c r="AC47" s="370">
        <v>0</v>
      </c>
      <c r="AD47" s="145">
        <f>23000</f>
        <v>23000</v>
      </c>
      <c r="AE47" s="145"/>
      <c r="AF47" s="145">
        <f t="shared" si="6"/>
        <v>0</v>
      </c>
      <c r="AG47" s="145"/>
      <c r="AH47" s="145"/>
      <c r="AI47" s="145">
        <f t="shared" si="7"/>
        <v>0</v>
      </c>
      <c r="AJ47" s="145">
        <v>0</v>
      </c>
      <c r="AK47" s="145"/>
      <c r="AL47" s="145"/>
      <c r="AM47" s="145"/>
      <c r="AN47" s="145"/>
      <c r="AO47" s="145"/>
      <c r="AP47" s="145"/>
      <c r="AQ47" s="145"/>
      <c r="AR47" s="145"/>
      <c r="AS47" s="145"/>
      <c r="AT47" s="371"/>
      <c r="AU47" s="145">
        <f t="shared" si="8"/>
        <v>0</v>
      </c>
      <c r="AV47" s="145"/>
      <c r="AW47" s="145"/>
      <c r="AX47" s="145">
        <f t="shared" si="9"/>
        <v>0</v>
      </c>
      <c r="AY47" s="145">
        <v>0</v>
      </c>
      <c r="AZ47" s="145"/>
      <c r="BA47" s="145"/>
      <c r="BB47" s="145"/>
      <c r="BC47" s="145"/>
      <c r="BD47" s="145"/>
      <c r="BE47" s="370"/>
      <c r="BF47" s="370"/>
      <c r="BG47" s="370"/>
      <c r="BH47" s="370"/>
      <c r="BI47" s="370"/>
      <c r="BJ47" s="370"/>
      <c r="BK47" s="370"/>
      <c r="BL47" s="370"/>
      <c r="BM47" s="145"/>
      <c r="BN47" s="370"/>
      <c r="BO47" s="370"/>
      <c r="BP47" s="145"/>
      <c r="BQ47" s="370"/>
      <c r="BR47" s="372">
        <v>0</v>
      </c>
      <c r="BS47" s="372"/>
      <c r="BT47" s="372"/>
    </row>
    <row r="48" spans="1:72" ht="46.15" outlineLevel="1">
      <c r="A48" s="438">
        <v>9</v>
      </c>
      <c r="B48" s="710" t="s">
        <v>1328</v>
      </c>
      <c r="C48" s="420" t="s">
        <v>1238</v>
      </c>
      <c r="D48" s="434" t="s">
        <v>1232</v>
      </c>
      <c r="E48" s="422" t="s">
        <v>49</v>
      </c>
      <c r="F48" s="420" t="s">
        <v>1122</v>
      </c>
      <c r="G48" s="422">
        <v>7929891</v>
      </c>
      <c r="H48" s="420" t="s">
        <v>1233</v>
      </c>
      <c r="I48" s="420" t="s">
        <v>75</v>
      </c>
      <c r="J48" s="422"/>
      <c r="K48" s="420" t="s">
        <v>1329</v>
      </c>
      <c r="L48" s="585" t="s">
        <v>1330</v>
      </c>
      <c r="M48" s="368">
        <v>30000</v>
      </c>
      <c r="N48" s="711"/>
      <c r="O48" s="711"/>
      <c r="P48" s="711">
        <v>30000</v>
      </c>
      <c r="Q48" s="712"/>
      <c r="R48" s="420" t="s">
        <v>1233</v>
      </c>
      <c r="S48" s="434" t="s">
        <v>1230</v>
      </c>
      <c r="T48" s="434" t="s">
        <v>1232</v>
      </c>
      <c r="U48" s="369"/>
      <c r="V48" s="369"/>
      <c r="W48" s="369"/>
      <c r="X48" s="369"/>
      <c r="Y48" s="145">
        <f>Z48+AA48+AB48</f>
        <v>30000</v>
      </c>
      <c r="Z48" s="145"/>
      <c r="AA48" s="145"/>
      <c r="AB48" s="370">
        <f>AC48+AD48+AE48</f>
        <v>30000</v>
      </c>
      <c r="AC48" s="370">
        <v>0</v>
      </c>
      <c r="AD48" s="145">
        <v>30000</v>
      </c>
      <c r="AE48" s="145"/>
      <c r="AF48" s="145">
        <f>AG48+AH48+AI48</f>
        <v>0</v>
      </c>
      <c r="AG48" s="145"/>
      <c r="AH48" s="145"/>
      <c r="AI48" s="145">
        <f>AJ48+AK48+AL48</f>
        <v>0</v>
      </c>
      <c r="AJ48" s="145">
        <v>0</v>
      </c>
      <c r="AK48" s="145"/>
      <c r="AL48" s="145"/>
      <c r="AM48" s="145"/>
      <c r="AN48" s="145"/>
      <c r="AO48" s="145"/>
      <c r="AP48" s="145"/>
      <c r="AQ48" s="145"/>
      <c r="AR48" s="145"/>
      <c r="AS48" s="145"/>
      <c r="AT48" s="371"/>
      <c r="AU48" s="145">
        <f>AV48+AW48+AX48</f>
        <v>0</v>
      </c>
      <c r="AV48" s="145"/>
      <c r="AW48" s="145"/>
      <c r="AX48" s="145">
        <f>AY48+AZ48+BA48</f>
        <v>0</v>
      </c>
      <c r="AY48" s="145">
        <v>0</v>
      </c>
      <c r="AZ48" s="145"/>
      <c r="BA48" s="145"/>
      <c r="BB48" s="145"/>
      <c r="BC48" s="145"/>
      <c r="BD48" s="145"/>
      <c r="BE48" s="370"/>
      <c r="BF48" s="370"/>
      <c r="BG48" s="370"/>
      <c r="BH48" s="370"/>
      <c r="BI48" s="370"/>
      <c r="BJ48" s="370"/>
      <c r="BK48" s="370"/>
      <c r="BL48" s="370"/>
      <c r="BM48" s="145"/>
      <c r="BN48" s="370"/>
      <c r="BO48" s="370"/>
      <c r="BP48" s="145"/>
      <c r="BQ48" s="370"/>
      <c r="BR48" s="372">
        <v>0</v>
      </c>
      <c r="BS48" s="372"/>
      <c r="BT48" s="372"/>
    </row>
    <row r="49" spans="1:72" ht="30.75" outlineLevel="1">
      <c r="A49" s="438">
        <v>10</v>
      </c>
      <c r="B49" s="710" t="s">
        <v>1334</v>
      </c>
      <c r="C49" s="420" t="s">
        <v>1238</v>
      </c>
      <c r="D49" s="434" t="s">
        <v>1232</v>
      </c>
      <c r="E49" s="422" t="s">
        <v>49</v>
      </c>
      <c r="F49" s="420" t="s">
        <v>82</v>
      </c>
      <c r="G49" s="422">
        <v>8039317</v>
      </c>
      <c r="H49" s="420" t="s">
        <v>1233</v>
      </c>
      <c r="I49" s="420" t="s">
        <v>75</v>
      </c>
      <c r="J49" s="422"/>
      <c r="K49" s="420" t="s">
        <v>1335</v>
      </c>
      <c r="L49" s="585" t="s">
        <v>1354</v>
      </c>
      <c r="M49" s="368">
        <v>22000</v>
      </c>
      <c r="N49" s="711"/>
      <c r="O49" s="711"/>
      <c r="P49" s="711">
        <v>22000</v>
      </c>
      <c r="Q49" s="712"/>
      <c r="R49" s="420" t="s">
        <v>1233</v>
      </c>
      <c r="S49" s="434" t="s">
        <v>1230</v>
      </c>
      <c r="T49" s="434" t="s">
        <v>1232</v>
      </c>
      <c r="U49" s="369"/>
      <c r="V49" s="369"/>
      <c r="W49" s="369"/>
      <c r="X49" s="369"/>
      <c r="Y49" s="145">
        <f>Z49+AA49+AB49</f>
        <v>22000</v>
      </c>
      <c r="Z49" s="145"/>
      <c r="AA49" s="145"/>
      <c r="AB49" s="370">
        <f>AC49+AD49+AE49</f>
        <v>22000</v>
      </c>
      <c r="AC49" s="370">
        <v>0</v>
      </c>
      <c r="AD49" s="145">
        <v>22000</v>
      </c>
      <c r="AE49" s="145"/>
      <c r="AF49" s="145">
        <f>AG49+AH49+AI49</f>
        <v>0</v>
      </c>
      <c r="AG49" s="145"/>
      <c r="AH49" s="145"/>
      <c r="AI49" s="145">
        <f>AJ49+AK49+AL49</f>
        <v>0</v>
      </c>
      <c r="AJ49" s="145">
        <v>0</v>
      </c>
      <c r="AK49" s="145"/>
      <c r="AL49" s="145"/>
      <c r="AM49" s="145"/>
      <c r="AN49" s="145"/>
      <c r="AO49" s="145"/>
      <c r="AP49" s="145"/>
      <c r="AQ49" s="145"/>
      <c r="AR49" s="145"/>
      <c r="AS49" s="145"/>
      <c r="AT49" s="371"/>
      <c r="AU49" s="145">
        <f>AV49+AW49+AX49</f>
        <v>0</v>
      </c>
      <c r="AV49" s="145"/>
      <c r="AW49" s="145"/>
      <c r="AX49" s="145">
        <f>AY49+AZ49+BA49</f>
        <v>0</v>
      </c>
      <c r="AY49" s="145">
        <v>0</v>
      </c>
      <c r="AZ49" s="145"/>
      <c r="BA49" s="145"/>
      <c r="BB49" s="145"/>
      <c r="BC49" s="145"/>
      <c r="BD49" s="145"/>
      <c r="BE49" s="370"/>
      <c r="BF49" s="370"/>
      <c r="BG49" s="370"/>
      <c r="BH49" s="370"/>
      <c r="BI49" s="370"/>
      <c r="BJ49" s="370"/>
      <c r="BK49" s="370"/>
      <c r="BL49" s="370"/>
      <c r="BM49" s="145"/>
      <c r="BN49" s="370"/>
      <c r="BO49" s="370"/>
      <c r="BP49" s="145"/>
      <c r="BQ49" s="370"/>
      <c r="BR49" s="372">
        <v>0</v>
      </c>
      <c r="BS49" s="372"/>
      <c r="BT49" s="372"/>
    </row>
    <row r="50" spans="1:72" ht="30.75" outlineLevel="1">
      <c r="A50" s="438">
        <v>11</v>
      </c>
      <c r="B50" s="710" t="s">
        <v>1355</v>
      </c>
      <c r="C50" s="420" t="s">
        <v>1238</v>
      </c>
      <c r="D50" s="434" t="s">
        <v>1232</v>
      </c>
      <c r="E50" s="422" t="s">
        <v>49</v>
      </c>
      <c r="F50" s="420" t="s">
        <v>82</v>
      </c>
      <c r="G50" s="422">
        <v>7929894</v>
      </c>
      <c r="H50" s="420" t="s">
        <v>1233</v>
      </c>
      <c r="I50" s="420" t="s">
        <v>75</v>
      </c>
      <c r="J50" s="422"/>
      <c r="K50" s="420" t="s">
        <v>1332</v>
      </c>
      <c r="L50" s="585" t="s">
        <v>1356</v>
      </c>
      <c r="M50" s="368">
        <v>7000</v>
      </c>
      <c r="N50" s="711"/>
      <c r="O50" s="711"/>
      <c r="P50" s="711">
        <v>7000</v>
      </c>
      <c r="Q50" s="712"/>
      <c r="R50" s="420" t="s">
        <v>1233</v>
      </c>
      <c r="S50" s="434" t="s">
        <v>1230</v>
      </c>
      <c r="T50" s="434" t="s">
        <v>1232</v>
      </c>
      <c r="U50" s="369"/>
      <c r="V50" s="369"/>
      <c r="W50" s="369"/>
      <c r="X50" s="369"/>
      <c r="Y50" s="145">
        <f>Z50+AA50+AB50</f>
        <v>6290</v>
      </c>
      <c r="Z50" s="145"/>
      <c r="AA50" s="145"/>
      <c r="AB50" s="370">
        <f>AC50+AD50+AE50</f>
        <v>6290</v>
      </c>
      <c r="AC50" s="370">
        <v>0</v>
      </c>
      <c r="AD50" s="145">
        <v>6290</v>
      </c>
      <c r="AE50" s="145"/>
      <c r="AF50" s="145">
        <f>AG50+AH50+AI50</f>
        <v>0</v>
      </c>
      <c r="AG50" s="145"/>
      <c r="AH50" s="145"/>
      <c r="AI50" s="145">
        <f>AJ50+AK50+AL50</f>
        <v>0</v>
      </c>
      <c r="AJ50" s="145">
        <v>0</v>
      </c>
      <c r="AK50" s="145"/>
      <c r="AL50" s="145"/>
      <c r="AM50" s="145"/>
      <c r="AN50" s="145"/>
      <c r="AO50" s="145"/>
      <c r="AP50" s="145"/>
      <c r="AQ50" s="145"/>
      <c r="AR50" s="145"/>
      <c r="AS50" s="145"/>
      <c r="AT50" s="371"/>
      <c r="AU50" s="145">
        <f>AV50+AW50+AX50</f>
        <v>0</v>
      </c>
      <c r="AV50" s="145"/>
      <c r="AW50" s="145"/>
      <c r="AX50" s="145">
        <f>AY50+AZ50+BA50</f>
        <v>0</v>
      </c>
      <c r="AY50" s="145">
        <v>0</v>
      </c>
      <c r="AZ50" s="145"/>
      <c r="BA50" s="145"/>
      <c r="BB50" s="145"/>
      <c r="BC50" s="145"/>
      <c r="BD50" s="145"/>
      <c r="BE50" s="370"/>
      <c r="BF50" s="370"/>
      <c r="BG50" s="370"/>
      <c r="BH50" s="370"/>
      <c r="BI50" s="370"/>
      <c r="BJ50" s="370"/>
      <c r="BK50" s="370"/>
      <c r="BL50" s="370"/>
      <c r="BM50" s="145"/>
      <c r="BN50" s="370"/>
      <c r="BO50" s="370"/>
      <c r="BP50" s="145"/>
      <c r="BQ50" s="370"/>
      <c r="BR50" s="372">
        <v>0</v>
      </c>
      <c r="BS50" s="372"/>
      <c r="BT50" s="372"/>
    </row>
    <row r="51" spans="1:72" ht="30.75" outlineLevel="1">
      <c r="A51" s="438">
        <v>12</v>
      </c>
      <c r="B51" s="739" t="s">
        <v>1357</v>
      </c>
      <c r="C51" s="420" t="s">
        <v>1358</v>
      </c>
      <c r="D51" s="434" t="s">
        <v>1232</v>
      </c>
      <c r="E51" s="588" t="s">
        <v>49</v>
      </c>
      <c r="F51" s="588" t="s">
        <v>1282</v>
      </c>
      <c r="G51" s="588" t="s">
        <v>1359</v>
      </c>
      <c r="H51" s="434" t="s">
        <v>1267</v>
      </c>
      <c r="I51" s="422">
        <v>2025</v>
      </c>
      <c r="J51" s="424">
        <v>2025</v>
      </c>
      <c r="K51" s="588" t="s">
        <v>1340</v>
      </c>
      <c r="L51" s="420" t="s">
        <v>1360</v>
      </c>
      <c r="M51" s="373">
        <v>1452</v>
      </c>
      <c r="N51" s="448">
        <v>780</v>
      </c>
      <c r="O51" s="374"/>
      <c r="P51" s="373">
        <v>672</v>
      </c>
      <c r="Q51" s="454"/>
      <c r="R51" s="434" t="s">
        <v>1267</v>
      </c>
      <c r="S51" s="434" t="s">
        <v>1230</v>
      </c>
      <c r="T51" s="434" t="s">
        <v>1232</v>
      </c>
      <c r="U51" s="429"/>
      <c r="V51" s="429"/>
      <c r="W51" s="429"/>
      <c r="X51" s="429"/>
      <c r="Y51" s="145">
        <f t="shared" si="4"/>
        <v>30</v>
      </c>
      <c r="Z51" s="375"/>
      <c r="AA51" s="375"/>
      <c r="AB51" s="370">
        <f t="shared" si="5"/>
        <v>30</v>
      </c>
      <c r="AC51" s="370">
        <v>0</v>
      </c>
      <c r="AD51" s="145">
        <v>30</v>
      </c>
      <c r="AE51" s="375"/>
      <c r="AF51" s="145">
        <f t="shared" si="6"/>
        <v>30</v>
      </c>
      <c r="AG51" s="375"/>
      <c r="AH51" s="375"/>
      <c r="AI51" s="145">
        <f t="shared" si="7"/>
        <v>30</v>
      </c>
      <c r="AJ51" s="145">
        <v>0</v>
      </c>
      <c r="AK51" s="145">
        <v>30</v>
      </c>
      <c r="AL51" s="375"/>
      <c r="AM51" s="375"/>
      <c r="AN51" s="375"/>
      <c r="AO51" s="375"/>
      <c r="AP51" s="375"/>
      <c r="AQ51" s="375"/>
      <c r="AR51" s="375"/>
      <c r="AS51" s="376"/>
      <c r="AT51" s="375"/>
      <c r="AU51" s="145">
        <f t="shared" si="8"/>
        <v>0</v>
      </c>
      <c r="AV51" s="375"/>
      <c r="AW51" s="375"/>
      <c r="AX51" s="145">
        <f t="shared" si="9"/>
        <v>0</v>
      </c>
      <c r="AY51" s="145">
        <v>0</v>
      </c>
      <c r="AZ51" s="375"/>
      <c r="BA51" s="375"/>
      <c r="BB51" s="375"/>
      <c r="BC51" s="375"/>
      <c r="BD51" s="375"/>
      <c r="BE51" s="376"/>
      <c r="BF51" s="376"/>
      <c r="BG51" s="376"/>
      <c r="BH51" s="376"/>
      <c r="BI51" s="376"/>
      <c r="BJ51" s="376"/>
      <c r="BK51" s="376"/>
      <c r="BL51" s="376"/>
      <c r="BM51" s="376"/>
      <c r="BN51" s="376"/>
      <c r="BO51" s="376"/>
      <c r="BP51" s="376"/>
      <c r="BQ51" s="376"/>
      <c r="BR51" s="504"/>
      <c r="BS51" s="504"/>
      <c r="BT51" s="552"/>
    </row>
    <row r="52" spans="1:72" ht="29.25" customHeight="1" outlineLevel="1">
      <c r="A52" s="553" t="s">
        <v>45</v>
      </c>
      <c r="B52" s="715" t="s">
        <v>51</v>
      </c>
      <c r="C52" s="418"/>
      <c r="D52" s="454"/>
      <c r="E52" s="418"/>
      <c r="F52" s="418"/>
      <c r="G52" s="418"/>
      <c r="H52" s="454"/>
      <c r="I52" s="418"/>
      <c r="J52" s="418"/>
      <c r="K52" s="418"/>
      <c r="L52" s="418"/>
      <c r="M52" s="429">
        <f t="shared" ref="M52:BS52" si="11">SUM(M53:M130)</f>
        <v>482183.77324299997</v>
      </c>
      <c r="N52" s="429">
        <f t="shared" si="11"/>
        <v>0</v>
      </c>
      <c r="O52" s="429">
        <f t="shared" si="11"/>
        <v>0</v>
      </c>
      <c r="P52" s="429">
        <f t="shared" si="11"/>
        <v>474217.902443</v>
      </c>
      <c r="Q52" s="454">
        <f t="shared" si="11"/>
        <v>0</v>
      </c>
      <c r="R52" s="454">
        <f t="shared" si="11"/>
        <v>0</v>
      </c>
      <c r="S52" s="454">
        <f t="shared" si="11"/>
        <v>0</v>
      </c>
      <c r="T52" s="454">
        <f t="shared" si="11"/>
        <v>0</v>
      </c>
      <c r="U52" s="429">
        <f t="shared" si="11"/>
        <v>0</v>
      </c>
      <c r="V52" s="429">
        <f t="shared" si="11"/>
        <v>0</v>
      </c>
      <c r="W52" s="429">
        <f t="shared" si="11"/>
        <v>0</v>
      </c>
      <c r="X52" s="429">
        <f t="shared" si="11"/>
        <v>0</v>
      </c>
      <c r="Y52" s="429">
        <f t="shared" si="11"/>
        <v>471738.77117100003</v>
      </c>
      <c r="Z52" s="429">
        <f t="shared" si="11"/>
        <v>0</v>
      </c>
      <c r="AA52" s="429">
        <f t="shared" si="11"/>
        <v>0</v>
      </c>
      <c r="AB52" s="429">
        <f t="shared" si="11"/>
        <v>471738.77117100003</v>
      </c>
      <c r="AC52" s="429">
        <f t="shared" si="11"/>
        <v>136122.76300000001</v>
      </c>
      <c r="AD52" s="429">
        <f t="shared" si="11"/>
        <v>282762.00817099999</v>
      </c>
      <c r="AE52" s="429">
        <f t="shared" si="11"/>
        <v>52854</v>
      </c>
      <c r="AF52" s="429">
        <f t="shared" si="11"/>
        <v>256268.771171</v>
      </c>
      <c r="AG52" s="429">
        <f t="shared" si="11"/>
        <v>0</v>
      </c>
      <c r="AH52" s="429">
        <f t="shared" si="11"/>
        <v>0</v>
      </c>
      <c r="AI52" s="429">
        <f t="shared" si="11"/>
        <v>256268.771171</v>
      </c>
      <c r="AJ52" s="429">
        <f t="shared" si="11"/>
        <v>88555.763000000006</v>
      </c>
      <c r="AK52" s="429">
        <f t="shared" si="11"/>
        <v>114184.00817099999</v>
      </c>
      <c r="AL52" s="429">
        <f t="shared" si="11"/>
        <v>53529</v>
      </c>
      <c r="AM52" s="429">
        <f t="shared" si="11"/>
        <v>77803.813750000001</v>
      </c>
      <c r="AN52" s="429">
        <f t="shared" si="11"/>
        <v>0</v>
      </c>
      <c r="AO52" s="429">
        <f t="shared" si="11"/>
        <v>669.24199999999996</v>
      </c>
      <c r="AP52" s="429">
        <f t="shared" si="11"/>
        <v>77134.571750000003</v>
      </c>
      <c r="AQ52" s="429">
        <f t="shared" si="11"/>
        <v>35027.571750000003</v>
      </c>
      <c r="AR52" s="429">
        <f t="shared" si="11"/>
        <v>695</v>
      </c>
      <c r="AS52" s="429">
        <f t="shared" si="11"/>
        <v>41412</v>
      </c>
      <c r="AT52" s="429">
        <f t="shared" si="11"/>
        <v>669.24199999999996</v>
      </c>
      <c r="AU52" s="429">
        <f t="shared" si="11"/>
        <v>194242</v>
      </c>
      <c r="AV52" s="429">
        <f t="shared" si="11"/>
        <v>0</v>
      </c>
      <c r="AW52" s="429">
        <f t="shared" si="11"/>
        <v>0</v>
      </c>
      <c r="AX52" s="429">
        <f t="shared" si="11"/>
        <v>194242</v>
      </c>
      <c r="AY52" s="429">
        <f t="shared" si="11"/>
        <v>46974</v>
      </c>
      <c r="AZ52" s="429">
        <f t="shared" si="11"/>
        <v>147268</v>
      </c>
      <c r="BA52" s="429">
        <f t="shared" si="11"/>
        <v>0</v>
      </c>
      <c r="BB52" s="429">
        <f t="shared" si="11"/>
        <v>4732.0709219999999</v>
      </c>
      <c r="BC52" s="429">
        <f t="shared" si="11"/>
        <v>0</v>
      </c>
      <c r="BD52" s="429">
        <f t="shared" si="11"/>
        <v>0</v>
      </c>
      <c r="BE52" s="429">
        <f t="shared" si="11"/>
        <v>4732.0709219999999</v>
      </c>
      <c r="BF52" s="429">
        <f t="shared" si="11"/>
        <v>4732.0709219999999</v>
      </c>
      <c r="BG52" s="429">
        <f t="shared" si="11"/>
        <v>0</v>
      </c>
      <c r="BH52" s="429">
        <f t="shared" si="11"/>
        <v>0</v>
      </c>
      <c r="BI52" s="429">
        <f t="shared" si="11"/>
        <v>0</v>
      </c>
      <c r="BJ52" s="429">
        <f t="shared" si="11"/>
        <v>17.495999999999999</v>
      </c>
      <c r="BK52" s="429">
        <f t="shared" si="11"/>
        <v>0</v>
      </c>
      <c r="BL52" s="429">
        <f t="shared" si="11"/>
        <v>0</v>
      </c>
      <c r="BM52" s="429">
        <f t="shared" si="11"/>
        <v>41416.511078000003</v>
      </c>
      <c r="BN52" s="429">
        <f t="shared" si="11"/>
        <v>17.495999999999999</v>
      </c>
      <c r="BO52" s="429">
        <f t="shared" si="11"/>
        <v>0</v>
      </c>
      <c r="BP52" s="429">
        <f t="shared" si="11"/>
        <v>0</v>
      </c>
      <c r="BQ52" s="429">
        <f t="shared" si="11"/>
        <v>41416.511078000003</v>
      </c>
      <c r="BR52" s="429">
        <f t="shared" si="11"/>
        <v>20625</v>
      </c>
      <c r="BS52" s="429">
        <f t="shared" si="11"/>
        <v>55963.842077999994</v>
      </c>
      <c r="BT52" s="454"/>
    </row>
    <row r="53" spans="1:72" ht="30.75" outlineLevel="1">
      <c r="A53" s="438">
        <v>1</v>
      </c>
      <c r="B53" s="710" t="s">
        <v>1361</v>
      </c>
      <c r="C53" s="420" t="s">
        <v>1238</v>
      </c>
      <c r="D53" s="434" t="s">
        <v>1232</v>
      </c>
      <c r="E53" s="588" t="s">
        <v>49</v>
      </c>
      <c r="F53" s="588" t="s">
        <v>105</v>
      </c>
      <c r="G53" s="588">
        <v>7892095</v>
      </c>
      <c r="H53" s="712" t="s">
        <v>1233</v>
      </c>
      <c r="I53" s="712" t="s">
        <v>1362</v>
      </c>
      <c r="J53" s="422">
        <v>2021</v>
      </c>
      <c r="K53" s="420" t="s">
        <v>1234</v>
      </c>
      <c r="L53" s="438" t="s">
        <v>1363</v>
      </c>
      <c r="M53" s="368">
        <v>750</v>
      </c>
      <c r="N53" s="448"/>
      <c r="O53" s="448"/>
      <c r="P53" s="368">
        <v>750</v>
      </c>
      <c r="Q53" s="434" t="s">
        <v>1364</v>
      </c>
      <c r="R53" s="712" t="s">
        <v>1233</v>
      </c>
      <c r="S53" s="434" t="s">
        <v>1230</v>
      </c>
      <c r="T53" s="434" t="s">
        <v>1232</v>
      </c>
      <c r="U53" s="462"/>
      <c r="V53" s="462"/>
      <c r="W53" s="462"/>
      <c r="X53" s="462"/>
      <c r="Y53" s="145">
        <f t="shared" si="4"/>
        <v>750</v>
      </c>
      <c r="Z53" s="145"/>
      <c r="AA53" s="145"/>
      <c r="AB53" s="370">
        <f t="shared" si="5"/>
        <v>750</v>
      </c>
      <c r="AC53" s="370">
        <v>750</v>
      </c>
      <c r="AD53" s="145"/>
      <c r="AE53" s="145"/>
      <c r="AF53" s="145">
        <f t="shared" si="6"/>
        <v>750</v>
      </c>
      <c r="AG53" s="145"/>
      <c r="AH53" s="145"/>
      <c r="AI53" s="145">
        <f t="shared" si="7"/>
        <v>750</v>
      </c>
      <c r="AJ53" s="145">
        <v>750</v>
      </c>
      <c r="AK53" s="145"/>
      <c r="AL53" s="145"/>
      <c r="AM53" s="145">
        <v>750</v>
      </c>
      <c r="AN53" s="145"/>
      <c r="AO53" s="145"/>
      <c r="AP53" s="145">
        <v>750</v>
      </c>
      <c r="AQ53" s="370">
        <v>750</v>
      </c>
      <c r="AR53" s="145"/>
      <c r="AS53" s="145"/>
      <c r="AT53" s="145"/>
      <c r="AU53" s="145">
        <f t="shared" si="8"/>
        <v>0</v>
      </c>
      <c r="AV53" s="145"/>
      <c r="AW53" s="145"/>
      <c r="AX53" s="145">
        <f t="shared" si="9"/>
        <v>0</v>
      </c>
      <c r="AY53" s="145">
        <v>0</v>
      </c>
      <c r="AZ53" s="145"/>
      <c r="BA53" s="145"/>
      <c r="BB53" s="145">
        <v>0</v>
      </c>
      <c r="BC53" s="145"/>
      <c r="BD53" s="145"/>
      <c r="BE53" s="370"/>
      <c r="BF53" s="370"/>
      <c r="BG53" s="145"/>
      <c r="BH53" s="145"/>
      <c r="BI53" s="145"/>
      <c r="BJ53" s="145"/>
      <c r="BK53" s="145"/>
      <c r="BL53" s="145"/>
      <c r="BM53" s="370"/>
      <c r="BN53" s="145"/>
      <c r="BO53" s="145"/>
      <c r="BP53" s="145"/>
      <c r="BQ53" s="370"/>
      <c r="BR53" s="433"/>
      <c r="BS53" s="433"/>
      <c r="BT53" s="424"/>
    </row>
    <row r="54" spans="1:72" ht="30.75" outlineLevel="1">
      <c r="A54" s="438">
        <v>2</v>
      </c>
      <c r="B54" s="710" t="s">
        <v>1365</v>
      </c>
      <c r="C54" s="420" t="s">
        <v>1238</v>
      </c>
      <c r="D54" s="434" t="s">
        <v>1232</v>
      </c>
      <c r="E54" s="588" t="s">
        <v>49</v>
      </c>
      <c r="F54" s="588" t="s">
        <v>105</v>
      </c>
      <c r="G54" s="588">
        <v>7790662</v>
      </c>
      <c r="H54" s="712" t="s">
        <v>1233</v>
      </c>
      <c r="I54" s="712" t="s">
        <v>1362</v>
      </c>
      <c r="J54" s="422">
        <v>2021</v>
      </c>
      <c r="K54" s="420" t="s">
        <v>1234</v>
      </c>
      <c r="L54" s="438" t="s">
        <v>1366</v>
      </c>
      <c r="M54" s="368">
        <v>1843</v>
      </c>
      <c r="N54" s="448"/>
      <c r="O54" s="448"/>
      <c r="P54" s="368">
        <v>1840</v>
      </c>
      <c r="Q54" s="434" t="s">
        <v>1367</v>
      </c>
      <c r="R54" s="712" t="s">
        <v>1233</v>
      </c>
      <c r="S54" s="434" t="s">
        <v>1230</v>
      </c>
      <c r="T54" s="434" t="s">
        <v>1232</v>
      </c>
      <c r="U54" s="462"/>
      <c r="V54" s="462"/>
      <c r="W54" s="462"/>
      <c r="X54" s="462"/>
      <c r="Y54" s="145">
        <f t="shared" si="4"/>
        <v>1791.5609999999999</v>
      </c>
      <c r="Z54" s="145"/>
      <c r="AA54" s="145"/>
      <c r="AB54" s="370">
        <f t="shared" si="5"/>
        <v>1791.5609999999999</v>
      </c>
      <c r="AC54" s="370">
        <v>1791.5609999999999</v>
      </c>
      <c r="AD54" s="145"/>
      <c r="AE54" s="145"/>
      <c r="AF54" s="145">
        <f t="shared" si="6"/>
        <v>1791.5609999999999</v>
      </c>
      <c r="AG54" s="145"/>
      <c r="AH54" s="145"/>
      <c r="AI54" s="145">
        <f t="shared" si="7"/>
        <v>1791.5609999999999</v>
      </c>
      <c r="AJ54" s="145">
        <v>1791.5609999999999</v>
      </c>
      <c r="AK54" s="145"/>
      <c r="AL54" s="145"/>
      <c r="AM54" s="145">
        <v>1791.5609999999999</v>
      </c>
      <c r="AN54" s="145"/>
      <c r="AO54" s="145"/>
      <c r="AP54" s="145">
        <v>1791.5609999999999</v>
      </c>
      <c r="AQ54" s="370">
        <v>1791.5609999999999</v>
      </c>
      <c r="AR54" s="145"/>
      <c r="AS54" s="145"/>
      <c r="AT54" s="145"/>
      <c r="AU54" s="145">
        <f t="shared" si="8"/>
        <v>0</v>
      </c>
      <c r="AV54" s="145"/>
      <c r="AW54" s="145"/>
      <c r="AX54" s="145">
        <f t="shared" si="9"/>
        <v>0</v>
      </c>
      <c r="AY54" s="145">
        <v>0</v>
      </c>
      <c r="AZ54" s="145"/>
      <c r="BA54" s="145"/>
      <c r="BB54" s="145">
        <v>0</v>
      </c>
      <c r="BC54" s="145"/>
      <c r="BD54" s="145"/>
      <c r="BE54" s="370"/>
      <c r="BF54" s="370"/>
      <c r="BG54" s="145"/>
      <c r="BH54" s="145"/>
      <c r="BI54" s="145"/>
      <c r="BJ54" s="145"/>
      <c r="BK54" s="145"/>
      <c r="BL54" s="145"/>
      <c r="BM54" s="370"/>
      <c r="BN54" s="145"/>
      <c r="BO54" s="145"/>
      <c r="BP54" s="145"/>
      <c r="BQ54" s="370"/>
      <c r="BR54" s="433"/>
      <c r="BS54" s="433"/>
      <c r="BT54" s="424"/>
    </row>
    <row r="55" spans="1:72" ht="30.75" outlineLevel="1">
      <c r="A55" s="438">
        <v>3</v>
      </c>
      <c r="B55" s="710" t="s">
        <v>1368</v>
      </c>
      <c r="C55" s="420" t="s">
        <v>1238</v>
      </c>
      <c r="D55" s="434" t="s">
        <v>1232</v>
      </c>
      <c r="E55" s="588" t="s">
        <v>49</v>
      </c>
      <c r="F55" s="588" t="s">
        <v>105</v>
      </c>
      <c r="G55" s="588">
        <v>7891494</v>
      </c>
      <c r="H55" s="712" t="s">
        <v>1233</v>
      </c>
      <c r="I55" s="712" t="s">
        <v>1362</v>
      </c>
      <c r="J55" s="422">
        <v>2021</v>
      </c>
      <c r="K55" s="420" t="s">
        <v>1234</v>
      </c>
      <c r="L55" s="438" t="s">
        <v>1369</v>
      </c>
      <c r="M55" s="368">
        <v>1400</v>
      </c>
      <c r="N55" s="448"/>
      <c r="O55" s="448"/>
      <c r="P55" s="368">
        <v>1400</v>
      </c>
      <c r="Q55" s="434" t="s">
        <v>1370</v>
      </c>
      <c r="R55" s="712" t="s">
        <v>1233</v>
      </c>
      <c r="S55" s="434" t="s">
        <v>1230</v>
      </c>
      <c r="T55" s="434" t="s">
        <v>1232</v>
      </c>
      <c r="U55" s="462"/>
      <c r="V55" s="462"/>
      <c r="W55" s="462"/>
      <c r="X55" s="462"/>
      <c r="Y55" s="145">
        <f t="shared" si="4"/>
        <v>1393.847</v>
      </c>
      <c r="Z55" s="145"/>
      <c r="AA55" s="145"/>
      <c r="AB55" s="370">
        <f t="shared" si="5"/>
        <v>1393.847</v>
      </c>
      <c r="AC55" s="370">
        <v>1393.847</v>
      </c>
      <c r="AD55" s="145"/>
      <c r="AE55" s="145"/>
      <c r="AF55" s="145">
        <f t="shared" si="6"/>
        <v>1393.847</v>
      </c>
      <c r="AG55" s="145"/>
      <c r="AH55" s="145"/>
      <c r="AI55" s="145">
        <f t="shared" si="7"/>
        <v>1393.847</v>
      </c>
      <c r="AJ55" s="145">
        <v>1393.847</v>
      </c>
      <c r="AK55" s="145"/>
      <c r="AL55" s="145"/>
      <c r="AM55" s="145">
        <v>1393.847</v>
      </c>
      <c r="AN55" s="145"/>
      <c r="AO55" s="145"/>
      <c r="AP55" s="145">
        <v>1393.847</v>
      </c>
      <c r="AQ55" s="370">
        <v>1393.847</v>
      </c>
      <c r="AR55" s="145"/>
      <c r="AS55" s="145"/>
      <c r="AT55" s="145"/>
      <c r="AU55" s="145">
        <f t="shared" si="8"/>
        <v>0</v>
      </c>
      <c r="AV55" s="145"/>
      <c r="AW55" s="145"/>
      <c r="AX55" s="145">
        <f t="shared" si="9"/>
        <v>0</v>
      </c>
      <c r="AY55" s="145">
        <v>0</v>
      </c>
      <c r="AZ55" s="145"/>
      <c r="BA55" s="145"/>
      <c r="BB55" s="145">
        <v>0</v>
      </c>
      <c r="BC55" s="145"/>
      <c r="BD55" s="145"/>
      <c r="BE55" s="370"/>
      <c r="BF55" s="370"/>
      <c r="BG55" s="145"/>
      <c r="BH55" s="145"/>
      <c r="BI55" s="145"/>
      <c r="BJ55" s="145"/>
      <c r="BK55" s="145"/>
      <c r="BL55" s="145"/>
      <c r="BM55" s="370"/>
      <c r="BN55" s="145"/>
      <c r="BO55" s="145"/>
      <c r="BP55" s="145"/>
      <c r="BQ55" s="370"/>
      <c r="BR55" s="433"/>
      <c r="BS55" s="433"/>
      <c r="BT55" s="424"/>
    </row>
    <row r="56" spans="1:72" ht="30.75" outlineLevel="1">
      <c r="A56" s="438">
        <v>4</v>
      </c>
      <c r="B56" s="710" t="s">
        <v>1371</v>
      </c>
      <c r="C56" s="420" t="s">
        <v>1238</v>
      </c>
      <c r="D56" s="434" t="s">
        <v>1232</v>
      </c>
      <c r="E56" s="588" t="s">
        <v>49</v>
      </c>
      <c r="F56" s="588" t="s">
        <v>82</v>
      </c>
      <c r="G56" s="588">
        <v>7892240</v>
      </c>
      <c r="H56" s="712" t="s">
        <v>1233</v>
      </c>
      <c r="I56" s="712" t="s">
        <v>1362</v>
      </c>
      <c r="J56" s="422">
        <v>2021</v>
      </c>
      <c r="K56" s="420" t="s">
        <v>1234</v>
      </c>
      <c r="L56" s="438" t="s">
        <v>1372</v>
      </c>
      <c r="M56" s="368">
        <v>790</v>
      </c>
      <c r="N56" s="448"/>
      <c r="O56" s="448"/>
      <c r="P56" s="368">
        <v>790</v>
      </c>
      <c r="Q56" s="434" t="s">
        <v>1373</v>
      </c>
      <c r="R56" s="712" t="s">
        <v>1233</v>
      </c>
      <c r="S56" s="434" t="s">
        <v>1230</v>
      </c>
      <c r="T56" s="434" t="s">
        <v>1232</v>
      </c>
      <c r="U56" s="462"/>
      <c r="V56" s="462"/>
      <c r="W56" s="462"/>
      <c r="X56" s="462"/>
      <c r="Y56" s="145">
        <f t="shared" si="4"/>
        <v>773.60199999999998</v>
      </c>
      <c r="Z56" s="145"/>
      <c r="AA56" s="145"/>
      <c r="AB56" s="370">
        <f t="shared" si="5"/>
        <v>773.60199999999998</v>
      </c>
      <c r="AC56" s="370">
        <v>773.60199999999998</v>
      </c>
      <c r="AD56" s="145"/>
      <c r="AE56" s="145"/>
      <c r="AF56" s="145">
        <f t="shared" si="6"/>
        <v>773.60199999999998</v>
      </c>
      <c r="AG56" s="145"/>
      <c r="AH56" s="145"/>
      <c r="AI56" s="145">
        <f t="shared" si="7"/>
        <v>773.60199999999998</v>
      </c>
      <c r="AJ56" s="145">
        <v>773.60199999999998</v>
      </c>
      <c r="AK56" s="145"/>
      <c r="AL56" s="145"/>
      <c r="AM56" s="145">
        <v>773.60199999999998</v>
      </c>
      <c r="AN56" s="145"/>
      <c r="AO56" s="145"/>
      <c r="AP56" s="145">
        <v>773.60199999999998</v>
      </c>
      <c r="AQ56" s="370">
        <v>773.60199999999998</v>
      </c>
      <c r="AR56" s="145"/>
      <c r="AS56" s="145"/>
      <c r="AT56" s="145"/>
      <c r="AU56" s="145">
        <f t="shared" si="8"/>
        <v>0</v>
      </c>
      <c r="AV56" s="145"/>
      <c r="AW56" s="145"/>
      <c r="AX56" s="145">
        <f t="shared" si="9"/>
        <v>0</v>
      </c>
      <c r="AY56" s="145">
        <v>0</v>
      </c>
      <c r="AZ56" s="145"/>
      <c r="BA56" s="145"/>
      <c r="BB56" s="145">
        <v>0</v>
      </c>
      <c r="BC56" s="145"/>
      <c r="BD56" s="145"/>
      <c r="BE56" s="370"/>
      <c r="BF56" s="370"/>
      <c r="BG56" s="145"/>
      <c r="BH56" s="145"/>
      <c r="BI56" s="145"/>
      <c r="BJ56" s="145"/>
      <c r="BK56" s="145"/>
      <c r="BL56" s="145"/>
      <c r="BM56" s="370"/>
      <c r="BN56" s="145"/>
      <c r="BO56" s="145"/>
      <c r="BP56" s="145"/>
      <c r="BQ56" s="370"/>
      <c r="BR56" s="433"/>
      <c r="BS56" s="433"/>
      <c r="BT56" s="424"/>
    </row>
    <row r="57" spans="1:72" ht="30.75" outlineLevel="1">
      <c r="A57" s="438">
        <v>5</v>
      </c>
      <c r="B57" s="710" t="s">
        <v>1374</v>
      </c>
      <c r="C57" s="420" t="s">
        <v>1238</v>
      </c>
      <c r="D57" s="434" t="s">
        <v>1232</v>
      </c>
      <c r="E57" s="588" t="s">
        <v>49</v>
      </c>
      <c r="F57" s="588" t="s">
        <v>105</v>
      </c>
      <c r="G57" s="588">
        <v>7929890</v>
      </c>
      <c r="H57" s="712" t="s">
        <v>1233</v>
      </c>
      <c r="I57" s="712" t="s">
        <v>76</v>
      </c>
      <c r="J57" s="422">
        <v>2022</v>
      </c>
      <c r="K57" s="420" t="s">
        <v>1375</v>
      </c>
      <c r="L57" s="438" t="s">
        <v>1376</v>
      </c>
      <c r="M57" s="368">
        <v>1700</v>
      </c>
      <c r="N57" s="448"/>
      <c r="O57" s="448"/>
      <c r="P57" s="368">
        <v>1700</v>
      </c>
      <c r="Q57" s="434" t="s">
        <v>1377</v>
      </c>
      <c r="R57" s="712" t="s">
        <v>1233</v>
      </c>
      <c r="S57" s="434" t="s">
        <v>1230</v>
      </c>
      <c r="T57" s="434" t="s">
        <v>1232</v>
      </c>
      <c r="U57" s="462"/>
      <c r="V57" s="462"/>
      <c r="W57" s="462"/>
      <c r="X57" s="462"/>
      <c r="Y57" s="145">
        <f t="shared" si="4"/>
        <v>1576.1</v>
      </c>
      <c r="Z57" s="145"/>
      <c r="AA57" s="145"/>
      <c r="AB57" s="370">
        <f t="shared" si="5"/>
        <v>1576.1</v>
      </c>
      <c r="AC57" s="370">
        <v>1576.1</v>
      </c>
      <c r="AD57" s="145"/>
      <c r="AE57" s="145"/>
      <c r="AF57" s="145">
        <f t="shared" si="6"/>
        <v>1576.1</v>
      </c>
      <c r="AG57" s="145"/>
      <c r="AH57" s="145"/>
      <c r="AI57" s="145">
        <f t="shared" si="7"/>
        <v>1576.1</v>
      </c>
      <c r="AJ57" s="145">
        <v>1576.1</v>
      </c>
      <c r="AK57" s="145"/>
      <c r="AL57" s="145"/>
      <c r="AM57" s="145">
        <v>1576.1</v>
      </c>
      <c r="AN57" s="145"/>
      <c r="AO57" s="145"/>
      <c r="AP57" s="145">
        <v>1576.1</v>
      </c>
      <c r="AQ57" s="370">
        <v>1576.1</v>
      </c>
      <c r="AR57" s="145"/>
      <c r="AS57" s="145"/>
      <c r="AT57" s="145"/>
      <c r="AU57" s="145">
        <f t="shared" si="8"/>
        <v>0</v>
      </c>
      <c r="AV57" s="145"/>
      <c r="AW57" s="145"/>
      <c r="AX57" s="145">
        <f t="shared" si="9"/>
        <v>0</v>
      </c>
      <c r="AY57" s="145">
        <v>0</v>
      </c>
      <c r="AZ57" s="145"/>
      <c r="BA57" s="145"/>
      <c r="BB57" s="145">
        <v>0</v>
      </c>
      <c r="BC57" s="145"/>
      <c r="BD57" s="145"/>
      <c r="BE57" s="370"/>
      <c r="BF57" s="370"/>
      <c r="BG57" s="145"/>
      <c r="BH57" s="145"/>
      <c r="BI57" s="145"/>
      <c r="BJ57" s="145"/>
      <c r="BK57" s="145"/>
      <c r="BL57" s="145"/>
      <c r="BM57" s="370"/>
      <c r="BN57" s="145"/>
      <c r="BO57" s="145"/>
      <c r="BP57" s="145"/>
      <c r="BQ57" s="370"/>
      <c r="BR57" s="433"/>
      <c r="BS57" s="433"/>
      <c r="BT57" s="424"/>
    </row>
    <row r="58" spans="1:72" ht="30.75" outlineLevel="1">
      <c r="A58" s="438">
        <v>6</v>
      </c>
      <c r="B58" s="710" t="s">
        <v>1378</v>
      </c>
      <c r="C58" s="420" t="s">
        <v>1238</v>
      </c>
      <c r="D58" s="434" t="s">
        <v>1232</v>
      </c>
      <c r="E58" s="588" t="s">
        <v>49</v>
      </c>
      <c r="F58" s="588" t="s">
        <v>105</v>
      </c>
      <c r="G58" s="588">
        <v>7929889</v>
      </c>
      <c r="H58" s="712" t="s">
        <v>1233</v>
      </c>
      <c r="I58" s="712" t="s">
        <v>756</v>
      </c>
      <c r="J58" s="422">
        <v>2022</v>
      </c>
      <c r="K58" s="420" t="s">
        <v>1375</v>
      </c>
      <c r="L58" s="438" t="s">
        <v>1379</v>
      </c>
      <c r="M58" s="368">
        <v>1200</v>
      </c>
      <c r="N58" s="448"/>
      <c r="O58" s="448"/>
      <c r="P58" s="368">
        <v>1200</v>
      </c>
      <c r="Q58" s="434" t="s">
        <v>1380</v>
      </c>
      <c r="R58" s="712" t="s">
        <v>1233</v>
      </c>
      <c r="S58" s="434" t="s">
        <v>1230</v>
      </c>
      <c r="T58" s="434" t="s">
        <v>1232</v>
      </c>
      <c r="U58" s="462"/>
      <c r="V58" s="462"/>
      <c r="W58" s="462"/>
      <c r="X58" s="462"/>
      <c r="Y58" s="145">
        <f t="shared" si="4"/>
        <v>1096.318</v>
      </c>
      <c r="Z58" s="145"/>
      <c r="AA58" s="145"/>
      <c r="AB58" s="370">
        <f t="shared" si="5"/>
        <v>1096.318</v>
      </c>
      <c r="AC58" s="370">
        <v>1096.318</v>
      </c>
      <c r="AD58" s="145"/>
      <c r="AE58" s="145"/>
      <c r="AF58" s="145">
        <f t="shared" si="6"/>
        <v>1096.318</v>
      </c>
      <c r="AG58" s="145"/>
      <c r="AH58" s="145"/>
      <c r="AI58" s="145">
        <f t="shared" si="7"/>
        <v>1096.318</v>
      </c>
      <c r="AJ58" s="145">
        <v>1096.318</v>
      </c>
      <c r="AK58" s="145"/>
      <c r="AL58" s="145"/>
      <c r="AM58" s="145">
        <v>1096.318</v>
      </c>
      <c r="AN58" s="145"/>
      <c r="AO58" s="145"/>
      <c r="AP58" s="145">
        <v>1096.318</v>
      </c>
      <c r="AQ58" s="370">
        <v>1096.318</v>
      </c>
      <c r="AR58" s="145"/>
      <c r="AS58" s="145"/>
      <c r="AT58" s="145"/>
      <c r="AU58" s="145">
        <f t="shared" si="8"/>
        <v>0</v>
      </c>
      <c r="AV58" s="145"/>
      <c r="AW58" s="145"/>
      <c r="AX58" s="145">
        <f t="shared" si="9"/>
        <v>0</v>
      </c>
      <c r="AY58" s="145">
        <v>0</v>
      </c>
      <c r="AZ58" s="145"/>
      <c r="BA58" s="145"/>
      <c r="BB58" s="145">
        <v>0</v>
      </c>
      <c r="BC58" s="145"/>
      <c r="BD58" s="145"/>
      <c r="BE58" s="370"/>
      <c r="BF58" s="370"/>
      <c r="BG58" s="145"/>
      <c r="BH58" s="145"/>
      <c r="BI58" s="145"/>
      <c r="BJ58" s="145"/>
      <c r="BK58" s="145"/>
      <c r="BL58" s="145"/>
      <c r="BM58" s="370"/>
      <c r="BN58" s="145"/>
      <c r="BO58" s="145"/>
      <c r="BP58" s="145"/>
      <c r="BQ58" s="370"/>
      <c r="BR58" s="433"/>
      <c r="BS58" s="433"/>
      <c r="BT58" s="424"/>
    </row>
    <row r="59" spans="1:72" ht="30.75" outlineLevel="1">
      <c r="A59" s="438">
        <v>7</v>
      </c>
      <c r="B59" s="710" t="s">
        <v>1307</v>
      </c>
      <c r="C59" s="420" t="s">
        <v>1238</v>
      </c>
      <c r="D59" s="434" t="s">
        <v>1232</v>
      </c>
      <c r="E59" s="588" t="s">
        <v>49</v>
      </c>
      <c r="F59" s="588" t="s">
        <v>82</v>
      </c>
      <c r="G59" s="588">
        <v>7930050</v>
      </c>
      <c r="H59" s="712" t="s">
        <v>1233</v>
      </c>
      <c r="I59" s="712" t="s">
        <v>56</v>
      </c>
      <c r="J59" s="422">
        <v>2023</v>
      </c>
      <c r="K59" s="420" t="s">
        <v>1309</v>
      </c>
      <c r="L59" s="438" t="s">
        <v>1381</v>
      </c>
      <c r="M59" s="368">
        <v>6000</v>
      </c>
      <c r="N59" s="448"/>
      <c r="O59" s="448"/>
      <c r="P59" s="368">
        <v>6000</v>
      </c>
      <c r="Q59" s="434" t="s">
        <v>1311</v>
      </c>
      <c r="R59" s="712" t="s">
        <v>1233</v>
      </c>
      <c r="S59" s="434" t="s">
        <v>1230</v>
      </c>
      <c r="T59" s="434" t="s">
        <v>1232</v>
      </c>
      <c r="U59" s="462"/>
      <c r="V59" s="462"/>
      <c r="W59" s="462"/>
      <c r="X59" s="462"/>
      <c r="Y59" s="145">
        <f t="shared" si="4"/>
        <v>5223</v>
      </c>
      <c r="Z59" s="145"/>
      <c r="AA59" s="145"/>
      <c r="AB59" s="370">
        <f t="shared" si="5"/>
        <v>5223</v>
      </c>
      <c r="AC59" s="370">
        <v>5223</v>
      </c>
      <c r="AD59" s="145"/>
      <c r="AE59" s="145"/>
      <c r="AF59" s="145">
        <f t="shared" si="6"/>
        <v>5223</v>
      </c>
      <c r="AG59" s="145"/>
      <c r="AH59" s="145"/>
      <c r="AI59" s="145">
        <f t="shared" si="7"/>
        <v>5223</v>
      </c>
      <c r="AJ59" s="145">
        <v>5223</v>
      </c>
      <c r="AK59" s="145"/>
      <c r="AL59" s="145"/>
      <c r="AM59" s="145">
        <v>5223</v>
      </c>
      <c r="AN59" s="145"/>
      <c r="AO59" s="145"/>
      <c r="AP59" s="145">
        <v>5223</v>
      </c>
      <c r="AQ59" s="370">
        <v>5223</v>
      </c>
      <c r="AR59" s="145"/>
      <c r="AS59" s="145"/>
      <c r="AT59" s="145"/>
      <c r="AU59" s="145">
        <f t="shared" si="8"/>
        <v>0</v>
      </c>
      <c r="AV59" s="145"/>
      <c r="AW59" s="145"/>
      <c r="AX59" s="145">
        <f t="shared" si="9"/>
        <v>0</v>
      </c>
      <c r="AY59" s="145">
        <v>0</v>
      </c>
      <c r="AZ59" s="145"/>
      <c r="BA59" s="145"/>
      <c r="BB59" s="145">
        <v>28.914000000000001</v>
      </c>
      <c r="BC59" s="145"/>
      <c r="BD59" s="145"/>
      <c r="BE59" s="370">
        <v>28.914000000000001</v>
      </c>
      <c r="BF59" s="370">
        <v>28.914000000000001</v>
      </c>
      <c r="BG59" s="145"/>
      <c r="BH59" s="145"/>
      <c r="BI59" s="145"/>
      <c r="BJ59" s="145"/>
      <c r="BK59" s="145"/>
      <c r="BL59" s="145"/>
      <c r="BM59" s="370"/>
      <c r="BN59" s="145"/>
      <c r="BO59" s="145"/>
      <c r="BP59" s="145"/>
      <c r="BQ59" s="370"/>
      <c r="BR59" s="433"/>
      <c r="BS59" s="433"/>
      <c r="BT59" s="424"/>
    </row>
    <row r="60" spans="1:72" ht="30.75" outlineLevel="1">
      <c r="A60" s="438">
        <v>8</v>
      </c>
      <c r="B60" s="710" t="s">
        <v>1382</v>
      </c>
      <c r="C60" s="420" t="s">
        <v>1238</v>
      </c>
      <c r="D60" s="434" t="s">
        <v>1232</v>
      </c>
      <c r="E60" s="588" t="s">
        <v>49</v>
      </c>
      <c r="F60" s="588" t="s">
        <v>48</v>
      </c>
      <c r="G60" s="588">
        <v>7930061</v>
      </c>
      <c r="H60" s="712" t="s">
        <v>1233</v>
      </c>
      <c r="I60" s="712" t="s">
        <v>84</v>
      </c>
      <c r="J60" s="422">
        <v>2024</v>
      </c>
      <c r="K60" s="420" t="s">
        <v>1314</v>
      </c>
      <c r="L60" s="420" t="s">
        <v>1315</v>
      </c>
      <c r="M60" s="368">
        <v>1500</v>
      </c>
      <c r="N60" s="448"/>
      <c r="O60" s="448"/>
      <c r="P60" s="368">
        <v>1500</v>
      </c>
      <c r="Q60" s="434" t="s">
        <v>1316</v>
      </c>
      <c r="R60" s="712" t="s">
        <v>1233</v>
      </c>
      <c r="S60" s="434" t="s">
        <v>1230</v>
      </c>
      <c r="T60" s="434" t="s">
        <v>1232</v>
      </c>
      <c r="U60" s="462"/>
      <c r="V60" s="462"/>
      <c r="W60" s="462"/>
      <c r="X60" s="462"/>
      <c r="Y60" s="145">
        <f t="shared" si="4"/>
        <v>1400</v>
      </c>
      <c r="Z60" s="145"/>
      <c r="AA60" s="145"/>
      <c r="AB60" s="370">
        <f t="shared" si="5"/>
        <v>1400</v>
      </c>
      <c r="AC60" s="370">
        <v>1400</v>
      </c>
      <c r="AD60" s="145"/>
      <c r="AE60" s="145"/>
      <c r="AF60" s="145">
        <f t="shared" si="6"/>
        <v>1400</v>
      </c>
      <c r="AG60" s="145"/>
      <c r="AH60" s="145"/>
      <c r="AI60" s="145">
        <f t="shared" si="7"/>
        <v>1400</v>
      </c>
      <c r="AJ60" s="145">
        <v>1400</v>
      </c>
      <c r="AK60" s="145"/>
      <c r="AL60" s="145"/>
      <c r="AM60" s="145">
        <v>1400</v>
      </c>
      <c r="AN60" s="145"/>
      <c r="AO60" s="145"/>
      <c r="AP60" s="145">
        <v>1400</v>
      </c>
      <c r="AQ60" s="370">
        <v>1400</v>
      </c>
      <c r="AR60" s="145"/>
      <c r="AS60" s="145"/>
      <c r="AT60" s="145"/>
      <c r="AU60" s="145">
        <f t="shared" si="8"/>
        <v>0</v>
      </c>
      <c r="AV60" s="145"/>
      <c r="AW60" s="145"/>
      <c r="AX60" s="145">
        <f t="shared" si="9"/>
        <v>0</v>
      </c>
      <c r="AY60" s="145">
        <v>0</v>
      </c>
      <c r="AZ60" s="145"/>
      <c r="BA60" s="145"/>
      <c r="BB60" s="145">
        <v>12.324</v>
      </c>
      <c r="BC60" s="145"/>
      <c r="BD60" s="145"/>
      <c r="BE60" s="370">
        <v>12.324</v>
      </c>
      <c r="BF60" s="370">
        <v>12.324</v>
      </c>
      <c r="BG60" s="145"/>
      <c r="BH60" s="145"/>
      <c r="BI60" s="145"/>
      <c r="BJ60" s="145"/>
      <c r="BK60" s="145"/>
      <c r="BL60" s="145"/>
      <c r="BM60" s="370">
        <v>78.361000000000004</v>
      </c>
      <c r="BN60" s="145"/>
      <c r="BO60" s="145"/>
      <c r="BP60" s="145"/>
      <c r="BQ60" s="370">
        <v>78.361000000000004</v>
      </c>
      <c r="BR60" s="433"/>
      <c r="BS60" s="740">
        <v>44.46</v>
      </c>
      <c r="BT60" s="424"/>
    </row>
    <row r="61" spans="1:72" ht="30.75" outlineLevel="1">
      <c r="A61" s="438">
        <v>9</v>
      </c>
      <c r="B61" s="710" t="s">
        <v>1383</v>
      </c>
      <c r="C61" s="420" t="s">
        <v>1238</v>
      </c>
      <c r="D61" s="434" t="s">
        <v>1232</v>
      </c>
      <c r="E61" s="588" t="s">
        <v>49</v>
      </c>
      <c r="F61" s="588" t="s">
        <v>48</v>
      </c>
      <c r="G61" s="588">
        <v>7930050</v>
      </c>
      <c r="H61" s="712" t="s">
        <v>1233</v>
      </c>
      <c r="I61" s="712" t="s">
        <v>84</v>
      </c>
      <c r="J61" s="422">
        <v>2024</v>
      </c>
      <c r="K61" s="420" t="s">
        <v>1384</v>
      </c>
      <c r="L61" s="438" t="s">
        <v>1385</v>
      </c>
      <c r="M61" s="368">
        <v>4215</v>
      </c>
      <c r="N61" s="448"/>
      <c r="O61" s="448"/>
      <c r="P61" s="368">
        <v>4215</v>
      </c>
      <c r="Q61" s="434" t="s">
        <v>1321</v>
      </c>
      <c r="R61" s="712" t="s">
        <v>1233</v>
      </c>
      <c r="S61" s="434" t="s">
        <v>1230</v>
      </c>
      <c r="T61" s="434" t="s">
        <v>1232</v>
      </c>
      <c r="U61" s="462"/>
      <c r="V61" s="462"/>
      <c r="W61" s="462"/>
      <c r="X61" s="462"/>
      <c r="Y61" s="145">
        <f t="shared" si="4"/>
        <v>4215</v>
      </c>
      <c r="Z61" s="145"/>
      <c r="AA61" s="145"/>
      <c r="AB61" s="370">
        <f t="shared" si="5"/>
        <v>4215</v>
      </c>
      <c r="AC61" s="370">
        <v>4215</v>
      </c>
      <c r="AD61" s="145"/>
      <c r="AE61" s="145"/>
      <c r="AF61" s="145">
        <f t="shared" si="6"/>
        <v>2907</v>
      </c>
      <c r="AG61" s="145"/>
      <c r="AH61" s="145"/>
      <c r="AI61" s="145">
        <f t="shared" si="7"/>
        <v>2907</v>
      </c>
      <c r="AJ61" s="145">
        <v>2907</v>
      </c>
      <c r="AK61" s="145"/>
      <c r="AL61" s="145"/>
      <c r="AM61" s="145">
        <v>3815.7159219999999</v>
      </c>
      <c r="AN61" s="145"/>
      <c r="AO61" s="145"/>
      <c r="AP61" s="145">
        <v>3815.7159219999999</v>
      </c>
      <c r="AQ61" s="370">
        <v>3815.7159219999999</v>
      </c>
      <c r="AR61" s="145"/>
      <c r="AS61" s="145"/>
      <c r="AT61" s="145"/>
      <c r="AU61" s="145">
        <f t="shared" si="8"/>
        <v>1308</v>
      </c>
      <c r="AV61" s="145"/>
      <c r="AW61" s="145"/>
      <c r="AX61" s="145">
        <f t="shared" si="9"/>
        <v>1308</v>
      </c>
      <c r="AY61" s="145">
        <v>1308</v>
      </c>
      <c r="AZ61" s="145"/>
      <c r="BA61" s="145"/>
      <c r="BB61" s="145">
        <v>930.464922</v>
      </c>
      <c r="BC61" s="145"/>
      <c r="BD61" s="145"/>
      <c r="BE61" s="145">
        <v>930.464922</v>
      </c>
      <c r="BF61" s="370">
        <v>930.464922</v>
      </c>
      <c r="BG61" s="145"/>
      <c r="BH61" s="145"/>
      <c r="BI61" s="145"/>
      <c r="BJ61" s="145"/>
      <c r="BK61" s="145"/>
      <c r="BL61" s="145"/>
      <c r="BM61" s="370">
        <v>15.000078</v>
      </c>
      <c r="BN61" s="145"/>
      <c r="BO61" s="145"/>
      <c r="BP61" s="145"/>
      <c r="BQ61" s="370">
        <v>15.000078</v>
      </c>
      <c r="BR61" s="433"/>
      <c r="BS61" s="740">
        <v>15.000078</v>
      </c>
      <c r="BT61" s="424"/>
    </row>
    <row r="62" spans="1:72" ht="30.75" outlineLevel="1">
      <c r="A62" s="438">
        <v>10</v>
      </c>
      <c r="B62" s="710" t="s">
        <v>1386</v>
      </c>
      <c r="C62" s="420" t="s">
        <v>1238</v>
      </c>
      <c r="D62" s="434" t="s">
        <v>1232</v>
      </c>
      <c r="E62" s="588" t="s">
        <v>49</v>
      </c>
      <c r="F62" s="588" t="s">
        <v>48</v>
      </c>
      <c r="G62" s="588">
        <v>7930069</v>
      </c>
      <c r="H62" s="712" t="s">
        <v>1233</v>
      </c>
      <c r="I62" s="712">
        <v>2025</v>
      </c>
      <c r="J62" s="422">
        <v>2025</v>
      </c>
      <c r="K62" s="420" t="s">
        <v>1387</v>
      </c>
      <c r="L62" s="420" t="s">
        <v>1388</v>
      </c>
      <c r="M62" s="368">
        <v>1549</v>
      </c>
      <c r="N62" s="448"/>
      <c r="O62" s="448"/>
      <c r="P62" s="368">
        <v>1549</v>
      </c>
      <c r="Q62" s="434"/>
      <c r="R62" s="712" t="s">
        <v>1233</v>
      </c>
      <c r="S62" s="434" t="s">
        <v>1230</v>
      </c>
      <c r="T62" s="434" t="s">
        <v>1232</v>
      </c>
      <c r="U62" s="462"/>
      <c r="V62" s="462"/>
      <c r="W62" s="462"/>
      <c r="X62" s="462"/>
      <c r="Y62" s="145">
        <f t="shared" si="4"/>
        <v>1446.6569999999999</v>
      </c>
      <c r="Z62" s="145"/>
      <c r="AA62" s="145"/>
      <c r="AB62" s="370">
        <f t="shared" si="5"/>
        <v>1446.6569999999999</v>
      </c>
      <c r="AC62" s="370">
        <v>1300</v>
      </c>
      <c r="AD62" s="145">
        <v>146.65699999999998</v>
      </c>
      <c r="AE62" s="145"/>
      <c r="AF62" s="145">
        <f t="shared" si="6"/>
        <v>146.65699999999998</v>
      </c>
      <c r="AG62" s="145"/>
      <c r="AH62" s="145"/>
      <c r="AI62" s="145">
        <f t="shared" si="7"/>
        <v>146.65699999999998</v>
      </c>
      <c r="AJ62" s="145">
        <v>0</v>
      </c>
      <c r="AK62" s="145">
        <v>146.65699999999998</v>
      </c>
      <c r="AL62" s="145"/>
      <c r="AM62" s="145">
        <v>453.87699999999995</v>
      </c>
      <c r="AN62" s="145"/>
      <c r="AO62" s="145"/>
      <c r="AP62" s="145">
        <v>453.87699999999995</v>
      </c>
      <c r="AQ62" s="370">
        <v>453.87699999999995</v>
      </c>
      <c r="AR62" s="145"/>
      <c r="AS62" s="145"/>
      <c r="AT62" s="145"/>
      <c r="AU62" s="145">
        <f t="shared" si="8"/>
        <v>1300</v>
      </c>
      <c r="AV62" s="145"/>
      <c r="AW62" s="145"/>
      <c r="AX62" s="145">
        <f t="shared" si="9"/>
        <v>1300</v>
      </c>
      <c r="AY62" s="145">
        <v>1300</v>
      </c>
      <c r="AZ62" s="145"/>
      <c r="BA62" s="145"/>
      <c r="BB62" s="145">
        <v>1255.7840000000001</v>
      </c>
      <c r="BC62" s="145"/>
      <c r="BD62" s="145"/>
      <c r="BE62" s="370">
        <v>1255.7840000000001</v>
      </c>
      <c r="BF62" s="370">
        <v>1255.7840000000001</v>
      </c>
      <c r="BG62" s="145"/>
      <c r="BH62" s="145"/>
      <c r="BI62" s="145"/>
      <c r="BJ62" s="145"/>
      <c r="BK62" s="145"/>
      <c r="BL62" s="145"/>
      <c r="BM62" s="370"/>
      <c r="BN62" s="145"/>
      <c r="BO62" s="145"/>
      <c r="BP62" s="145"/>
      <c r="BQ62" s="370"/>
      <c r="BR62" s="433"/>
      <c r="BS62" s="433"/>
      <c r="BT62" s="424"/>
    </row>
    <row r="63" spans="1:72" ht="30.75" outlineLevel="1">
      <c r="A63" s="438">
        <v>11</v>
      </c>
      <c r="B63" s="710" t="s">
        <v>1389</v>
      </c>
      <c r="C63" s="420" t="s">
        <v>1238</v>
      </c>
      <c r="D63" s="434" t="s">
        <v>1232</v>
      </c>
      <c r="E63" s="588" t="s">
        <v>49</v>
      </c>
      <c r="F63" s="588" t="s">
        <v>82</v>
      </c>
      <c r="G63" s="588">
        <v>8100261</v>
      </c>
      <c r="H63" s="712" t="s">
        <v>1233</v>
      </c>
      <c r="I63" s="438">
        <v>2025</v>
      </c>
      <c r="J63" s="424">
        <v>2025</v>
      </c>
      <c r="K63" s="420" t="s">
        <v>1390</v>
      </c>
      <c r="L63" s="420" t="s">
        <v>1391</v>
      </c>
      <c r="M63" s="368">
        <v>22408</v>
      </c>
      <c r="N63" s="448"/>
      <c r="O63" s="448"/>
      <c r="P63" s="368">
        <v>22400</v>
      </c>
      <c r="Q63" s="434"/>
      <c r="R63" s="712" t="s">
        <v>1233</v>
      </c>
      <c r="S63" s="434" t="s">
        <v>1230</v>
      </c>
      <c r="T63" s="434" t="s">
        <v>1232</v>
      </c>
      <c r="U63" s="462"/>
      <c r="V63" s="462"/>
      <c r="W63" s="462"/>
      <c r="X63" s="462"/>
      <c r="Y63" s="145">
        <f t="shared" si="4"/>
        <v>22600</v>
      </c>
      <c r="Z63" s="145"/>
      <c r="AA63" s="145"/>
      <c r="AB63" s="370">
        <f t="shared" si="5"/>
        <v>22600</v>
      </c>
      <c r="AC63" s="370">
        <v>3865</v>
      </c>
      <c r="AD63" s="145">
        <v>18735</v>
      </c>
      <c r="AE63" s="145"/>
      <c r="AF63" s="145">
        <f t="shared" si="6"/>
        <v>200</v>
      </c>
      <c r="AG63" s="145"/>
      <c r="AH63" s="145"/>
      <c r="AI63" s="145">
        <f t="shared" si="7"/>
        <v>200</v>
      </c>
      <c r="AJ63" s="145">
        <v>0</v>
      </c>
      <c r="AK63" s="145">
        <v>200</v>
      </c>
      <c r="AL63" s="145"/>
      <c r="AM63" s="145">
        <v>607.66600000000005</v>
      </c>
      <c r="AN63" s="145"/>
      <c r="AO63" s="145"/>
      <c r="AP63" s="145">
        <v>607.66600000000005</v>
      </c>
      <c r="AQ63" s="145">
        <v>607.66600000000005</v>
      </c>
      <c r="AR63" s="145"/>
      <c r="AS63" s="145"/>
      <c r="AT63" s="145"/>
      <c r="AU63" s="145">
        <f t="shared" si="8"/>
        <v>21865</v>
      </c>
      <c r="AV63" s="145"/>
      <c r="AW63" s="145"/>
      <c r="AX63" s="145">
        <f t="shared" si="9"/>
        <v>21865</v>
      </c>
      <c r="AY63" s="145">
        <v>3865</v>
      </c>
      <c r="AZ63" s="145">
        <v>18000</v>
      </c>
      <c r="BA63" s="145"/>
      <c r="BB63" s="145">
        <v>2504.5839999999998</v>
      </c>
      <c r="BC63" s="145"/>
      <c r="BD63" s="145"/>
      <c r="BE63" s="145">
        <v>2504.5839999999998</v>
      </c>
      <c r="BF63" s="370">
        <v>2504.5839999999998</v>
      </c>
      <c r="BG63" s="370"/>
      <c r="BH63" s="370"/>
      <c r="BI63" s="370"/>
      <c r="BJ63" s="370"/>
      <c r="BK63" s="370"/>
      <c r="BL63" s="370"/>
      <c r="BM63" s="370"/>
      <c r="BN63" s="370"/>
      <c r="BO63" s="370"/>
      <c r="BP63" s="370"/>
      <c r="BQ63" s="370">
        <v>0</v>
      </c>
      <c r="BR63" s="716"/>
      <c r="BS63" s="716"/>
      <c r="BT63" s="424"/>
    </row>
    <row r="64" spans="1:72" ht="30.75" outlineLevel="1">
      <c r="A64" s="438">
        <v>12</v>
      </c>
      <c r="B64" s="741" t="s">
        <v>1392</v>
      </c>
      <c r="C64" s="420" t="s">
        <v>264</v>
      </c>
      <c r="D64" s="434" t="s">
        <v>1232</v>
      </c>
      <c r="E64" s="735" t="s">
        <v>49</v>
      </c>
      <c r="F64" s="438" t="s">
        <v>48</v>
      </c>
      <c r="G64" s="588">
        <v>7930375</v>
      </c>
      <c r="H64" s="742" t="s">
        <v>1233</v>
      </c>
      <c r="I64" s="712" t="s">
        <v>76</v>
      </c>
      <c r="J64" s="424">
        <v>2022</v>
      </c>
      <c r="K64" s="420" t="s">
        <v>1332</v>
      </c>
      <c r="L64" s="420" t="s">
        <v>1393</v>
      </c>
      <c r="M64" s="373">
        <v>9000</v>
      </c>
      <c r="N64" s="713"/>
      <c r="O64" s="374"/>
      <c r="P64" s="373">
        <v>4000</v>
      </c>
      <c r="Q64" s="434" t="s">
        <v>1394</v>
      </c>
      <c r="R64" s="742" t="s">
        <v>1233</v>
      </c>
      <c r="S64" s="434" t="s">
        <v>1230</v>
      </c>
      <c r="T64" s="434" t="s">
        <v>1232</v>
      </c>
      <c r="U64" s="462"/>
      <c r="V64" s="462"/>
      <c r="W64" s="462"/>
      <c r="X64" s="462"/>
      <c r="Y64" s="145">
        <f t="shared" si="4"/>
        <v>3565.5695000000001</v>
      </c>
      <c r="Z64" s="145"/>
      <c r="AA64" s="145"/>
      <c r="AB64" s="370">
        <f t="shared" si="5"/>
        <v>3565.5695000000001</v>
      </c>
      <c r="AC64" s="370">
        <v>3115.5695000000001</v>
      </c>
      <c r="AD64" s="145">
        <v>450</v>
      </c>
      <c r="AE64" s="145"/>
      <c r="AF64" s="145">
        <f t="shared" si="6"/>
        <v>3565.5695000000001</v>
      </c>
      <c r="AG64" s="145"/>
      <c r="AH64" s="145"/>
      <c r="AI64" s="145">
        <f t="shared" si="7"/>
        <v>3565.5695000000001</v>
      </c>
      <c r="AJ64" s="145">
        <v>3115.5695000000001</v>
      </c>
      <c r="AK64" s="145">
        <v>450</v>
      </c>
      <c r="AL64" s="145"/>
      <c r="AM64" s="145">
        <v>3565</v>
      </c>
      <c r="AN64" s="145"/>
      <c r="AO64" s="145"/>
      <c r="AP64" s="145">
        <v>3565</v>
      </c>
      <c r="AQ64" s="734">
        <v>3565</v>
      </c>
      <c r="AR64" s="145"/>
      <c r="AS64" s="145"/>
      <c r="AT64" s="145"/>
      <c r="AU64" s="145">
        <f t="shared" si="8"/>
        <v>0</v>
      </c>
      <c r="AV64" s="145"/>
      <c r="AW64" s="145"/>
      <c r="AX64" s="145">
        <f t="shared" si="9"/>
        <v>0</v>
      </c>
      <c r="AY64" s="145">
        <v>0</v>
      </c>
      <c r="AZ64" s="145"/>
      <c r="BA64" s="145"/>
      <c r="BB64" s="145">
        <v>0</v>
      </c>
      <c r="BC64" s="145"/>
      <c r="BD64" s="145"/>
      <c r="BE64" s="145">
        <v>0</v>
      </c>
      <c r="BF64" s="734"/>
      <c r="BG64" s="370"/>
      <c r="BH64" s="370"/>
      <c r="BI64" s="370"/>
      <c r="BJ64" s="370"/>
      <c r="BK64" s="370"/>
      <c r="BL64" s="370"/>
      <c r="BM64" s="734"/>
      <c r="BN64" s="370"/>
      <c r="BO64" s="370"/>
      <c r="BP64" s="370"/>
      <c r="BQ64" s="734"/>
      <c r="BR64" s="716"/>
      <c r="BS64" s="716"/>
      <c r="BT64" s="424"/>
    </row>
    <row r="65" spans="1:72" ht="30.75" outlineLevel="1">
      <c r="A65" s="438">
        <v>13</v>
      </c>
      <c r="B65" s="741" t="s">
        <v>1395</v>
      </c>
      <c r="C65" s="420" t="s">
        <v>1396</v>
      </c>
      <c r="D65" s="434" t="s">
        <v>1232</v>
      </c>
      <c r="E65" s="735" t="s">
        <v>49</v>
      </c>
      <c r="F65" s="438" t="s">
        <v>1397</v>
      </c>
      <c r="G65" s="588">
        <v>7891152</v>
      </c>
      <c r="H65" s="742" t="s">
        <v>1233</v>
      </c>
      <c r="I65" s="712">
        <v>2021</v>
      </c>
      <c r="J65" s="424">
        <v>2021</v>
      </c>
      <c r="K65" s="420" t="s">
        <v>1375</v>
      </c>
      <c r="L65" s="420" t="s">
        <v>1398</v>
      </c>
      <c r="M65" s="373">
        <v>399.56</v>
      </c>
      <c r="N65" s="713"/>
      <c r="O65" s="374"/>
      <c r="P65" s="373">
        <v>399.56</v>
      </c>
      <c r="Q65" s="434"/>
      <c r="R65" s="742" t="s">
        <v>1233</v>
      </c>
      <c r="S65" s="434" t="s">
        <v>1230</v>
      </c>
      <c r="T65" s="434" t="s">
        <v>1232</v>
      </c>
      <c r="U65" s="462"/>
      <c r="V65" s="462"/>
      <c r="W65" s="462"/>
      <c r="X65" s="462"/>
      <c r="Y65" s="145">
        <f t="shared" si="4"/>
        <v>397.36900000000003</v>
      </c>
      <c r="Z65" s="145"/>
      <c r="AA65" s="145"/>
      <c r="AB65" s="370">
        <f t="shared" si="5"/>
        <v>397.36900000000003</v>
      </c>
      <c r="AC65" s="370">
        <v>397.36900000000003</v>
      </c>
      <c r="AD65" s="145"/>
      <c r="AE65" s="145"/>
      <c r="AF65" s="145">
        <f t="shared" si="6"/>
        <v>397.36900000000003</v>
      </c>
      <c r="AG65" s="145"/>
      <c r="AH65" s="145"/>
      <c r="AI65" s="145">
        <f t="shared" si="7"/>
        <v>397.36900000000003</v>
      </c>
      <c r="AJ65" s="145">
        <v>397.36900000000003</v>
      </c>
      <c r="AK65" s="145"/>
      <c r="AL65" s="145"/>
      <c r="AM65" s="145">
        <v>397.36900000000003</v>
      </c>
      <c r="AN65" s="145"/>
      <c r="AO65" s="145"/>
      <c r="AP65" s="145">
        <v>397.36900000000003</v>
      </c>
      <c r="AQ65" s="734">
        <v>397.36900000000003</v>
      </c>
      <c r="AR65" s="145"/>
      <c r="AS65" s="145"/>
      <c r="AT65" s="145"/>
      <c r="AU65" s="145">
        <f t="shared" si="8"/>
        <v>0</v>
      </c>
      <c r="AV65" s="145"/>
      <c r="AW65" s="145"/>
      <c r="AX65" s="145">
        <f t="shared" si="9"/>
        <v>0</v>
      </c>
      <c r="AY65" s="145">
        <v>0</v>
      </c>
      <c r="AZ65" s="145"/>
      <c r="BA65" s="145"/>
      <c r="BB65" s="145">
        <v>0</v>
      </c>
      <c r="BC65" s="145"/>
      <c r="BD65" s="145"/>
      <c r="BE65" s="145">
        <v>0</v>
      </c>
      <c r="BF65" s="734"/>
      <c r="BG65" s="370"/>
      <c r="BH65" s="370"/>
      <c r="BI65" s="370"/>
      <c r="BJ65" s="370"/>
      <c r="BK65" s="370"/>
      <c r="BL65" s="370"/>
      <c r="BM65" s="734"/>
      <c r="BN65" s="370"/>
      <c r="BO65" s="370"/>
      <c r="BP65" s="370"/>
      <c r="BQ65" s="734"/>
      <c r="BR65" s="716"/>
      <c r="BS65" s="716"/>
      <c r="BT65" s="424"/>
    </row>
    <row r="66" spans="1:72" ht="46.15" outlineLevel="1">
      <c r="A66" s="438">
        <v>14</v>
      </c>
      <c r="B66" s="741" t="s">
        <v>1399</v>
      </c>
      <c r="C66" s="420" t="s">
        <v>1400</v>
      </c>
      <c r="D66" s="434" t="s">
        <v>1232</v>
      </c>
      <c r="E66" s="735" t="s">
        <v>49</v>
      </c>
      <c r="F66" s="438" t="s">
        <v>1401</v>
      </c>
      <c r="G66" s="588">
        <v>7935106</v>
      </c>
      <c r="H66" s="742" t="s">
        <v>1233</v>
      </c>
      <c r="I66" s="712">
        <v>2022</v>
      </c>
      <c r="J66" s="424">
        <v>2022</v>
      </c>
      <c r="K66" s="420" t="s">
        <v>1375</v>
      </c>
      <c r="L66" s="420" t="s">
        <v>1402</v>
      </c>
      <c r="M66" s="373">
        <v>3000</v>
      </c>
      <c r="N66" s="713"/>
      <c r="O66" s="374"/>
      <c r="P66" s="373">
        <v>3000</v>
      </c>
      <c r="Q66" s="434" t="s">
        <v>1403</v>
      </c>
      <c r="R66" s="742" t="s">
        <v>1233</v>
      </c>
      <c r="S66" s="434" t="s">
        <v>1230</v>
      </c>
      <c r="T66" s="434" t="s">
        <v>1232</v>
      </c>
      <c r="U66" s="462"/>
      <c r="V66" s="462"/>
      <c r="W66" s="462"/>
      <c r="X66" s="462"/>
      <c r="Y66" s="145">
        <f t="shared" si="4"/>
        <v>2960.8490000000002</v>
      </c>
      <c r="Z66" s="145"/>
      <c r="AA66" s="145"/>
      <c r="AB66" s="370">
        <f t="shared" si="5"/>
        <v>2960.8490000000002</v>
      </c>
      <c r="AC66" s="370">
        <v>2960.8490000000002</v>
      </c>
      <c r="AD66" s="145"/>
      <c r="AE66" s="145"/>
      <c r="AF66" s="145">
        <f t="shared" si="6"/>
        <v>2960.8490000000002</v>
      </c>
      <c r="AG66" s="145"/>
      <c r="AH66" s="145"/>
      <c r="AI66" s="145">
        <f t="shared" si="7"/>
        <v>2960.8490000000002</v>
      </c>
      <c r="AJ66" s="145">
        <v>2960.8490000000002</v>
      </c>
      <c r="AK66" s="145"/>
      <c r="AL66" s="145"/>
      <c r="AM66" s="145">
        <v>2977.7249999999999</v>
      </c>
      <c r="AN66" s="145"/>
      <c r="AO66" s="145"/>
      <c r="AP66" s="145">
        <v>2977.7249999999999</v>
      </c>
      <c r="AQ66" s="734">
        <v>2977.7249999999999</v>
      </c>
      <c r="AR66" s="145"/>
      <c r="AS66" s="145"/>
      <c r="AT66" s="145"/>
      <c r="AU66" s="145">
        <f t="shared" si="8"/>
        <v>0</v>
      </c>
      <c r="AV66" s="145"/>
      <c r="AW66" s="145"/>
      <c r="AX66" s="145">
        <f t="shared" si="9"/>
        <v>0</v>
      </c>
      <c r="AY66" s="145">
        <v>0</v>
      </c>
      <c r="AZ66" s="145"/>
      <c r="BA66" s="145"/>
      <c r="BB66" s="145">
        <v>0</v>
      </c>
      <c r="BC66" s="145"/>
      <c r="BD66" s="145"/>
      <c r="BE66" s="145">
        <v>0</v>
      </c>
      <c r="BF66" s="734"/>
      <c r="BG66" s="370"/>
      <c r="BH66" s="370"/>
      <c r="BI66" s="370"/>
      <c r="BJ66" s="370"/>
      <c r="BK66" s="370"/>
      <c r="BL66" s="370"/>
      <c r="BM66" s="734"/>
      <c r="BN66" s="370"/>
      <c r="BO66" s="370"/>
      <c r="BP66" s="370"/>
      <c r="BQ66" s="734"/>
      <c r="BR66" s="716"/>
      <c r="BS66" s="716"/>
      <c r="BT66" s="424"/>
    </row>
    <row r="67" spans="1:72" ht="46.15" outlineLevel="1">
      <c r="A67" s="438">
        <v>15</v>
      </c>
      <c r="B67" s="741" t="s">
        <v>1280</v>
      </c>
      <c r="C67" s="420" t="s">
        <v>1281</v>
      </c>
      <c r="D67" s="434" t="s">
        <v>1232</v>
      </c>
      <c r="E67" s="735" t="s">
        <v>49</v>
      </c>
      <c r="F67" s="438" t="s">
        <v>1282</v>
      </c>
      <c r="G67" s="588">
        <v>7892241</v>
      </c>
      <c r="H67" s="742" t="s">
        <v>1233</v>
      </c>
      <c r="I67" s="712">
        <v>2021</v>
      </c>
      <c r="J67" s="424">
        <v>2021</v>
      </c>
      <c r="K67" s="420" t="s">
        <v>1234</v>
      </c>
      <c r="L67" s="420" t="s">
        <v>1283</v>
      </c>
      <c r="M67" s="373">
        <v>1178.579</v>
      </c>
      <c r="N67" s="713"/>
      <c r="O67" s="374"/>
      <c r="P67" s="373">
        <v>1178.579</v>
      </c>
      <c r="Q67" s="434" t="s">
        <v>1284</v>
      </c>
      <c r="R67" s="742" t="s">
        <v>1233</v>
      </c>
      <c r="S67" s="434" t="s">
        <v>1230</v>
      </c>
      <c r="T67" s="434" t="s">
        <v>1232</v>
      </c>
      <c r="U67" s="462"/>
      <c r="V67" s="462"/>
      <c r="W67" s="462"/>
      <c r="X67" s="462"/>
      <c r="Y67" s="145">
        <f t="shared" si="4"/>
        <v>1100</v>
      </c>
      <c r="Z67" s="145"/>
      <c r="AA67" s="145"/>
      <c r="AB67" s="370">
        <f t="shared" si="5"/>
        <v>1100</v>
      </c>
      <c r="AC67" s="370">
        <v>1100</v>
      </c>
      <c r="AD67" s="145"/>
      <c r="AE67" s="145"/>
      <c r="AF67" s="145">
        <f t="shared" si="6"/>
        <v>1100</v>
      </c>
      <c r="AG67" s="145"/>
      <c r="AH67" s="145"/>
      <c r="AI67" s="145">
        <f t="shared" si="7"/>
        <v>1100</v>
      </c>
      <c r="AJ67" s="145">
        <v>1100</v>
      </c>
      <c r="AK67" s="145"/>
      <c r="AL67" s="145"/>
      <c r="AM67" s="145">
        <v>1106.3579999999999</v>
      </c>
      <c r="AN67" s="145"/>
      <c r="AO67" s="145"/>
      <c r="AP67" s="145">
        <v>1106.3579999999999</v>
      </c>
      <c r="AQ67" s="734">
        <v>1106.3579999999999</v>
      </c>
      <c r="AR67" s="145"/>
      <c r="AS67" s="145"/>
      <c r="AT67" s="145"/>
      <c r="AU67" s="145">
        <f t="shared" si="8"/>
        <v>0</v>
      </c>
      <c r="AV67" s="145"/>
      <c r="AW67" s="145"/>
      <c r="AX67" s="145">
        <f t="shared" si="9"/>
        <v>0</v>
      </c>
      <c r="AY67" s="145">
        <v>0</v>
      </c>
      <c r="AZ67" s="145"/>
      <c r="BA67" s="145"/>
      <c r="BB67" s="145">
        <v>0</v>
      </c>
      <c r="BC67" s="145"/>
      <c r="BD67" s="145"/>
      <c r="BE67" s="145">
        <v>0</v>
      </c>
      <c r="BF67" s="734"/>
      <c r="BG67" s="370"/>
      <c r="BH67" s="370"/>
      <c r="BI67" s="370"/>
      <c r="BJ67" s="370"/>
      <c r="BK67" s="370"/>
      <c r="BL67" s="370"/>
      <c r="BM67" s="734"/>
      <c r="BN67" s="370"/>
      <c r="BO67" s="370"/>
      <c r="BP67" s="370"/>
      <c r="BQ67" s="734"/>
      <c r="BR67" s="716"/>
      <c r="BS67" s="716"/>
      <c r="BT67" s="424"/>
    </row>
    <row r="68" spans="1:72" ht="92.25" outlineLevel="1">
      <c r="A68" s="438">
        <v>16</v>
      </c>
      <c r="B68" s="710" t="s">
        <v>1404</v>
      </c>
      <c r="C68" s="420" t="s">
        <v>1405</v>
      </c>
      <c r="D68" s="434" t="s">
        <v>1232</v>
      </c>
      <c r="E68" s="422" t="s">
        <v>49</v>
      </c>
      <c r="F68" s="420" t="s">
        <v>1122</v>
      </c>
      <c r="G68" s="422">
        <v>8033204</v>
      </c>
      <c r="H68" s="420" t="s">
        <v>1406</v>
      </c>
      <c r="I68" s="420" t="s">
        <v>56</v>
      </c>
      <c r="J68" s="422">
        <v>2023</v>
      </c>
      <c r="K68" s="420" t="s">
        <v>1375</v>
      </c>
      <c r="L68" s="585" t="s">
        <v>1407</v>
      </c>
      <c r="M68" s="368">
        <v>4999</v>
      </c>
      <c r="N68" s="711"/>
      <c r="O68" s="711"/>
      <c r="P68" s="711">
        <v>4999</v>
      </c>
      <c r="Q68" s="712"/>
      <c r="R68" s="420" t="s">
        <v>1406</v>
      </c>
      <c r="S68" s="434" t="s">
        <v>1230</v>
      </c>
      <c r="T68" s="434" t="s">
        <v>1232</v>
      </c>
      <c r="U68" s="369"/>
      <c r="V68" s="369"/>
      <c r="W68" s="369"/>
      <c r="X68" s="369"/>
      <c r="Y68" s="145">
        <f t="shared" si="4"/>
        <v>4686.5474999999997</v>
      </c>
      <c r="Z68" s="145"/>
      <c r="AA68" s="145"/>
      <c r="AB68" s="370">
        <f t="shared" si="5"/>
        <v>4686.5474999999997</v>
      </c>
      <c r="AC68" s="370">
        <v>4686.5474999999997</v>
      </c>
      <c r="AD68" s="145"/>
      <c r="AE68" s="145"/>
      <c r="AF68" s="145">
        <f t="shared" si="6"/>
        <v>4686.5474999999997</v>
      </c>
      <c r="AG68" s="145"/>
      <c r="AH68" s="145"/>
      <c r="AI68" s="145">
        <f t="shared" si="7"/>
        <v>4686.5474999999997</v>
      </c>
      <c r="AJ68" s="145">
        <v>4686.5474999999997</v>
      </c>
      <c r="AK68" s="145"/>
      <c r="AL68" s="145"/>
      <c r="AM68" s="145">
        <v>4686.1538280000004</v>
      </c>
      <c r="AN68" s="145"/>
      <c r="AO68" s="145"/>
      <c r="AP68" s="145">
        <v>4686.1538280000004</v>
      </c>
      <c r="AQ68" s="145">
        <v>4686.1538280000004</v>
      </c>
      <c r="AR68" s="145"/>
      <c r="AS68" s="145"/>
      <c r="AT68" s="371"/>
      <c r="AU68" s="145">
        <f t="shared" si="8"/>
        <v>0</v>
      </c>
      <c r="AV68" s="145"/>
      <c r="AW68" s="145"/>
      <c r="AX68" s="145">
        <f t="shared" si="9"/>
        <v>0</v>
      </c>
      <c r="AY68" s="145">
        <v>0</v>
      </c>
      <c r="AZ68" s="145"/>
      <c r="BA68" s="145"/>
      <c r="BB68" s="145">
        <v>0</v>
      </c>
      <c r="BC68" s="145"/>
      <c r="BD68" s="145"/>
      <c r="BE68" s="370">
        <v>0</v>
      </c>
      <c r="BF68" s="370"/>
      <c r="BG68" s="370"/>
      <c r="BH68" s="370"/>
      <c r="BI68" s="370"/>
      <c r="BJ68" s="370"/>
      <c r="BK68" s="370"/>
      <c r="BL68" s="370"/>
      <c r="BM68" s="145"/>
      <c r="BN68" s="370"/>
      <c r="BO68" s="370"/>
      <c r="BP68" s="145"/>
      <c r="BQ68" s="370"/>
      <c r="BR68" s="372"/>
      <c r="BS68" s="372"/>
      <c r="BT68" s="372"/>
    </row>
    <row r="69" spans="1:72" ht="30.75" outlineLevel="1">
      <c r="A69" s="438">
        <v>17</v>
      </c>
      <c r="B69" s="710" t="s">
        <v>1231</v>
      </c>
      <c r="C69" s="420" t="s">
        <v>699</v>
      </c>
      <c r="D69" s="434" t="s">
        <v>1232</v>
      </c>
      <c r="E69" s="422" t="s">
        <v>49</v>
      </c>
      <c r="F69" s="420" t="s">
        <v>105</v>
      </c>
      <c r="G69" s="422">
        <v>7893543</v>
      </c>
      <c r="H69" s="420" t="s">
        <v>1233</v>
      </c>
      <c r="I69" s="420">
        <v>2021</v>
      </c>
      <c r="J69" s="422">
        <v>2021</v>
      </c>
      <c r="K69" s="420" t="s">
        <v>1234</v>
      </c>
      <c r="L69" s="585" t="s">
        <v>1235</v>
      </c>
      <c r="M69" s="368">
        <v>920</v>
      </c>
      <c r="N69" s="711"/>
      <c r="O69" s="711"/>
      <c r="P69" s="711">
        <v>920</v>
      </c>
      <c r="Q69" s="712" t="s">
        <v>1236</v>
      </c>
      <c r="R69" s="420" t="s">
        <v>1233</v>
      </c>
      <c r="S69" s="434" t="s">
        <v>1230</v>
      </c>
      <c r="T69" s="434" t="s">
        <v>1232</v>
      </c>
      <c r="U69" s="369"/>
      <c r="V69" s="369"/>
      <c r="W69" s="369"/>
      <c r="X69" s="369"/>
      <c r="Y69" s="145">
        <f t="shared" si="4"/>
        <v>885</v>
      </c>
      <c r="Z69" s="145"/>
      <c r="AA69" s="145"/>
      <c r="AB69" s="370">
        <f t="shared" si="5"/>
        <v>885</v>
      </c>
      <c r="AC69" s="370">
        <v>885</v>
      </c>
      <c r="AD69" s="145"/>
      <c r="AE69" s="145"/>
      <c r="AF69" s="145">
        <f t="shared" si="6"/>
        <v>885</v>
      </c>
      <c r="AG69" s="145"/>
      <c r="AH69" s="145"/>
      <c r="AI69" s="145">
        <f t="shared" si="7"/>
        <v>885</v>
      </c>
      <c r="AJ69" s="145">
        <v>885</v>
      </c>
      <c r="AK69" s="145"/>
      <c r="AL69" s="145"/>
      <c r="AM69" s="145">
        <v>913.279</v>
      </c>
      <c r="AN69" s="145"/>
      <c r="AO69" s="145"/>
      <c r="AP69" s="145">
        <v>913.279</v>
      </c>
      <c r="AQ69" s="145">
        <v>913.279</v>
      </c>
      <c r="AR69" s="145"/>
      <c r="AS69" s="145"/>
      <c r="AT69" s="371"/>
      <c r="AU69" s="145">
        <f t="shared" si="8"/>
        <v>0</v>
      </c>
      <c r="AV69" s="145"/>
      <c r="AW69" s="145"/>
      <c r="AX69" s="145">
        <f t="shared" si="9"/>
        <v>0</v>
      </c>
      <c r="AY69" s="145">
        <v>0</v>
      </c>
      <c r="AZ69" s="145"/>
      <c r="BA69" s="145"/>
      <c r="BB69" s="145">
        <v>0</v>
      </c>
      <c r="BC69" s="145"/>
      <c r="BD69" s="145"/>
      <c r="BE69" s="370">
        <v>0</v>
      </c>
      <c r="BF69" s="370"/>
      <c r="BG69" s="370"/>
      <c r="BH69" s="370"/>
      <c r="BI69" s="370"/>
      <c r="BJ69" s="370"/>
      <c r="BK69" s="370"/>
      <c r="BL69" s="370"/>
      <c r="BM69" s="145"/>
      <c r="BN69" s="370"/>
      <c r="BO69" s="370"/>
      <c r="BP69" s="145"/>
      <c r="BQ69" s="370"/>
      <c r="BR69" s="372"/>
      <c r="BS69" s="372"/>
      <c r="BT69" s="372"/>
    </row>
    <row r="70" spans="1:72" ht="30.75" outlineLevel="1">
      <c r="A70" s="438">
        <v>18</v>
      </c>
      <c r="B70" s="710" t="s">
        <v>1408</v>
      </c>
      <c r="C70" s="420" t="s">
        <v>1238</v>
      </c>
      <c r="D70" s="434" t="s">
        <v>1232</v>
      </c>
      <c r="E70" s="422" t="s">
        <v>49</v>
      </c>
      <c r="F70" s="420" t="s">
        <v>48</v>
      </c>
      <c r="G70" s="422">
        <v>7790788</v>
      </c>
      <c r="H70" s="420" t="s">
        <v>1233</v>
      </c>
      <c r="I70" s="420" t="s">
        <v>73</v>
      </c>
      <c r="J70" s="422">
        <v>2020</v>
      </c>
      <c r="K70" s="420" t="s">
        <v>1256</v>
      </c>
      <c r="L70" s="585" t="s">
        <v>1409</v>
      </c>
      <c r="M70" s="368">
        <v>332.71100000000001</v>
      </c>
      <c r="N70" s="711"/>
      <c r="O70" s="711"/>
      <c r="P70" s="711">
        <v>332.71100000000001</v>
      </c>
      <c r="Q70" s="712" t="s">
        <v>1410</v>
      </c>
      <c r="R70" s="420" t="s">
        <v>1233</v>
      </c>
      <c r="S70" s="434" t="s">
        <v>1230</v>
      </c>
      <c r="T70" s="434" t="s">
        <v>1232</v>
      </c>
      <c r="U70" s="369"/>
      <c r="V70" s="369"/>
      <c r="W70" s="369"/>
      <c r="X70" s="369"/>
      <c r="Y70" s="145">
        <f t="shared" si="4"/>
        <v>253.24199999999999</v>
      </c>
      <c r="Z70" s="145"/>
      <c r="AA70" s="145"/>
      <c r="AB70" s="370">
        <f t="shared" si="5"/>
        <v>253.24199999999999</v>
      </c>
      <c r="AC70" s="370">
        <v>0</v>
      </c>
      <c r="AD70" s="145">
        <v>253.24199999999999</v>
      </c>
      <c r="AE70" s="145"/>
      <c r="AF70" s="145">
        <f t="shared" si="6"/>
        <v>253.24199999999999</v>
      </c>
      <c r="AG70" s="145"/>
      <c r="AH70" s="145"/>
      <c r="AI70" s="145">
        <f t="shared" si="7"/>
        <v>253.24199999999999</v>
      </c>
      <c r="AJ70" s="145">
        <v>0</v>
      </c>
      <c r="AK70" s="145">
        <v>253.24199999999999</v>
      </c>
      <c r="AL70" s="145"/>
      <c r="AM70" s="145">
        <v>1268</v>
      </c>
      <c r="AN70" s="145"/>
      <c r="AO70" s="145"/>
      <c r="AP70" s="145">
        <v>1268</v>
      </c>
      <c r="AQ70" s="145"/>
      <c r="AR70" s="145"/>
      <c r="AS70" s="145">
        <v>1268</v>
      </c>
      <c r="AT70" s="371"/>
      <c r="AU70" s="145">
        <f t="shared" si="8"/>
        <v>0</v>
      </c>
      <c r="AV70" s="145"/>
      <c r="AW70" s="145"/>
      <c r="AX70" s="145">
        <f t="shared" si="9"/>
        <v>0</v>
      </c>
      <c r="AY70" s="145">
        <v>0</v>
      </c>
      <c r="AZ70" s="145"/>
      <c r="BA70" s="145"/>
      <c r="BB70" s="145"/>
      <c r="BC70" s="145"/>
      <c r="BD70" s="145"/>
      <c r="BE70" s="370"/>
      <c r="BF70" s="370"/>
      <c r="BG70" s="370"/>
      <c r="BH70" s="370"/>
      <c r="BI70" s="370"/>
      <c r="BJ70" s="370"/>
      <c r="BK70" s="370"/>
      <c r="BL70" s="370"/>
      <c r="BM70" s="145"/>
      <c r="BN70" s="370"/>
      <c r="BO70" s="370"/>
      <c r="BP70" s="145"/>
      <c r="BQ70" s="370"/>
      <c r="BR70" s="372">
        <v>0</v>
      </c>
      <c r="BS70" s="372"/>
      <c r="BT70" s="372"/>
    </row>
    <row r="71" spans="1:72" ht="30.75" outlineLevel="1">
      <c r="A71" s="438">
        <v>19</v>
      </c>
      <c r="B71" s="710" t="s">
        <v>1411</v>
      </c>
      <c r="C71" s="420" t="s">
        <v>1238</v>
      </c>
      <c r="D71" s="434" t="s">
        <v>1232</v>
      </c>
      <c r="E71" s="422" t="s">
        <v>49</v>
      </c>
      <c r="F71" s="420" t="s">
        <v>48</v>
      </c>
      <c r="G71" s="422">
        <v>7790789</v>
      </c>
      <c r="H71" s="420" t="s">
        <v>1233</v>
      </c>
      <c r="I71" s="420" t="s">
        <v>73</v>
      </c>
      <c r="J71" s="422">
        <v>2020</v>
      </c>
      <c r="K71" s="420" t="s">
        <v>1256</v>
      </c>
      <c r="L71" s="585" t="s">
        <v>1412</v>
      </c>
      <c r="M71" s="368">
        <v>615</v>
      </c>
      <c r="N71" s="711"/>
      <c r="O71" s="711"/>
      <c r="P71" s="711">
        <v>615</v>
      </c>
      <c r="Q71" s="712" t="s">
        <v>1413</v>
      </c>
      <c r="R71" s="420" t="s">
        <v>1233</v>
      </c>
      <c r="S71" s="434" t="s">
        <v>1230</v>
      </c>
      <c r="T71" s="434" t="s">
        <v>1232</v>
      </c>
      <c r="U71" s="369"/>
      <c r="V71" s="369"/>
      <c r="W71" s="369"/>
      <c r="X71" s="369"/>
      <c r="Y71" s="145">
        <f t="shared" si="4"/>
        <v>513.88400000000001</v>
      </c>
      <c r="Z71" s="145"/>
      <c r="AA71" s="145"/>
      <c r="AB71" s="370">
        <f t="shared" si="5"/>
        <v>513.88400000000001</v>
      </c>
      <c r="AC71" s="370">
        <v>0</v>
      </c>
      <c r="AD71" s="145">
        <v>513.88400000000001</v>
      </c>
      <c r="AE71" s="145"/>
      <c r="AF71" s="145">
        <f t="shared" si="6"/>
        <v>513.88400000000001</v>
      </c>
      <c r="AG71" s="145"/>
      <c r="AH71" s="145"/>
      <c r="AI71" s="145">
        <f t="shared" si="7"/>
        <v>513.88400000000001</v>
      </c>
      <c r="AJ71" s="145">
        <v>0</v>
      </c>
      <c r="AK71" s="145">
        <v>513.88400000000001</v>
      </c>
      <c r="AL71" s="145"/>
      <c r="AM71" s="145">
        <v>1066</v>
      </c>
      <c r="AN71" s="145"/>
      <c r="AO71" s="145"/>
      <c r="AP71" s="145">
        <v>1066</v>
      </c>
      <c r="AQ71" s="145"/>
      <c r="AR71" s="145"/>
      <c r="AS71" s="145">
        <v>1066</v>
      </c>
      <c r="AT71" s="371"/>
      <c r="AU71" s="145">
        <f t="shared" si="8"/>
        <v>0</v>
      </c>
      <c r="AV71" s="145"/>
      <c r="AW71" s="145"/>
      <c r="AX71" s="145">
        <f t="shared" si="9"/>
        <v>0</v>
      </c>
      <c r="AY71" s="145">
        <v>0</v>
      </c>
      <c r="AZ71" s="145"/>
      <c r="BA71" s="145"/>
      <c r="BB71" s="145"/>
      <c r="BC71" s="145"/>
      <c r="BD71" s="145"/>
      <c r="BE71" s="370"/>
      <c r="BF71" s="370"/>
      <c r="BG71" s="370"/>
      <c r="BH71" s="370"/>
      <c r="BI71" s="370"/>
      <c r="BJ71" s="370"/>
      <c r="BK71" s="370"/>
      <c r="BL71" s="370"/>
      <c r="BM71" s="145"/>
      <c r="BN71" s="370"/>
      <c r="BO71" s="370"/>
      <c r="BP71" s="145"/>
      <c r="BQ71" s="370"/>
      <c r="BR71" s="372">
        <v>0</v>
      </c>
      <c r="BS71" s="372"/>
      <c r="BT71" s="372"/>
    </row>
    <row r="72" spans="1:72" ht="30.75" outlineLevel="1">
      <c r="A72" s="438">
        <v>20</v>
      </c>
      <c r="B72" s="710" t="s">
        <v>1414</v>
      </c>
      <c r="C72" s="420" t="s">
        <v>1238</v>
      </c>
      <c r="D72" s="434" t="s">
        <v>1232</v>
      </c>
      <c r="E72" s="422" t="s">
        <v>49</v>
      </c>
      <c r="F72" s="420" t="s">
        <v>48</v>
      </c>
      <c r="G72" s="422">
        <v>7790657</v>
      </c>
      <c r="H72" s="420" t="s">
        <v>1233</v>
      </c>
      <c r="I72" s="420" t="s">
        <v>73</v>
      </c>
      <c r="J72" s="422">
        <v>2020</v>
      </c>
      <c r="K72" s="420" t="s">
        <v>1256</v>
      </c>
      <c r="L72" s="585" t="s">
        <v>1415</v>
      </c>
      <c r="M72" s="368">
        <v>966.69799999999998</v>
      </c>
      <c r="N72" s="711"/>
      <c r="O72" s="711"/>
      <c r="P72" s="711">
        <v>966.69799999999998</v>
      </c>
      <c r="Q72" s="712" t="s">
        <v>1416</v>
      </c>
      <c r="R72" s="420" t="s">
        <v>1233</v>
      </c>
      <c r="S72" s="434" t="s">
        <v>1230</v>
      </c>
      <c r="T72" s="434" t="s">
        <v>1232</v>
      </c>
      <c r="U72" s="369"/>
      <c r="V72" s="369"/>
      <c r="W72" s="369"/>
      <c r="X72" s="369"/>
      <c r="Y72" s="145">
        <f t="shared" si="4"/>
        <v>756.36400000000003</v>
      </c>
      <c r="Z72" s="145"/>
      <c r="AA72" s="145"/>
      <c r="AB72" s="370">
        <f t="shared" si="5"/>
        <v>756.36400000000003</v>
      </c>
      <c r="AC72" s="370">
        <v>0</v>
      </c>
      <c r="AD72" s="145">
        <v>756.36400000000003</v>
      </c>
      <c r="AE72" s="145"/>
      <c r="AF72" s="145">
        <f t="shared" si="6"/>
        <v>756.36400000000003</v>
      </c>
      <c r="AG72" s="145"/>
      <c r="AH72" s="145"/>
      <c r="AI72" s="145">
        <f t="shared" si="7"/>
        <v>756.36400000000003</v>
      </c>
      <c r="AJ72" s="145">
        <v>0</v>
      </c>
      <c r="AK72" s="145">
        <v>756.36400000000003</v>
      </c>
      <c r="AL72" s="145"/>
      <c r="AM72" s="145">
        <v>700</v>
      </c>
      <c r="AN72" s="145"/>
      <c r="AO72" s="145"/>
      <c r="AP72" s="145">
        <v>700</v>
      </c>
      <c r="AQ72" s="145"/>
      <c r="AR72" s="145"/>
      <c r="AS72" s="145">
        <v>700</v>
      </c>
      <c r="AT72" s="371"/>
      <c r="AU72" s="145">
        <f t="shared" si="8"/>
        <v>0</v>
      </c>
      <c r="AV72" s="145"/>
      <c r="AW72" s="145"/>
      <c r="AX72" s="145">
        <f t="shared" si="9"/>
        <v>0</v>
      </c>
      <c r="AY72" s="145">
        <v>0</v>
      </c>
      <c r="AZ72" s="145"/>
      <c r="BA72" s="145"/>
      <c r="BB72" s="145"/>
      <c r="BC72" s="145"/>
      <c r="BD72" s="145"/>
      <c r="BE72" s="370"/>
      <c r="BF72" s="370"/>
      <c r="BG72" s="370"/>
      <c r="BH72" s="370"/>
      <c r="BI72" s="370"/>
      <c r="BJ72" s="370"/>
      <c r="BK72" s="370"/>
      <c r="BL72" s="370"/>
      <c r="BM72" s="145"/>
      <c r="BN72" s="370"/>
      <c r="BO72" s="370"/>
      <c r="BP72" s="145"/>
      <c r="BQ72" s="370"/>
      <c r="BR72" s="372">
        <v>0</v>
      </c>
      <c r="BS72" s="372"/>
      <c r="BT72" s="372"/>
    </row>
    <row r="73" spans="1:72" ht="30.75" outlineLevel="1">
      <c r="A73" s="438">
        <v>21</v>
      </c>
      <c r="B73" s="710" t="s">
        <v>1417</v>
      </c>
      <c r="C73" s="420" t="s">
        <v>1238</v>
      </c>
      <c r="D73" s="434" t="s">
        <v>1232</v>
      </c>
      <c r="E73" s="422" t="s">
        <v>49</v>
      </c>
      <c r="F73" s="420" t="s">
        <v>48</v>
      </c>
      <c r="G73" s="422">
        <v>7790778</v>
      </c>
      <c r="H73" s="420" t="s">
        <v>1233</v>
      </c>
      <c r="I73" s="420" t="s">
        <v>73</v>
      </c>
      <c r="J73" s="422">
        <v>2021</v>
      </c>
      <c r="K73" s="420" t="s">
        <v>1241</v>
      </c>
      <c r="L73" s="585" t="s">
        <v>1418</v>
      </c>
      <c r="M73" s="368">
        <v>1636.6569999999999</v>
      </c>
      <c r="N73" s="711"/>
      <c r="O73" s="711"/>
      <c r="P73" s="711">
        <v>1636.6569999999999</v>
      </c>
      <c r="Q73" s="712" t="s">
        <v>1419</v>
      </c>
      <c r="R73" s="420" t="s">
        <v>1233</v>
      </c>
      <c r="S73" s="434" t="s">
        <v>1230</v>
      </c>
      <c r="T73" s="434" t="s">
        <v>1232</v>
      </c>
      <c r="U73" s="369"/>
      <c r="V73" s="369"/>
      <c r="W73" s="369"/>
      <c r="X73" s="369"/>
      <c r="Y73" s="145">
        <f t="shared" si="4"/>
        <v>1268.2949999999998</v>
      </c>
      <c r="Z73" s="145"/>
      <c r="AA73" s="145"/>
      <c r="AB73" s="370">
        <f t="shared" si="5"/>
        <v>1268.2949999999998</v>
      </c>
      <c r="AC73" s="370">
        <v>0</v>
      </c>
      <c r="AD73" s="145">
        <v>1268.2949999999998</v>
      </c>
      <c r="AE73" s="145"/>
      <c r="AF73" s="145">
        <f t="shared" si="6"/>
        <v>1268.2949999999998</v>
      </c>
      <c r="AG73" s="145"/>
      <c r="AH73" s="145"/>
      <c r="AI73" s="145">
        <f t="shared" si="7"/>
        <v>1268.2949999999998</v>
      </c>
      <c r="AJ73" s="145">
        <v>0</v>
      </c>
      <c r="AK73" s="145">
        <v>1268.2949999999998</v>
      </c>
      <c r="AL73" s="145"/>
      <c r="AM73" s="145">
        <v>822</v>
      </c>
      <c r="AN73" s="145"/>
      <c r="AO73" s="145"/>
      <c r="AP73" s="145">
        <v>822</v>
      </c>
      <c r="AQ73" s="145"/>
      <c r="AR73" s="145"/>
      <c r="AS73" s="145">
        <v>822</v>
      </c>
      <c r="AT73" s="371"/>
      <c r="AU73" s="145">
        <f t="shared" si="8"/>
        <v>0</v>
      </c>
      <c r="AV73" s="145"/>
      <c r="AW73" s="145"/>
      <c r="AX73" s="145">
        <f t="shared" si="9"/>
        <v>0</v>
      </c>
      <c r="AY73" s="145">
        <v>0</v>
      </c>
      <c r="AZ73" s="145"/>
      <c r="BA73" s="145"/>
      <c r="BB73" s="145"/>
      <c r="BC73" s="145"/>
      <c r="BD73" s="145"/>
      <c r="BE73" s="370"/>
      <c r="BF73" s="370"/>
      <c r="BG73" s="370"/>
      <c r="BH73" s="370"/>
      <c r="BI73" s="370"/>
      <c r="BJ73" s="370"/>
      <c r="BK73" s="370"/>
      <c r="BL73" s="370"/>
      <c r="BM73" s="145"/>
      <c r="BN73" s="370"/>
      <c r="BO73" s="370"/>
      <c r="BP73" s="145"/>
      <c r="BQ73" s="370"/>
      <c r="BR73" s="372">
        <v>0</v>
      </c>
      <c r="BS73" s="372"/>
      <c r="BT73" s="372"/>
    </row>
    <row r="74" spans="1:72" ht="30.75" outlineLevel="1">
      <c r="A74" s="438">
        <v>22</v>
      </c>
      <c r="B74" s="710" t="s">
        <v>1420</v>
      </c>
      <c r="C74" s="420" t="s">
        <v>1238</v>
      </c>
      <c r="D74" s="434" t="s">
        <v>1232</v>
      </c>
      <c r="E74" s="422" t="s">
        <v>49</v>
      </c>
      <c r="F74" s="420" t="s">
        <v>48</v>
      </c>
      <c r="G74" s="422">
        <v>7790779</v>
      </c>
      <c r="H74" s="420" t="s">
        <v>1233</v>
      </c>
      <c r="I74" s="420" t="s">
        <v>73</v>
      </c>
      <c r="J74" s="422">
        <v>2021</v>
      </c>
      <c r="K74" s="420" t="s">
        <v>1241</v>
      </c>
      <c r="L74" s="585" t="s">
        <v>1421</v>
      </c>
      <c r="M74" s="368">
        <v>1395.385</v>
      </c>
      <c r="N74" s="711"/>
      <c r="O74" s="711"/>
      <c r="P74" s="711">
        <v>1395.385</v>
      </c>
      <c r="Q74" s="712" t="s">
        <v>1422</v>
      </c>
      <c r="R74" s="420" t="s">
        <v>1233</v>
      </c>
      <c r="S74" s="434" t="s">
        <v>1230</v>
      </c>
      <c r="T74" s="434" t="s">
        <v>1232</v>
      </c>
      <c r="U74" s="369"/>
      <c r="V74" s="369"/>
      <c r="W74" s="369"/>
      <c r="X74" s="369"/>
      <c r="Y74" s="145">
        <f t="shared" si="4"/>
        <v>1066.048</v>
      </c>
      <c r="Z74" s="145"/>
      <c r="AA74" s="145"/>
      <c r="AB74" s="370">
        <f t="shared" si="5"/>
        <v>1066.048</v>
      </c>
      <c r="AC74" s="370">
        <v>0</v>
      </c>
      <c r="AD74" s="145">
        <v>1066.048</v>
      </c>
      <c r="AE74" s="145"/>
      <c r="AF74" s="145">
        <f t="shared" si="6"/>
        <v>1066.048</v>
      </c>
      <c r="AG74" s="145"/>
      <c r="AH74" s="145"/>
      <c r="AI74" s="145">
        <f t="shared" si="7"/>
        <v>1066.048</v>
      </c>
      <c r="AJ74" s="145">
        <v>0</v>
      </c>
      <c r="AK74" s="145">
        <v>1066.048</v>
      </c>
      <c r="AL74" s="145"/>
      <c r="AM74" s="145">
        <v>775</v>
      </c>
      <c r="AN74" s="145"/>
      <c r="AO74" s="145"/>
      <c r="AP74" s="145">
        <v>775</v>
      </c>
      <c r="AQ74" s="145"/>
      <c r="AR74" s="145"/>
      <c r="AS74" s="145">
        <v>775</v>
      </c>
      <c r="AT74" s="371"/>
      <c r="AU74" s="145">
        <f t="shared" si="8"/>
        <v>0</v>
      </c>
      <c r="AV74" s="145"/>
      <c r="AW74" s="145"/>
      <c r="AX74" s="145">
        <f t="shared" si="9"/>
        <v>0</v>
      </c>
      <c r="AY74" s="145">
        <v>0</v>
      </c>
      <c r="AZ74" s="145"/>
      <c r="BA74" s="145"/>
      <c r="BB74" s="145"/>
      <c r="BC74" s="145"/>
      <c r="BD74" s="145"/>
      <c r="BE74" s="370"/>
      <c r="BF74" s="370"/>
      <c r="BG74" s="370"/>
      <c r="BH74" s="370"/>
      <c r="BI74" s="370"/>
      <c r="BJ74" s="370"/>
      <c r="BK74" s="370"/>
      <c r="BL74" s="370"/>
      <c r="BM74" s="145"/>
      <c r="BN74" s="370"/>
      <c r="BO74" s="370"/>
      <c r="BP74" s="145"/>
      <c r="BQ74" s="370"/>
      <c r="BR74" s="372">
        <v>0</v>
      </c>
      <c r="BS74" s="372"/>
      <c r="BT74" s="372"/>
    </row>
    <row r="75" spans="1:72" ht="30.75" outlineLevel="1">
      <c r="A75" s="438">
        <v>23</v>
      </c>
      <c r="B75" s="710" t="s">
        <v>1423</v>
      </c>
      <c r="C75" s="420" t="s">
        <v>1238</v>
      </c>
      <c r="D75" s="434" t="s">
        <v>1232</v>
      </c>
      <c r="E75" s="422" t="s">
        <v>49</v>
      </c>
      <c r="F75" s="420" t="s">
        <v>48</v>
      </c>
      <c r="G75" s="422">
        <v>7790790</v>
      </c>
      <c r="H75" s="420" t="s">
        <v>1233</v>
      </c>
      <c r="I75" s="420" t="s">
        <v>73</v>
      </c>
      <c r="J75" s="422">
        <v>2021</v>
      </c>
      <c r="K75" s="420" t="s">
        <v>1256</v>
      </c>
      <c r="L75" s="585" t="s">
        <v>1424</v>
      </c>
      <c r="M75" s="368">
        <v>847</v>
      </c>
      <c r="N75" s="711"/>
      <c r="O75" s="711"/>
      <c r="P75" s="711">
        <v>847</v>
      </c>
      <c r="Q75" s="712" t="s">
        <v>1425</v>
      </c>
      <c r="R75" s="420" t="s">
        <v>1233</v>
      </c>
      <c r="S75" s="434" t="s">
        <v>1230</v>
      </c>
      <c r="T75" s="434" t="s">
        <v>1232</v>
      </c>
      <c r="U75" s="369"/>
      <c r="V75" s="369"/>
      <c r="W75" s="369"/>
      <c r="X75" s="369"/>
      <c r="Y75" s="145">
        <f t="shared" si="4"/>
        <v>700.16300000000001</v>
      </c>
      <c r="Z75" s="145"/>
      <c r="AA75" s="145"/>
      <c r="AB75" s="370">
        <f t="shared" si="5"/>
        <v>700.16300000000001</v>
      </c>
      <c r="AC75" s="370">
        <v>0</v>
      </c>
      <c r="AD75" s="145">
        <v>700.16300000000001</v>
      </c>
      <c r="AE75" s="145"/>
      <c r="AF75" s="145">
        <f t="shared" si="6"/>
        <v>700.16300000000001</v>
      </c>
      <c r="AG75" s="145"/>
      <c r="AH75" s="145"/>
      <c r="AI75" s="145">
        <f t="shared" si="7"/>
        <v>700.16300000000001</v>
      </c>
      <c r="AJ75" s="145">
        <v>0</v>
      </c>
      <c r="AK75" s="145">
        <v>700.16300000000001</v>
      </c>
      <c r="AL75" s="145"/>
      <c r="AM75" s="145">
        <v>476</v>
      </c>
      <c r="AN75" s="145"/>
      <c r="AO75" s="145"/>
      <c r="AP75" s="145">
        <v>476</v>
      </c>
      <c r="AQ75" s="145"/>
      <c r="AR75" s="145"/>
      <c r="AS75" s="145">
        <v>476</v>
      </c>
      <c r="AT75" s="371"/>
      <c r="AU75" s="145">
        <f t="shared" si="8"/>
        <v>0</v>
      </c>
      <c r="AV75" s="145"/>
      <c r="AW75" s="145"/>
      <c r="AX75" s="145">
        <f t="shared" si="9"/>
        <v>0</v>
      </c>
      <c r="AY75" s="145">
        <v>0</v>
      </c>
      <c r="AZ75" s="145"/>
      <c r="BA75" s="145"/>
      <c r="BB75" s="145"/>
      <c r="BC75" s="145"/>
      <c r="BD75" s="145"/>
      <c r="BE75" s="370"/>
      <c r="BF75" s="370"/>
      <c r="BG75" s="370"/>
      <c r="BH75" s="370"/>
      <c r="BI75" s="370"/>
      <c r="BJ75" s="370"/>
      <c r="BK75" s="370"/>
      <c r="BL75" s="370"/>
      <c r="BM75" s="145"/>
      <c r="BN75" s="370"/>
      <c r="BO75" s="370"/>
      <c r="BP75" s="145"/>
      <c r="BQ75" s="370"/>
      <c r="BR75" s="372">
        <v>0</v>
      </c>
      <c r="BS75" s="372"/>
      <c r="BT75" s="372"/>
    </row>
    <row r="76" spans="1:72" ht="30.75" outlineLevel="1">
      <c r="A76" s="438">
        <v>24</v>
      </c>
      <c r="B76" s="710" t="s">
        <v>1426</v>
      </c>
      <c r="C76" s="420" t="s">
        <v>1238</v>
      </c>
      <c r="D76" s="434" t="s">
        <v>1232</v>
      </c>
      <c r="E76" s="422" t="s">
        <v>49</v>
      </c>
      <c r="F76" s="420" t="s">
        <v>48</v>
      </c>
      <c r="G76" s="422">
        <v>7790791</v>
      </c>
      <c r="H76" s="420" t="s">
        <v>1233</v>
      </c>
      <c r="I76" s="420" t="s">
        <v>73</v>
      </c>
      <c r="J76" s="422">
        <v>2021</v>
      </c>
      <c r="K76" s="420" t="s">
        <v>1256</v>
      </c>
      <c r="L76" s="585" t="s">
        <v>1427</v>
      </c>
      <c r="M76" s="368">
        <v>1011</v>
      </c>
      <c r="N76" s="711"/>
      <c r="O76" s="711"/>
      <c r="P76" s="711">
        <v>1011</v>
      </c>
      <c r="Q76" s="712" t="s">
        <v>1428</v>
      </c>
      <c r="R76" s="420" t="s">
        <v>1233</v>
      </c>
      <c r="S76" s="434" t="s">
        <v>1230</v>
      </c>
      <c r="T76" s="434" t="s">
        <v>1232</v>
      </c>
      <c r="U76" s="369"/>
      <c r="V76" s="369"/>
      <c r="W76" s="369"/>
      <c r="X76" s="369"/>
      <c r="Y76" s="145">
        <f t="shared" si="4"/>
        <v>822.70700000000011</v>
      </c>
      <c r="Z76" s="145"/>
      <c r="AA76" s="145"/>
      <c r="AB76" s="370">
        <f t="shared" si="5"/>
        <v>822.70700000000011</v>
      </c>
      <c r="AC76" s="370">
        <v>0</v>
      </c>
      <c r="AD76" s="145">
        <v>822.70700000000011</v>
      </c>
      <c r="AE76" s="145"/>
      <c r="AF76" s="145">
        <f t="shared" si="6"/>
        <v>822.70700000000011</v>
      </c>
      <c r="AG76" s="145"/>
      <c r="AH76" s="145"/>
      <c r="AI76" s="145">
        <f t="shared" si="7"/>
        <v>822.70700000000011</v>
      </c>
      <c r="AJ76" s="145">
        <v>0</v>
      </c>
      <c r="AK76" s="145">
        <v>822.70700000000011</v>
      </c>
      <c r="AL76" s="145"/>
      <c r="AM76" s="145">
        <v>4580</v>
      </c>
      <c r="AN76" s="145"/>
      <c r="AO76" s="145"/>
      <c r="AP76" s="145">
        <v>4580</v>
      </c>
      <c r="AQ76" s="145"/>
      <c r="AR76" s="145"/>
      <c r="AS76" s="145">
        <v>4580</v>
      </c>
      <c r="AT76" s="371"/>
      <c r="AU76" s="145">
        <f t="shared" si="8"/>
        <v>0</v>
      </c>
      <c r="AV76" s="145"/>
      <c r="AW76" s="145"/>
      <c r="AX76" s="145">
        <f t="shared" si="9"/>
        <v>0</v>
      </c>
      <c r="AY76" s="145">
        <v>0</v>
      </c>
      <c r="AZ76" s="145"/>
      <c r="BA76" s="145"/>
      <c r="BB76" s="145"/>
      <c r="BC76" s="145"/>
      <c r="BD76" s="145"/>
      <c r="BE76" s="370"/>
      <c r="BF76" s="370"/>
      <c r="BG76" s="370"/>
      <c r="BH76" s="370"/>
      <c r="BI76" s="370"/>
      <c r="BJ76" s="370"/>
      <c r="BK76" s="370"/>
      <c r="BL76" s="370"/>
      <c r="BM76" s="145"/>
      <c r="BN76" s="370"/>
      <c r="BO76" s="370"/>
      <c r="BP76" s="145"/>
      <c r="BQ76" s="370"/>
      <c r="BR76" s="372">
        <v>0</v>
      </c>
      <c r="BS76" s="372"/>
      <c r="BT76" s="372"/>
    </row>
    <row r="77" spans="1:72" ht="30.75" outlineLevel="1">
      <c r="A77" s="438">
        <v>25</v>
      </c>
      <c r="B77" s="710" t="s">
        <v>1429</v>
      </c>
      <c r="C77" s="420" t="s">
        <v>1238</v>
      </c>
      <c r="D77" s="434" t="s">
        <v>1232</v>
      </c>
      <c r="E77" s="422" t="s">
        <v>49</v>
      </c>
      <c r="F77" s="420" t="s">
        <v>48</v>
      </c>
      <c r="G77" s="422">
        <v>7790658</v>
      </c>
      <c r="H77" s="420" t="s">
        <v>1233</v>
      </c>
      <c r="I77" s="420" t="s">
        <v>73</v>
      </c>
      <c r="J77" s="422">
        <v>2021</v>
      </c>
      <c r="K77" s="420" t="s">
        <v>1256</v>
      </c>
      <c r="L77" s="585" t="s">
        <v>1430</v>
      </c>
      <c r="M77" s="368">
        <v>952.30100000000004</v>
      </c>
      <c r="N77" s="711"/>
      <c r="O77" s="711"/>
      <c r="P77" s="711">
        <v>952.30100000000004</v>
      </c>
      <c r="Q77" s="712" t="s">
        <v>1431</v>
      </c>
      <c r="R77" s="420" t="s">
        <v>1233</v>
      </c>
      <c r="S77" s="434" t="s">
        <v>1230</v>
      </c>
      <c r="T77" s="434" t="s">
        <v>1232</v>
      </c>
      <c r="U77" s="369"/>
      <c r="V77" s="369"/>
      <c r="W77" s="369"/>
      <c r="X77" s="369"/>
      <c r="Y77" s="145">
        <f t="shared" si="4"/>
        <v>775.428</v>
      </c>
      <c r="Z77" s="145"/>
      <c r="AA77" s="145"/>
      <c r="AB77" s="370">
        <f t="shared" si="5"/>
        <v>775.428</v>
      </c>
      <c r="AC77" s="370">
        <v>0</v>
      </c>
      <c r="AD77" s="145">
        <v>775.428</v>
      </c>
      <c r="AE77" s="145"/>
      <c r="AF77" s="145">
        <f t="shared" si="6"/>
        <v>775.428</v>
      </c>
      <c r="AG77" s="145"/>
      <c r="AH77" s="145"/>
      <c r="AI77" s="145">
        <f t="shared" si="7"/>
        <v>775.428</v>
      </c>
      <c r="AJ77" s="145">
        <v>0</v>
      </c>
      <c r="AK77" s="145">
        <v>775.428</v>
      </c>
      <c r="AL77" s="145"/>
      <c r="AM77" s="145">
        <v>1560</v>
      </c>
      <c r="AN77" s="145"/>
      <c r="AO77" s="145"/>
      <c r="AP77" s="145">
        <v>1560</v>
      </c>
      <c r="AQ77" s="145"/>
      <c r="AR77" s="145"/>
      <c r="AS77" s="145">
        <v>1560</v>
      </c>
      <c r="AT77" s="371"/>
      <c r="AU77" s="145">
        <f t="shared" si="8"/>
        <v>0</v>
      </c>
      <c r="AV77" s="145"/>
      <c r="AW77" s="145"/>
      <c r="AX77" s="145">
        <f t="shared" si="9"/>
        <v>0</v>
      </c>
      <c r="AY77" s="145">
        <v>0</v>
      </c>
      <c r="AZ77" s="145"/>
      <c r="BA77" s="145"/>
      <c r="BB77" s="145"/>
      <c r="BC77" s="145"/>
      <c r="BD77" s="145"/>
      <c r="BE77" s="370"/>
      <c r="BF77" s="370"/>
      <c r="BG77" s="370"/>
      <c r="BH77" s="370"/>
      <c r="BI77" s="370"/>
      <c r="BJ77" s="370"/>
      <c r="BK77" s="370"/>
      <c r="BL77" s="370"/>
      <c r="BM77" s="145"/>
      <c r="BN77" s="370"/>
      <c r="BO77" s="370"/>
      <c r="BP77" s="145"/>
      <c r="BQ77" s="370"/>
      <c r="BR77" s="372">
        <v>0</v>
      </c>
      <c r="BS77" s="372"/>
      <c r="BT77" s="372"/>
    </row>
    <row r="78" spans="1:72" ht="30.75" outlineLevel="1">
      <c r="A78" s="438">
        <v>26</v>
      </c>
      <c r="B78" s="710" t="s">
        <v>1432</v>
      </c>
      <c r="C78" s="420" t="s">
        <v>1238</v>
      </c>
      <c r="D78" s="434" t="s">
        <v>1232</v>
      </c>
      <c r="E78" s="422" t="s">
        <v>49</v>
      </c>
      <c r="F78" s="420" t="s">
        <v>48</v>
      </c>
      <c r="G78" s="422">
        <v>7790671</v>
      </c>
      <c r="H78" s="420" t="s">
        <v>1233</v>
      </c>
      <c r="I78" s="420" t="s">
        <v>73</v>
      </c>
      <c r="J78" s="422">
        <v>2021</v>
      </c>
      <c r="K78" s="420" t="s">
        <v>1241</v>
      </c>
      <c r="L78" s="585" t="s">
        <v>1433</v>
      </c>
      <c r="M78" s="368">
        <v>600</v>
      </c>
      <c r="N78" s="711"/>
      <c r="O78" s="711"/>
      <c r="P78" s="711">
        <v>600</v>
      </c>
      <c r="Q78" s="712" t="s">
        <v>1434</v>
      </c>
      <c r="R78" s="420" t="s">
        <v>1233</v>
      </c>
      <c r="S78" s="434" t="s">
        <v>1230</v>
      </c>
      <c r="T78" s="434" t="s">
        <v>1232</v>
      </c>
      <c r="U78" s="369"/>
      <c r="V78" s="369"/>
      <c r="W78" s="369"/>
      <c r="X78" s="369"/>
      <c r="Y78" s="145">
        <f t="shared" si="4"/>
        <v>476.09399999999999</v>
      </c>
      <c r="Z78" s="145"/>
      <c r="AA78" s="145"/>
      <c r="AB78" s="370">
        <f t="shared" si="5"/>
        <v>476.09399999999999</v>
      </c>
      <c r="AC78" s="370">
        <v>0</v>
      </c>
      <c r="AD78" s="145">
        <v>476.09399999999999</v>
      </c>
      <c r="AE78" s="145"/>
      <c r="AF78" s="145">
        <f t="shared" si="6"/>
        <v>476.09399999999999</v>
      </c>
      <c r="AG78" s="145"/>
      <c r="AH78" s="145"/>
      <c r="AI78" s="145">
        <f t="shared" si="7"/>
        <v>476.09399999999999</v>
      </c>
      <c r="AJ78" s="145">
        <v>0</v>
      </c>
      <c r="AK78" s="145">
        <v>476.09399999999999</v>
      </c>
      <c r="AL78" s="145"/>
      <c r="AM78" s="145">
        <v>4910</v>
      </c>
      <c r="AN78" s="145"/>
      <c r="AO78" s="145"/>
      <c r="AP78" s="145">
        <v>4910</v>
      </c>
      <c r="AQ78" s="145"/>
      <c r="AR78" s="145"/>
      <c r="AS78" s="145">
        <v>4910</v>
      </c>
      <c r="AT78" s="371"/>
      <c r="AU78" s="145">
        <f t="shared" si="8"/>
        <v>0</v>
      </c>
      <c r="AV78" s="145"/>
      <c r="AW78" s="145"/>
      <c r="AX78" s="145">
        <f t="shared" si="9"/>
        <v>0</v>
      </c>
      <c r="AY78" s="145">
        <v>0</v>
      </c>
      <c r="AZ78" s="145"/>
      <c r="BA78" s="145"/>
      <c r="BB78" s="145"/>
      <c r="BC78" s="145"/>
      <c r="BD78" s="145"/>
      <c r="BE78" s="370"/>
      <c r="BF78" s="370"/>
      <c r="BG78" s="370"/>
      <c r="BH78" s="370"/>
      <c r="BI78" s="370"/>
      <c r="BJ78" s="370"/>
      <c r="BK78" s="370"/>
      <c r="BL78" s="370"/>
      <c r="BM78" s="145"/>
      <c r="BN78" s="370"/>
      <c r="BO78" s="370"/>
      <c r="BP78" s="145"/>
      <c r="BQ78" s="370"/>
      <c r="BR78" s="372">
        <v>0</v>
      </c>
      <c r="BS78" s="372"/>
      <c r="BT78" s="372"/>
    </row>
    <row r="79" spans="1:72" ht="30.75" outlineLevel="1">
      <c r="A79" s="438">
        <v>27</v>
      </c>
      <c r="B79" s="710" t="s">
        <v>1435</v>
      </c>
      <c r="C79" s="420" t="s">
        <v>1238</v>
      </c>
      <c r="D79" s="434" t="s">
        <v>1232</v>
      </c>
      <c r="E79" s="422" t="s">
        <v>49</v>
      </c>
      <c r="F79" s="420" t="s">
        <v>105</v>
      </c>
      <c r="G79" s="422">
        <v>7790661</v>
      </c>
      <c r="H79" s="420" t="s">
        <v>1233</v>
      </c>
      <c r="I79" s="420" t="s">
        <v>73</v>
      </c>
      <c r="J79" s="422">
        <v>2020</v>
      </c>
      <c r="K79" s="420" t="s">
        <v>1241</v>
      </c>
      <c r="L79" s="585" t="s">
        <v>1436</v>
      </c>
      <c r="M79" s="368">
        <v>4980</v>
      </c>
      <c r="N79" s="711"/>
      <c r="O79" s="711"/>
      <c r="P79" s="711">
        <v>4980</v>
      </c>
      <c r="Q79" s="712" t="s">
        <v>1437</v>
      </c>
      <c r="R79" s="420" t="s">
        <v>1233</v>
      </c>
      <c r="S79" s="434" t="s">
        <v>1230</v>
      </c>
      <c r="T79" s="434" t="s">
        <v>1232</v>
      </c>
      <c r="U79" s="369"/>
      <c r="V79" s="369"/>
      <c r="W79" s="369"/>
      <c r="X79" s="369"/>
      <c r="Y79" s="145">
        <f t="shared" si="4"/>
        <v>4580.6451710000001</v>
      </c>
      <c r="Z79" s="145"/>
      <c r="AA79" s="145"/>
      <c r="AB79" s="370">
        <f t="shared" si="5"/>
        <v>4580.6451710000001</v>
      </c>
      <c r="AC79" s="370">
        <v>0</v>
      </c>
      <c r="AD79" s="145">
        <v>4580.6451710000001</v>
      </c>
      <c r="AE79" s="145"/>
      <c r="AF79" s="145">
        <f t="shared" si="6"/>
        <v>4580.6451710000001</v>
      </c>
      <c r="AG79" s="145"/>
      <c r="AH79" s="145"/>
      <c r="AI79" s="145">
        <f t="shared" si="7"/>
        <v>4580.6451710000001</v>
      </c>
      <c r="AJ79" s="145">
        <v>0</v>
      </c>
      <c r="AK79" s="145">
        <v>4580.6451710000001</v>
      </c>
      <c r="AL79" s="145"/>
      <c r="AM79" s="145">
        <v>1538</v>
      </c>
      <c r="AN79" s="145"/>
      <c r="AO79" s="145"/>
      <c r="AP79" s="145">
        <v>1538</v>
      </c>
      <c r="AQ79" s="145"/>
      <c r="AR79" s="145"/>
      <c r="AS79" s="145">
        <v>1538</v>
      </c>
      <c r="AT79" s="371"/>
      <c r="AU79" s="145">
        <f t="shared" si="8"/>
        <v>0</v>
      </c>
      <c r="AV79" s="145"/>
      <c r="AW79" s="145"/>
      <c r="AX79" s="145">
        <f t="shared" si="9"/>
        <v>0</v>
      </c>
      <c r="AY79" s="145">
        <v>0</v>
      </c>
      <c r="AZ79" s="145"/>
      <c r="BA79" s="145"/>
      <c r="BB79" s="145"/>
      <c r="BC79" s="145"/>
      <c r="BD79" s="145"/>
      <c r="BE79" s="370"/>
      <c r="BF79" s="370"/>
      <c r="BG79" s="370"/>
      <c r="BH79" s="370"/>
      <c r="BI79" s="370"/>
      <c r="BJ79" s="370"/>
      <c r="BK79" s="370"/>
      <c r="BL79" s="370"/>
      <c r="BM79" s="145"/>
      <c r="BN79" s="370"/>
      <c r="BO79" s="370"/>
      <c r="BP79" s="145"/>
      <c r="BQ79" s="370"/>
      <c r="BR79" s="372">
        <v>0</v>
      </c>
      <c r="BS79" s="372"/>
      <c r="BT79" s="372"/>
    </row>
    <row r="80" spans="1:72" ht="30.75" outlineLevel="1">
      <c r="A80" s="438">
        <v>28</v>
      </c>
      <c r="B80" s="710" t="s">
        <v>1438</v>
      </c>
      <c r="C80" s="420" t="s">
        <v>1238</v>
      </c>
      <c r="D80" s="434" t="s">
        <v>1232</v>
      </c>
      <c r="E80" s="422" t="s">
        <v>49</v>
      </c>
      <c r="F80" s="420" t="s">
        <v>1439</v>
      </c>
      <c r="G80" s="422">
        <v>7902729</v>
      </c>
      <c r="H80" s="420" t="s">
        <v>1267</v>
      </c>
      <c r="I80" s="420" t="s">
        <v>76</v>
      </c>
      <c r="J80" s="422">
        <v>2022</v>
      </c>
      <c r="K80" s="420" t="s">
        <v>1440</v>
      </c>
      <c r="L80" s="585" t="s">
        <v>1441</v>
      </c>
      <c r="M80" s="368">
        <v>1780</v>
      </c>
      <c r="N80" s="711"/>
      <c r="O80" s="711"/>
      <c r="P80" s="711">
        <v>1780</v>
      </c>
      <c r="Q80" s="712" t="s">
        <v>1442</v>
      </c>
      <c r="R80" s="420" t="s">
        <v>1267</v>
      </c>
      <c r="S80" s="434" t="s">
        <v>1230</v>
      </c>
      <c r="T80" s="434" t="s">
        <v>1232</v>
      </c>
      <c r="U80" s="369"/>
      <c r="V80" s="369"/>
      <c r="W80" s="369"/>
      <c r="X80" s="369"/>
      <c r="Y80" s="145">
        <f t="shared" si="4"/>
        <v>1560.7449999999999</v>
      </c>
      <c r="Z80" s="145"/>
      <c r="AA80" s="145"/>
      <c r="AB80" s="370">
        <f t="shared" si="5"/>
        <v>1560.7449999999999</v>
      </c>
      <c r="AC80" s="370">
        <v>0</v>
      </c>
      <c r="AD80" s="145">
        <v>1560.7449999999999</v>
      </c>
      <c r="AE80" s="145"/>
      <c r="AF80" s="145">
        <f t="shared" si="6"/>
        <v>1560.7450000000001</v>
      </c>
      <c r="AG80" s="145"/>
      <c r="AH80" s="145"/>
      <c r="AI80" s="145">
        <f t="shared" si="7"/>
        <v>1560.7450000000001</v>
      </c>
      <c r="AJ80" s="145">
        <v>0</v>
      </c>
      <c r="AK80" s="145">
        <v>1560.7450000000001</v>
      </c>
      <c r="AL80" s="145"/>
      <c r="AM80" s="145">
        <v>2046</v>
      </c>
      <c r="AN80" s="145"/>
      <c r="AO80" s="145"/>
      <c r="AP80" s="145">
        <v>2046</v>
      </c>
      <c r="AQ80" s="145"/>
      <c r="AR80" s="145"/>
      <c r="AS80" s="145">
        <v>2046</v>
      </c>
      <c r="AT80" s="371"/>
      <c r="AU80" s="145">
        <f t="shared" si="8"/>
        <v>0</v>
      </c>
      <c r="AV80" s="145"/>
      <c r="AW80" s="145"/>
      <c r="AX80" s="145">
        <f t="shared" si="9"/>
        <v>0</v>
      </c>
      <c r="AY80" s="145">
        <v>0</v>
      </c>
      <c r="AZ80" s="145"/>
      <c r="BA80" s="145"/>
      <c r="BB80" s="145"/>
      <c r="BC80" s="145"/>
      <c r="BD80" s="145"/>
      <c r="BE80" s="370"/>
      <c r="BF80" s="370"/>
      <c r="BG80" s="370"/>
      <c r="BH80" s="370"/>
      <c r="BI80" s="370"/>
      <c r="BJ80" s="370"/>
      <c r="BK80" s="370"/>
      <c r="BL80" s="370"/>
      <c r="BM80" s="145"/>
      <c r="BN80" s="370"/>
      <c r="BO80" s="370"/>
      <c r="BP80" s="145"/>
      <c r="BQ80" s="370"/>
      <c r="BR80" s="372"/>
      <c r="BS80" s="372"/>
      <c r="BT80" s="372"/>
    </row>
    <row r="81" spans="1:72" ht="30.75" outlineLevel="1">
      <c r="A81" s="438">
        <v>29</v>
      </c>
      <c r="B81" s="710" t="s">
        <v>1443</v>
      </c>
      <c r="C81" s="420" t="s">
        <v>1238</v>
      </c>
      <c r="D81" s="434" t="s">
        <v>1232</v>
      </c>
      <c r="E81" s="422" t="s">
        <v>49</v>
      </c>
      <c r="F81" s="420" t="s">
        <v>1439</v>
      </c>
      <c r="G81" s="422">
        <v>7930073</v>
      </c>
      <c r="H81" s="420" t="s">
        <v>1233</v>
      </c>
      <c r="I81" s="420" t="s">
        <v>76</v>
      </c>
      <c r="J81" s="422">
        <v>2021</v>
      </c>
      <c r="K81" s="420" t="s">
        <v>1234</v>
      </c>
      <c r="L81" s="585" t="s">
        <v>1444</v>
      </c>
      <c r="M81" s="368">
        <v>4900</v>
      </c>
      <c r="N81" s="711"/>
      <c r="O81" s="711"/>
      <c r="P81" s="711">
        <v>4900</v>
      </c>
      <c r="Q81" s="712"/>
      <c r="R81" s="420" t="s">
        <v>1233</v>
      </c>
      <c r="S81" s="434" t="s">
        <v>1230</v>
      </c>
      <c r="T81" s="434" t="s">
        <v>1232</v>
      </c>
      <c r="U81" s="369"/>
      <c r="V81" s="369"/>
      <c r="W81" s="369"/>
      <c r="X81" s="369"/>
      <c r="Y81" s="145">
        <f t="shared" si="4"/>
        <v>302.51600000000002</v>
      </c>
      <c r="Z81" s="145"/>
      <c r="AA81" s="145"/>
      <c r="AB81" s="370">
        <f t="shared" si="5"/>
        <v>302.51600000000002</v>
      </c>
      <c r="AC81" s="370">
        <v>0</v>
      </c>
      <c r="AD81" s="145">
        <v>302.51600000000002</v>
      </c>
      <c r="AE81" s="145"/>
      <c r="AF81" s="145">
        <f t="shared" si="6"/>
        <v>302.51600000000002</v>
      </c>
      <c r="AG81" s="145"/>
      <c r="AH81" s="145"/>
      <c r="AI81" s="145">
        <f t="shared" si="7"/>
        <v>302.51600000000002</v>
      </c>
      <c r="AJ81" s="145">
        <v>0</v>
      </c>
      <c r="AK81" s="145">
        <v>302.51600000000002</v>
      </c>
      <c r="AL81" s="145"/>
      <c r="AM81" s="145">
        <v>18885</v>
      </c>
      <c r="AN81" s="145"/>
      <c r="AO81" s="145"/>
      <c r="AP81" s="145">
        <v>18885</v>
      </c>
      <c r="AQ81" s="145"/>
      <c r="AR81" s="145"/>
      <c r="AS81" s="145">
        <v>18885</v>
      </c>
      <c r="AT81" s="371"/>
      <c r="AU81" s="145">
        <f t="shared" si="8"/>
        <v>0</v>
      </c>
      <c r="AV81" s="145"/>
      <c r="AW81" s="145"/>
      <c r="AX81" s="145">
        <f t="shared" si="9"/>
        <v>0</v>
      </c>
      <c r="AY81" s="145">
        <v>0</v>
      </c>
      <c r="AZ81" s="145"/>
      <c r="BA81" s="145"/>
      <c r="BB81" s="145"/>
      <c r="BC81" s="145"/>
      <c r="BD81" s="145"/>
      <c r="BE81" s="370"/>
      <c r="BF81" s="370"/>
      <c r="BG81" s="370"/>
      <c r="BH81" s="370"/>
      <c r="BI81" s="370"/>
      <c r="BJ81" s="370"/>
      <c r="BK81" s="370"/>
      <c r="BL81" s="370"/>
      <c r="BM81" s="145"/>
      <c r="BN81" s="370"/>
      <c r="BO81" s="370"/>
      <c r="BP81" s="145"/>
      <c r="BQ81" s="370"/>
      <c r="BR81" s="372">
        <v>0</v>
      </c>
      <c r="BS81" s="372"/>
      <c r="BT81" s="372"/>
    </row>
    <row r="82" spans="1:72" ht="30.75" outlineLevel="1">
      <c r="A82" s="438">
        <v>30</v>
      </c>
      <c r="B82" s="710" t="s">
        <v>1445</v>
      </c>
      <c r="C82" s="420" t="s">
        <v>1238</v>
      </c>
      <c r="D82" s="434" t="s">
        <v>1232</v>
      </c>
      <c r="E82" s="422" t="s">
        <v>49</v>
      </c>
      <c r="F82" s="420" t="s">
        <v>105</v>
      </c>
      <c r="G82" s="422">
        <v>7956493</v>
      </c>
      <c r="H82" s="420" t="s">
        <v>1233</v>
      </c>
      <c r="I82" s="420" t="s">
        <v>76</v>
      </c>
      <c r="J82" s="422">
        <v>2022</v>
      </c>
      <c r="K82" s="420" t="s">
        <v>1446</v>
      </c>
      <c r="L82" s="585" t="s">
        <v>1447</v>
      </c>
      <c r="M82" s="368">
        <v>4950</v>
      </c>
      <c r="N82" s="711"/>
      <c r="O82" s="711"/>
      <c r="P82" s="711">
        <v>4950</v>
      </c>
      <c r="Q82" s="712" t="s">
        <v>1448</v>
      </c>
      <c r="R82" s="420" t="s">
        <v>1233</v>
      </c>
      <c r="S82" s="434" t="s">
        <v>1230</v>
      </c>
      <c r="T82" s="434" t="s">
        <v>1232</v>
      </c>
      <c r="U82" s="369"/>
      <c r="V82" s="369"/>
      <c r="W82" s="369"/>
      <c r="X82" s="369"/>
      <c r="Y82" s="145">
        <f t="shared" si="4"/>
        <v>4950</v>
      </c>
      <c r="Z82" s="145"/>
      <c r="AA82" s="145"/>
      <c r="AB82" s="370">
        <f t="shared" si="5"/>
        <v>4950</v>
      </c>
      <c r="AC82" s="370">
        <v>0</v>
      </c>
      <c r="AD82" s="145">
        <v>4950</v>
      </c>
      <c r="AE82" s="145"/>
      <c r="AF82" s="145">
        <f t="shared" si="6"/>
        <v>4950</v>
      </c>
      <c r="AG82" s="145"/>
      <c r="AH82" s="145"/>
      <c r="AI82" s="145">
        <f t="shared" si="7"/>
        <v>4950</v>
      </c>
      <c r="AJ82" s="145">
        <v>0</v>
      </c>
      <c r="AK82" s="145">
        <v>4950</v>
      </c>
      <c r="AL82" s="145"/>
      <c r="AM82" s="145">
        <v>0</v>
      </c>
      <c r="AN82" s="145"/>
      <c r="AO82" s="145"/>
      <c r="AP82" s="145">
        <v>0</v>
      </c>
      <c r="AQ82" s="145"/>
      <c r="AR82" s="145"/>
      <c r="AS82" s="145">
        <v>0</v>
      </c>
      <c r="AT82" s="371"/>
      <c r="AU82" s="145">
        <f t="shared" si="8"/>
        <v>0</v>
      </c>
      <c r="AV82" s="145"/>
      <c r="AW82" s="145"/>
      <c r="AX82" s="145">
        <f t="shared" si="9"/>
        <v>0</v>
      </c>
      <c r="AY82" s="145">
        <v>0</v>
      </c>
      <c r="AZ82" s="145"/>
      <c r="BA82" s="145"/>
      <c r="BB82" s="145"/>
      <c r="BC82" s="145"/>
      <c r="BD82" s="145"/>
      <c r="BE82" s="370"/>
      <c r="BF82" s="370"/>
      <c r="BG82" s="370"/>
      <c r="BH82" s="370"/>
      <c r="BI82" s="370"/>
      <c r="BJ82" s="370"/>
      <c r="BK82" s="370"/>
      <c r="BL82" s="370"/>
      <c r="BM82" s="145"/>
      <c r="BN82" s="370"/>
      <c r="BO82" s="370"/>
      <c r="BP82" s="145"/>
      <c r="BQ82" s="370"/>
      <c r="BR82" s="372">
        <v>0</v>
      </c>
      <c r="BS82" s="372"/>
      <c r="BT82" s="372"/>
    </row>
    <row r="83" spans="1:72" ht="30.75" outlineLevel="1">
      <c r="A83" s="438">
        <v>31</v>
      </c>
      <c r="B83" s="710" t="s">
        <v>1449</v>
      </c>
      <c r="C83" s="420" t="s">
        <v>1238</v>
      </c>
      <c r="D83" s="434" t="s">
        <v>1232</v>
      </c>
      <c r="E83" s="422" t="s">
        <v>49</v>
      </c>
      <c r="F83" s="420" t="s">
        <v>105</v>
      </c>
      <c r="G83" s="422">
        <v>7956488</v>
      </c>
      <c r="H83" s="420" t="s">
        <v>1267</v>
      </c>
      <c r="I83" s="420" t="s">
        <v>76</v>
      </c>
      <c r="J83" s="422">
        <v>2022</v>
      </c>
      <c r="K83" s="420" t="s">
        <v>1446</v>
      </c>
      <c r="L83" s="585" t="s">
        <v>1450</v>
      </c>
      <c r="M83" s="368">
        <v>1735</v>
      </c>
      <c r="N83" s="711"/>
      <c r="O83" s="711"/>
      <c r="P83" s="711">
        <v>1735</v>
      </c>
      <c r="Q83" s="712" t="s">
        <v>1451</v>
      </c>
      <c r="R83" s="420" t="s">
        <v>1267</v>
      </c>
      <c r="S83" s="434" t="s">
        <v>1230</v>
      </c>
      <c r="T83" s="434" t="s">
        <v>1232</v>
      </c>
      <c r="U83" s="369"/>
      <c r="V83" s="369"/>
      <c r="W83" s="369"/>
      <c r="X83" s="369"/>
      <c r="Y83" s="145">
        <f t="shared" si="4"/>
        <v>1735</v>
      </c>
      <c r="Z83" s="145"/>
      <c r="AA83" s="145"/>
      <c r="AB83" s="370">
        <f t="shared" si="5"/>
        <v>1735</v>
      </c>
      <c r="AC83" s="370">
        <v>0</v>
      </c>
      <c r="AD83" s="145">
        <v>1735</v>
      </c>
      <c r="AE83" s="145"/>
      <c r="AF83" s="145">
        <f t="shared" si="6"/>
        <v>1735</v>
      </c>
      <c r="AG83" s="145"/>
      <c r="AH83" s="145"/>
      <c r="AI83" s="145">
        <f t="shared" si="7"/>
        <v>1735</v>
      </c>
      <c r="AJ83" s="145">
        <v>0</v>
      </c>
      <c r="AK83" s="145">
        <v>1735</v>
      </c>
      <c r="AL83" s="145"/>
      <c r="AM83" s="145">
        <v>2786</v>
      </c>
      <c r="AN83" s="145"/>
      <c r="AO83" s="145"/>
      <c r="AP83" s="145">
        <v>2786</v>
      </c>
      <c r="AQ83" s="145"/>
      <c r="AR83" s="145"/>
      <c r="AS83" s="145">
        <v>2786</v>
      </c>
      <c r="AT83" s="371"/>
      <c r="AU83" s="145">
        <f t="shared" si="8"/>
        <v>0</v>
      </c>
      <c r="AV83" s="145"/>
      <c r="AW83" s="145"/>
      <c r="AX83" s="145">
        <f t="shared" si="9"/>
        <v>0</v>
      </c>
      <c r="AY83" s="145">
        <v>0</v>
      </c>
      <c r="AZ83" s="145"/>
      <c r="BA83" s="145"/>
      <c r="BB83" s="145"/>
      <c r="BC83" s="145"/>
      <c r="BD83" s="145"/>
      <c r="BE83" s="370"/>
      <c r="BF83" s="370"/>
      <c r="BG83" s="370"/>
      <c r="BH83" s="370"/>
      <c r="BI83" s="370"/>
      <c r="BJ83" s="370"/>
      <c r="BK83" s="370"/>
      <c r="BL83" s="370"/>
      <c r="BM83" s="145"/>
      <c r="BN83" s="370"/>
      <c r="BO83" s="370"/>
      <c r="BP83" s="145"/>
      <c r="BQ83" s="370"/>
      <c r="BR83" s="372">
        <v>0</v>
      </c>
      <c r="BS83" s="372"/>
      <c r="BT83" s="372"/>
    </row>
    <row r="84" spans="1:72" ht="30.75" outlineLevel="1">
      <c r="A84" s="438">
        <v>32</v>
      </c>
      <c r="B84" s="710" t="s">
        <v>1452</v>
      </c>
      <c r="C84" s="420" t="s">
        <v>1238</v>
      </c>
      <c r="D84" s="434" t="s">
        <v>1232</v>
      </c>
      <c r="E84" s="422" t="s">
        <v>49</v>
      </c>
      <c r="F84" s="420" t="s">
        <v>1439</v>
      </c>
      <c r="G84" s="422">
        <v>7953376</v>
      </c>
      <c r="H84" s="420" t="s">
        <v>1233</v>
      </c>
      <c r="I84" s="420" t="s">
        <v>76</v>
      </c>
      <c r="J84" s="422">
        <v>2022</v>
      </c>
      <c r="K84" s="420" t="s">
        <v>1453</v>
      </c>
      <c r="L84" s="585" t="s">
        <v>1454</v>
      </c>
      <c r="M84" s="368">
        <v>2300</v>
      </c>
      <c r="N84" s="711"/>
      <c r="O84" s="711"/>
      <c r="P84" s="711">
        <v>2300</v>
      </c>
      <c r="Q84" s="712" t="s">
        <v>1455</v>
      </c>
      <c r="R84" s="420" t="s">
        <v>1233</v>
      </c>
      <c r="S84" s="434" t="s">
        <v>1230</v>
      </c>
      <c r="T84" s="434" t="s">
        <v>1232</v>
      </c>
      <c r="U84" s="369"/>
      <c r="V84" s="369"/>
      <c r="W84" s="369"/>
      <c r="X84" s="369"/>
      <c r="Y84" s="145">
        <f t="shared" si="4"/>
        <v>2300</v>
      </c>
      <c r="Z84" s="145"/>
      <c r="AA84" s="145"/>
      <c r="AB84" s="370">
        <f t="shared" si="5"/>
        <v>2300</v>
      </c>
      <c r="AC84" s="370">
        <v>0</v>
      </c>
      <c r="AD84" s="145">
        <v>2300</v>
      </c>
      <c r="AE84" s="145"/>
      <c r="AF84" s="145">
        <f t="shared" si="6"/>
        <v>2300</v>
      </c>
      <c r="AG84" s="145"/>
      <c r="AH84" s="145"/>
      <c r="AI84" s="145">
        <f t="shared" si="7"/>
        <v>2300</v>
      </c>
      <c r="AJ84" s="145">
        <v>0</v>
      </c>
      <c r="AK84" s="145">
        <v>2300</v>
      </c>
      <c r="AL84" s="145"/>
      <c r="AM84" s="145"/>
      <c r="AN84" s="145"/>
      <c r="AO84" s="145"/>
      <c r="AP84" s="145"/>
      <c r="AQ84" s="145"/>
      <c r="AR84" s="145"/>
      <c r="AS84" s="145"/>
      <c r="AT84" s="371"/>
      <c r="AU84" s="145">
        <f t="shared" si="8"/>
        <v>0</v>
      </c>
      <c r="AV84" s="145"/>
      <c r="AW84" s="145"/>
      <c r="AX84" s="145">
        <f t="shared" si="9"/>
        <v>0</v>
      </c>
      <c r="AY84" s="145">
        <v>0</v>
      </c>
      <c r="AZ84" s="145"/>
      <c r="BA84" s="145"/>
      <c r="BB84" s="145"/>
      <c r="BC84" s="145"/>
      <c r="BD84" s="145"/>
      <c r="BE84" s="370"/>
      <c r="BF84" s="370"/>
      <c r="BG84" s="370"/>
      <c r="BH84" s="370"/>
      <c r="BI84" s="370"/>
      <c r="BJ84" s="370"/>
      <c r="BK84" s="370"/>
      <c r="BL84" s="370"/>
      <c r="BM84" s="145"/>
      <c r="BN84" s="370"/>
      <c r="BO84" s="370"/>
      <c r="BP84" s="145"/>
      <c r="BQ84" s="370"/>
      <c r="BR84" s="372">
        <v>0</v>
      </c>
      <c r="BS84" s="372"/>
      <c r="BT84" s="372"/>
    </row>
    <row r="85" spans="1:72" ht="61.5" outlineLevel="1">
      <c r="A85" s="438">
        <v>33</v>
      </c>
      <c r="B85" s="710" t="s">
        <v>1456</v>
      </c>
      <c r="C85" s="420" t="s">
        <v>1405</v>
      </c>
      <c r="D85" s="434" t="s">
        <v>1232</v>
      </c>
      <c r="E85" s="422" t="s">
        <v>49</v>
      </c>
      <c r="F85" s="420" t="s">
        <v>1176</v>
      </c>
      <c r="G85" s="422">
        <v>7938864</v>
      </c>
      <c r="H85" s="420" t="s">
        <v>1233</v>
      </c>
      <c r="I85" s="420" t="s">
        <v>76</v>
      </c>
      <c r="J85" s="422">
        <v>2022</v>
      </c>
      <c r="K85" s="420" t="s">
        <v>1375</v>
      </c>
      <c r="L85" s="585" t="s">
        <v>1457</v>
      </c>
      <c r="M85" s="368">
        <v>2900</v>
      </c>
      <c r="N85" s="711"/>
      <c r="O85" s="711"/>
      <c r="P85" s="711">
        <v>2900</v>
      </c>
      <c r="Q85" s="712" t="s">
        <v>1458</v>
      </c>
      <c r="R85" s="420" t="s">
        <v>1233</v>
      </c>
      <c r="S85" s="434" t="s">
        <v>1230</v>
      </c>
      <c r="T85" s="434" t="s">
        <v>1232</v>
      </c>
      <c r="U85" s="369"/>
      <c r="V85" s="369"/>
      <c r="W85" s="369"/>
      <c r="X85" s="369"/>
      <c r="Y85" s="145">
        <f t="shared" si="4"/>
        <v>2815</v>
      </c>
      <c r="Z85" s="145"/>
      <c r="AA85" s="145"/>
      <c r="AB85" s="370">
        <f t="shared" si="5"/>
        <v>2815</v>
      </c>
      <c r="AC85" s="370">
        <v>0</v>
      </c>
      <c r="AD85" s="145">
        <v>2815</v>
      </c>
      <c r="AE85" s="145"/>
      <c r="AF85" s="145">
        <f t="shared" si="6"/>
        <v>2815</v>
      </c>
      <c r="AG85" s="145"/>
      <c r="AH85" s="145"/>
      <c r="AI85" s="145">
        <f t="shared" si="7"/>
        <v>2815</v>
      </c>
      <c r="AJ85" s="145">
        <v>0</v>
      </c>
      <c r="AK85" s="145">
        <v>2815</v>
      </c>
      <c r="AL85" s="145"/>
      <c r="AM85" s="145"/>
      <c r="AN85" s="145"/>
      <c r="AO85" s="145"/>
      <c r="AP85" s="145"/>
      <c r="AQ85" s="145"/>
      <c r="AR85" s="145"/>
      <c r="AS85" s="145"/>
      <c r="AT85" s="371"/>
      <c r="AU85" s="145">
        <f t="shared" si="8"/>
        <v>0</v>
      </c>
      <c r="AV85" s="145"/>
      <c r="AW85" s="145"/>
      <c r="AX85" s="145">
        <f t="shared" si="9"/>
        <v>0</v>
      </c>
      <c r="AY85" s="145">
        <v>0</v>
      </c>
      <c r="AZ85" s="145"/>
      <c r="BA85" s="145"/>
      <c r="BB85" s="145"/>
      <c r="BC85" s="145"/>
      <c r="BD85" s="145"/>
      <c r="BE85" s="370"/>
      <c r="BF85" s="370"/>
      <c r="BG85" s="370"/>
      <c r="BH85" s="370"/>
      <c r="BI85" s="370"/>
      <c r="BJ85" s="370"/>
      <c r="BK85" s="370"/>
      <c r="BL85" s="370"/>
      <c r="BM85" s="145"/>
      <c r="BN85" s="370"/>
      <c r="BO85" s="370"/>
      <c r="BP85" s="145"/>
      <c r="BQ85" s="370"/>
      <c r="BR85" s="372">
        <v>0</v>
      </c>
      <c r="BS85" s="372"/>
      <c r="BT85" s="372"/>
    </row>
    <row r="86" spans="1:72" ht="30.75" outlineLevel="1">
      <c r="A86" s="438">
        <v>34</v>
      </c>
      <c r="B86" s="710" t="s">
        <v>1459</v>
      </c>
      <c r="C86" s="420" t="s">
        <v>1238</v>
      </c>
      <c r="D86" s="434" t="s">
        <v>1232</v>
      </c>
      <c r="E86" s="422" t="s">
        <v>49</v>
      </c>
      <c r="F86" s="420" t="s">
        <v>48</v>
      </c>
      <c r="G86" s="422">
        <v>7930062</v>
      </c>
      <c r="H86" s="420" t="s">
        <v>1233</v>
      </c>
      <c r="I86" s="420" t="s">
        <v>76</v>
      </c>
      <c r="J86" s="422">
        <v>2023</v>
      </c>
      <c r="K86" s="420" t="s">
        <v>1460</v>
      </c>
      <c r="L86" s="585" t="s">
        <v>1461</v>
      </c>
      <c r="M86" s="368">
        <v>20000</v>
      </c>
      <c r="N86" s="711"/>
      <c r="O86" s="711"/>
      <c r="P86" s="711">
        <v>20000</v>
      </c>
      <c r="Q86" s="712" t="s">
        <v>1462</v>
      </c>
      <c r="R86" s="420" t="s">
        <v>1233</v>
      </c>
      <c r="S86" s="434" t="s">
        <v>1230</v>
      </c>
      <c r="T86" s="434" t="s">
        <v>1232</v>
      </c>
      <c r="U86" s="369"/>
      <c r="V86" s="369"/>
      <c r="W86" s="369"/>
      <c r="X86" s="369"/>
      <c r="Y86" s="145">
        <f t="shared" si="4"/>
        <v>20000</v>
      </c>
      <c r="Z86" s="145"/>
      <c r="AA86" s="145"/>
      <c r="AB86" s="370">
        <f t="shared" si="5"/>
        <v>20000</v>
      </c>
      <c r="AC86" s="370">
        <v>0</v>
      </c>
      <c r="AD86" s="145">
        <v>20000</v>
      </c>
      <c r="AE86" s="145"/>
      <c r="AF86" s="145">
        <f t="shared" si="6"/>
        <v>20000</v>
      </c>
      <c r="AG86" s="145"/>
      <c r="AH86" s="145"/>
      <c r="AI86" s="145">
        <f t="shared" si="7"/>
        <v>20000</v>
      </c>
      <c r="AJ86" s="145">
        <v>0</v>
      </c>
      <c r="AK86" s="145">
        <v>20000</v>
      </c>
      <c r="AL86" s="145"/>
      <c r="AM86" s="145"/>
      <c r="AN86" s="145"/>
      <c r="AO86" s="145"/>
      <c r="AP86" s="145"/>
      <c r="AQ86" s="145"/>
      <c r="AR86" s="145"/>
      <c r="AS86" s="145"/>
      <c r="AT86" s="371"/>
      <c r="AU86" s="145">
        <f t="shared" si="8"/>
        <v>0</v>
      </c>
      <c r="AV86" s="145"/>
      <c r="AW86" s="145"/>
      <c r="AX86" s="145">
        <f t="shared" si="9"/>
        <v>0</v>
      </c>
      <c r="AY86" s="145">
        <v>0</v>
      </c>
      <c r="AZ86" s="145"/>
      <c r="BA86" s="145"/>
      <c r="BB86" s="145"/>
      <c r="BC86" s="145"/>
      <c r="BD86" s="145"/>
      <c r="BE86" s="370"/>
      <c r="BF86" s="370"/>
      <c r="BG86" s="370"/>
      <c r="BH86" s="370"/>
      <c r="BI86" s="370"/>
      <c r="BJ86" s="370"/>
      <c r="BK86" s="370"/>
      <c r="BL86" s="370"/>
      <c r="BM86" s="145"/>
      <c r="BN86" s="370"/>
      <c r="BO86" s="370"/>
      <c r="BP86" s="145"/>
      <c r="BQ86" s="370"/>
      <c r="BR86" s="372">
        <v>0</v>
      </c>
      <c r="BS86" s="372"/>
      <c r="BT86" s="372"/>
    </row>
    <row r="87" spans="1:72" ht="30.75" outlineLevel="1">
      <c r="A87" s="438">
        <v>35</v>
      </c>
      <c r="B87" s="710" t="s">
        <v>1463</v>
      </c>
      <c r="C87" s="420" t="s">
        <v>1238</v>
      </c>
      <c r="D87" s="434" t="s">
        <v>1232</v>
      </c>
      <c r="E87" s="422" t="s">
        <v>49</v>
      </c>
      <c r="F87" s="420" t="s">
        <v>105</v>
      </c>
      <c r="G87" s="422" t="s">
        <v>1464</v>
      </c>
      <c r="H87" s="420" t="s">
        <v>1233</v>
      </c>
      <c r="I87" s="420" t="s">
        <v>56</v>
      </c>
      <c r="J87" s="422">
        <v>2023</v>
      </c>
      <c r="K87" s="420" t="s">
        <v>1465</v>
      </c>
      <c r="L87" s="585" t="s">
        <v>1466</v>
      </c>
      <c r="M87" s="368">
        <v>4950</v>
      </c>
      <c r="N87" s="711"/>
      <c r="O87" s="711"/>
      <c r="P87" s="711">
        <v>4950</v>
      </c>
      <c r="Q87" s="712" t="s">
        <v>1467</v>
      </c>
      <c r="R87" s="420" t="s">
        <v>1233</v>
      </c>
      <c r="S87" s="434" t="s">
        <v>1230</v>
      </c>
      <c r="T87" s="434" t="s">
        <v>1232</v>
      </c>
      <c r="U87" s="369"/>
      <c r="V87" s="369"/>
      <c r="W87" s="369"/>
      <c r="X87" s="369"/>
      <c r="Y87" s="145">
        <f t="shared" ref="Y87:Y150" si="12">Z87+AA87+AB87</f>
        <v>4950</v>
      </c>
      <c r="Z87" s="145"/>
      <c r="AA87" s="145"/>
      <c r="AB87" s="370">
        <f t="shared" ref="AB87:AB150" si="13">AC87+AD87+AE87</f>
        <v>4950</v>
      </c>
      <c r="AC87" s="370">
        <v>0</v>
      </c>
      <c r="AD87" s="145">
        <v>4950</v>
      </c>
      <c r="AE87" s="145"/>
      <c r="AF87" s="145">
        <f t="shared" ref="AF87:AF150" si="14">AG87+AH87+AI87</f>
        <v>4950</v>
      </c>
      <c r="AG87" s="145"/>
      <c r="AH87" s="145"/>
      <c r="AI87" s="145">
        <f t="shared" ref="AI87:AI150" si="15">AJ87+AK87+AL87</f>
        <v>4950</v>
      </c>
      <c r="AJ87" s="145">
        <v>0</v>
      </c>
      <c r="AK87" s="145">
        <v>4950</v>
      </c>
      <c r="AL87" s="145"/>
      <c r="AM87" s="145"/>
      <c r="AN87" s="145"/>
      <c r="AO87" s="145"/>
      <c r="AP87" s="145"/>
      <c r="AQ87" s="145"/>
      <c r="AR87" s="145"/>
      <c r="AS87" s="145"/>
      <c r="AT87" s="371"/>
      <c r="AU87" s="145">
        <f t="shared" ref="AU87:AU150" si="16">AV87+AW87+AX87</f>
        <v>0</v>
      </c>
      <c r="AV87" s="145"/>
      <c r="AW87" s="145"/>
      <c r="AX87" s="145">
        <f t="shared" ref="AX87:AX150" si="17">AY87+AZ87+BA87</f>
        <v>0</v>
      </c>
      <c r="AY87" s="145">
        <v>0</v>
      </c>
      <c r="AZ87" s="145"/>
      <c r="BA87" s="145"/>
      <c r="BB87" s="145"/>
      <c r="BC87" s="145"/>
      <c r="BD87" s="145"/>
      <c r="BE87" s="370"/>
      <c r="BF87" s="370"/>
      <c r="BG87" s="370"/>
      <c r="BH87" s="370"/>
      <c r="BI87" s="370"/>
      <c r="BJ87" s="370"/>
      <c r="BK87" s="370"/>
      <c r="BL87" s="370"/>
      <c r="BM87" s="145"/>
      <c r="BN87" s="370"/>
      <c r="BO87" s="370"/>
      <c r="BP87" s="145"/>
      <c r="BQ87" s="370"/>
      <c r="BR87" s="372">
        <v>0</v>
      </c>
      <c r="BS87" s="372"/>
      <c r="BT87" s="372"/>
    </row>
    <row r="88" spans="1:72" ht="30.75" outlineLevel="1">
      <c r="A88" s="438">
        <v>36</v>
      </c>
      <c r="B88" s="710" t="s">
        <v>1468</v>
      </c>
      <c r="C88" s="420" t="s">
        <v>1238</v>
      </c>
      <c r="D88" s="434" t="s">
        <v>1232</v>
      </c>
      <c r="E88" s="422" t="s">
        <v>49</v>
      </c>
      <c r="F88" s="420" t="s">
        <v>48</v>
      </c>
      <c r="G88" s="422">
        <v>8014338</v>
      </c>
      <c r="H88" s="420" t="s">
        <v>1233</v>
      </c>
      <c r="I88" s="420" t="s">
        <v>54</v>
      </c>
      <c r="J88" s="422">
        <v>2023</v>
      </c>
      <c r="K88" s="420" t="s">
        <v>1469</v>
      </c>
      <c r="L88" s="585" t="s">
        <v>1470</v>
      </c>
      <c r="M88" s="368">
        <v>217350</v>
      </c>
      <c r="N88" s="711"/>
      <c r="O88" s="711"/>
      <c r="P88" s="711">
        <v>217350</v>
      </c>
      <c r="Q88" s="712"/>
      <c r="R88" s="420" t="s">
        <v>1233</v>
      </c>
      <c r="S88" s="434" t="s">
        <v>1230</v>
      </c>
      <c r="T88" s="434" t="s">
        <v>1232</v>
      </c>
      <c r="U88" s="369"/>
      <c r="V88" s="369"/>
      <c r="W88" s="369"/>
      <c r="X88" s="369"/>
      <c r="Y88" s="145">
        <f t="shared" si="12"/>
        <v>217000</v>
      </c>
      <c r="Z88" s="145"/>
      <c r="AA88" s="145"/>
      <c r="AB88" s="370">
        <f t="shared" si="13"/>
        <v>217000</v>
      </c>
      <c r="AC88" s="370">
        <v>90000</v>
      </c>
      <c r="AD88" s="145">
        <v>127000</v>
      </c>
      <c r="AE88" s="145"/>
      <c r="AF88" s="145">
        <f t="shared" si="14"/>
        <v>111206</v>
      </c>
      <c r="AG88" s="145"/>
      <c r="AH88" s="145"/>
      <c r="AI88" s="145">
        <f t="shared" si="15"/>
        <v>111206</v>
      </c>
      <c r="AJ88" s="145">
        <v>51709</v>
      </c>
      <c r="AK88" s="145">
        <v>59497</v>
      </c>
      <c r="AL88" s="145"/>
      <c r="AM88" s="145"/>
      <c r="AN88" s="145"/>
      <c r="AO88" s="145"/>
      <c r="AP88" s="145"/>
      <c r="AQ88" s="145"/>
      <c r="AR88" s="145"/>
      <c r="AS88" s="145"/>
      <c r="AT88" s="371"/>
      <c r="AU88" s="145">
        <f t="shared" si="16"/>
        <v>105794</v>
      </c>
      <c r="AV88" s="145"/>
      <c r="AW88" s="145"/>
      <c r="AX88" s="145">
        <f t="shared" si="17"/>
        <v>105794</v>
      </c>
      <c r="AY88" s="145">
        <v>38291</v>
      </c>
      <c r="AZ88" s="145">
        <v>67503</v>
      </c>
      <c r="BA88" s="145"/>
      <c r="BB88" s="145"/>
      <c r="BC88" s="145"/>
      <c r="BD88" s="145"/>
      <c r="BE88" s="370"/>
      <c r="BF88" s="370"/>
      <c r="BG88" s="370"/>
      <c r="BH88" s="370"/>
      <c r="BI88" s="370"/>
      <c r="BJ88" s="370"/>
      <c r="BK88" s="370"/>
      <c r="BL88" s="370"/>
      <c r="BM88" s="145">
        <v>41305.654000000002</v>
      </c>
      <c r="BN88" s="370"/>
      <c r="BO88" s="370"/>
      <c r="BP88" s="145"/>
      <c r="BQ88" s="370">
        <v>41305.654000000002</v>
      </c>
      <c r="BR88" s="372">
        <v>0</v>
      </c>
      <c r="BS88" s="145">
        <v>47817</v>
      </c>
      <c r="BT88" s="372"/>
    </row>
    <row r="89" spans="1:72" ht="30.75" outlineLevel="1">
      <c r="A89" s="438">
        <v>37</v>
      </c>
      <c r="B89" s="710" t="s">
        <v>1471</v>
      </c>
      <c r="C89" s="420" t="s">
        <v>1238</v>
      </c>
      <c r="D89" s="434" t="s">
        <v>1232</v>
      </c>
      <c r="E89" s="422" t="s">
        <v>49</v>
      </c>
      <c r="F89" s="420" t="s">
        <v>105</v>
      </c>
      <c r="G89" s="422" t="s">
        <v>1472</v>
      </c>
      <c r="H89" s="420" t="s">
        <v>1233</v>
      </c>
      <c r="I89" s="420" t="s">
        <v>84</v>
      </c>
      <c r="J89" s="422">
        <v>2024</v>
      </c>
      <c r="K89" s="420" t="s">
        <v>1473</v>
      </c>
      <c r="L89" s="585" t="s">
        <v>1474</v>
      </c>
      <c r="M89" s="368">
        <v>3500</v>
      </c>
      <c r="N89" s="711"/>
      <c r="O89" s="711"/>
      <c r="P89" s="711">
        <v>3500</v>
      </c>
      <c r="Q89" s="712" t="s">
        <v>1475</v>
      </c>
      <c r="R89" s="420" t="s">
        <v>1233</v>
      </c>
      <c r="S89" s="434" t="s">
        <v>1230</v>
      </c>
      <c r="T89" s="434" t="s">
        <v>1232</v>
      </c>
      <c r="U89" s="369"/>
      <c r="V89" s="369"/>
      <c r="W89" s="369"/>
      <c r="X89" s="369"/>
      <c r="Y89" s="145">
        <f t="shared" si="12"/>
        <v>3400</v>
      </c>
      <c r="Z89" s="145"/>
      <c r="AA89" s="145"/>
      <c r="AB89" s="370">
        <f t="shared" si="13"/>
        <v>3400</v>
      </c>
      <c r="AC89" s="370">
        <v>0</v>
      </c>
      <c r="AD89" s="145">
        <v>3400</v>
      </c>
      <c r="AE89" s="145"/>
      <c r="AF89" s="145">
        <f t="shared" si="14"/>
        <v>3400</v>
      </c>
      <c r="AG89" s="145"/>
      <c r="AH89" s="145"/>
      <c r="AI89" s="145">
        <f t="shared" si="15"/>
        <v>3400</v>
      </c>
      <c r="AJ89" s="145">
        <v>0</v>
      </c>
      <c r="AK89" s="145">
        <v>3400</v>
      </c>
      <c r="AL89" s="145"/>
      <c r="AM89" s="145"/>
      <c r="AN89" s="145"/>
      <c r="AO89" s="145"/>
      <c r="AP89" s="145"/>
      <c r="AQ89" s="145"/>
      <c r="AR89" s="145"/>
      <c r="AS89" s="145"/>
      <c r="AT89" s="371"/>
      <c r="AU89" s="145">
        <f t="shared" si="16"/>
        <v>0</v>
      </c>
      <c r="AV89" s="145"/>
      <c r="AW89" s="145"/>
      <c r="AX89" s="145">
        <f t="shared" si="17"/>
        <v>0</v>
      </c>
      <c r="AY89" s="145">
        <v>0</v>
      </c>
      <c r="AZ89" s="145"/>
      <c r="BA89" s="145"/>
      <c r="BB89" s="145"/>
      <c r="BC89" s="145"/>
      <c r="BD89" s="145"/>
      <c r="BE89" s="370"/>
      <c r="BF89" s="370"/>
      <c r="BG89" s="370"/>
      <c r="BH89" s="370"/>
      <c r="BI89" s="370"/>
      <c r="BJ89" s="370"/>
      <c r="BK89" s="370"/>
      <c r="BL89" s="370"/>
      <c r="BM89" s="145"/>
      <c r="BN89" s="370"/>
      <c r="BO89" s="370"/>
      <c r="BP89" s="145"/>
      <c r="BQ89" s="370"/>
      <c r="BR89" s="372">
        <v>0</v>
      </c>
      <c r="BS89" s="743">
        <v>839.024</v>
      </c>
      <c r="BT89" s="372"/>
    </row>
    <row r="90" spans="1:72" ht="46.15" outlineLevel="1">
      <c r="A90" s="438">
        <v>38</v>
      </c>
      <c r="B90" s="710" t="s">
        <v>1476</v>
      </c>
      <c r="C90" s="420" t="s">
        <v>1238</v>
      </c>
      <c r="D90" s="434" t="s">
        <v>1232</v>
      </c>
      <c r="E90" s="422" t="s">
        <v>49</v>
      </c>
      <c r="F90" s="420" t="s">
        <v>48</v>
      </c>
      <c r="G90" s="422">
        <v>8100262</v>
      </c>
      <c r="H90" s="420" t="s">
        <v>1233</v>
      </c>
      <c r="I90" s="420" t="s">
        <v>1477</v>
      </c>
      <c r="J90" s="422">
        <v>2025</v>
      </c>
      <c r="K90" s="420" t="s">
        <v>1478</v>
      </c>
      <c r="L90" s="585" t="s">
        <v>1479</v>
      </c>
      <c r="M90" s="368">
        <v>44498</v>
      </c>
      <c r="N90" s="711"/>
      <c r="O90" s="711"/>
      <c r="P90" s="711">
        <v>44498</v>
      </c>
      <c r="Q90" s="712"/>
      <c r="R90" s="420" t="s">
        <v>1233</v>
      </c>
      <c r="S90" s="434" t="s">
        <v>1230</v>
      </c>
      <c r="T90" s="434" t="s">
        <v>1232</v>
      </c>
      <c r="U90" s="369"/>
      <c r="V90" s="369"/>
      <c r="W90" s="369"/>
      <c r="X90" s="369"/>
      <c r="Y90" s="145">
        <f t="shared" si="12"/>
        <v>49200</v>
      </c>
      <c r="Z90" s="145"/>
      <c r="AA90" s="145"/>
      <c r="AB90" s="370">
        <f t="shared" si="13"/>
        <v>49200</v>
      </c>
      <c r="AC90" s="370">
        <v>0</v>
      </c>
      <c r="AD90" s="145">
        <v>49200</v>
      </c>
      <c r="AE90" s="145"/>
      <c r="AF90" s="145">
        <f t="shared" si="14"/>
        <v>200</v>
      </c>
      <c r="AG90" s="145"/>
      <c r="AH90" s="145"/>
      <c r="AI90" s="145">
        <f t="shared" si="15"/>
        <v>200</v>
      </c>
      <c r="AJ90" s="145">
        <v>0</v>
      </c>
      <c r="AK90" s="145">
        <v>200</v>
      </c>
      <c r="AL90" s="145"/>
      <c r="AM90" s="145"/>
      <c r="AN90" s="145"/>
      <c r="AO90" s="145"/>
      <c r="AP90" s="145"/>
      <c r="AQ90" s="145"/>
      <c r="AR90" s="145"/>
      <c r="AS90" s="145"/>
      <c r="AT90" s="371"/>
      <c r="AU90" s="145">
        <f t="shared" si="16"/>
        <v>33375</v>
      </c>
      <c r="AV90" s="145"/>
      <c r="AW90" s="145"/>
      <c r="AX90" s="145">
        <f t="shared" si="17"/>
        <v>33375</v>
      </c>
      <c r="AY90" s="145">
        <v>0</v>
      </c>
      <c r="AZ90" s="145">
        <v>33375</v>
      </c>
      <c r="BA90" s="145"/>
      <c r="BB90" s="145"/>
      <c r="BC90" s="145"/>
      <c r="BD90" s="145"/>
      <c r="BE90" s="370"/>
      <c r="BF90" s="370"/>
      <c r="BG90" s="370"/>
      <c r="BH90" s="370"/>
      <c r="BI90" s="370"/>
      <c r="BJ90" s="370"/>
      <c r="BK90" s="370"/>
      <c r="BL90" s="370"/>
      <c r="BM90" s="145"/>
      <c r="BN90" s="370"/>
      <c r="BO90" s="370"/>
      <c r="BP90" s="145"/>
      <c r="BQ90" s="370"/>
      <c r="BR90" s="372">
        <v>15625</v>
      </c>
      <c r="BS90" s="372"/>
      <c r="BT90" s="372"/>
    </row>
    <row r="91" spans="1:72" ht="30.75" outlineLevel="1">
      <c r="A91" s="438">
        <v>39</v>
      </c>
      <c r="B91" s="710" t="s">
        <v>1480</v>
      </c>
      <c r="C91" s="420" t="s">
        <v>1238</v>
      </c>
      <c r="D91" s="434" t="s">
        <v>1232</v>
      </c>
      <c r="E91" s="422" t="s">
        <v>49</v>
      </c>
      <c r="F91" s="420" t="s">
        <v>48</v>
      </c>
      <c r="G91" s="422">
        <v>8100261</v>
      </c>
      <c r="H91" s="420" t="s">
        <v>1233</v>
      </c>
      <c r="I91" s="420" t="s">
        <v>1477</v>
      </c>
      <c r="J91" s="422">
        <v>2025</v>
      </c>
      <c r="K91" s="420" t="s">
        <v>1481</v>
      </c>
      <c r="L91" s="585" t="s">
        <v>1482</v>
      </c>
      <c r="M91" s="368">
        <v>22660</v>
      </c>
      <c r="N91" s="711"/>
      <c r="O91" s="711"/>
      <c r="P91" s="711">
        <v>22660</v>
      </c>
      <c r="Q91" s="712"/>
      <c r="R91" s="420" t="s">
        <v>1233</v>
      </c>
      <c r="S91" s="434" t="s">
        <v>1230</v>
      </c>
      <c r="T91" s="434" t="s">
        <v>1232</v>
      </c>
      <c r="U91" s="369"/>
      <c r="V91" s="369"/>
      <c r="W91" s="369"/>
      <c r="X91" s="369"/>
      <c r="Y91" s="145">
        <f t="shared" si="12"/>
        <v>25200</v>
      </c>
      <c r="Z91" s="145"/>
      <c r="AA91" s="145"/>
      <c r="AB91" s="370">
        <f t="shared" si="13"/>
        <v>25200</v>
      </c>
      <c r="AC91" s="370">
        <v>0</v>
      </c>
      <c r="AD91" s="145">
        <v>25200</v>
      </c>
      <c r="AE91" s="145"/>
      <c r="AF91" s="145">
        <f t="shared" si="14"/>
        <v>200</v>
      </c>
      <c r="AG91" s="145"/>
      <c r="AH91" s="145"/>
      <c r="AI91" s="145">
        <f t="shared" si="15"/>
        <v>200</v>
      </c>
      <c r="AJ91" s="145">
        <v>0</v>
      </c>
      <c r="AK91" s="145">
        <v>200</v>
      </c>
      <c r="AL91" s="145"/>
      <c r="AM91" s="145"/>
      <c r="AN91" s="145"/>
      <c r="AO91" s="145"/>
      <c r="AP91" s="145"/>
      <c r="AQ91" s="145"/>
      <c r="AR91" s="145"/>
      <c r="AS91" s="145"/>
      <c r="AT91" s="371"/>
      <c r="AU91" s="145">
        <f t="shared" si="16"/>
        <v>20000</v>
      </c>
      <c r="AV91" s="145"/>
      <c r="AW91" s="145"/>
      <c r="AX91" s="145">
        <f t="shared" si="17"/>
        <v>20000</v>
      </c>
      <c r="AY91" s="145">
        <v>0</v>
      </c>
      <c r="AZ91" s="145">
        <v>20000</v>
      </c>
      <c r="BA91" s="145"/>
      <c r="BB91" s="145"/>
      <c r="BC91" s="145"/>
      <c r="BD91" s="145"/>
      <c r="BE91" s="370"/>
      <c r="BF91" s="370"/>
      <c r="BG91" s="370"/>
      <c r="BH91" s="370"/>
      <c r="BI91" s="370"/>
      <c r="BJ91" s="370"/>
      <c r="BK91" s="370"/>
      <c r="BL91" s="370"/>
      <c r="BM91" s="145"/>
      <c r="BN91" s="370"/>
      <c r="BO91" s="370"/>
      <c r="BP91" s="145"/>
      <c r="BQ91" s="370"/>
      <c r="BR91" s="372">
        <v>5000</v>
      </c>
      <c r="BS91" s="372"/>
      <c r="BT91" s="372"/>
    </row>
    <row r="92" spans="1:72" ht="30.75" outlineLevel="1">
      <c r="A92" s="438">
        <v>40</v>
      </c>
      <c r="B92" s="710" t="s">
        <v>1483</v>
      </c>
      <c r="C92" s="420" t="s">
        <v>1238</v>
      </c>
      <c r="D92" s="434" t="s">
        <v>1232</v>
      </c>
      <c r="E92" s="422" t="s">
        <v>49</v>
      </c>
      <c r="F92" s="420" t="s">
        <v>105</v>
      </c>
      <c r="G92" s="422">
        <v>8116737</v>
      </c>
      <c r="H92" s="420" t="s">
        <v>1233</v>
      </c>
      <c r="I92" s="420" t="s">
        <v>84</v>
      </c>
      <c r="J92" s="422">
        <v>2024</v>
      </c>
      <c r="K92" s="420" t="s">
        <v>1484</v>
      </c>
      <c r="L92" s="585" t="s">
        <v>1485</v>
      </c>
      <c r="M92" s="368">
        <v>4950</v>
      </c>
      <c r="N92" s="711"/>
      <c r="O92" s="711"/>
      <c r="P92" s="711">
        <v>4950</v>
      </c>
      <c r="Q92" s="712"/>
      <c r="R92" s="420" t="s">
        <v>1233</v>
      </c>
      <c r="S92" s="434" t="s">
        <v>1230</v>
      </c>
      <c r="T92" s="434" t="s">
        <v>1232</v>
      </c>
      <c r="U92" s="369"/>
      <c r="V92" s="369"/>
      <c r="W92" s="369"/>
      <c r="X92" s="369"/>
      <c r="Y92" s="145">
        <f t="shared" si="12"/>
        <v>5000</v>
      </c>
      <c r="Z92" s="145"/>
      <c r="AA92" s="145"/>
      <c r="AB92" s="370">
        <f t="shared" si="13"/>
        <v>5000</v>
      </c>
      <c r="AC92" s="370">
        <v>0</v>
      </c>
      <c r="AD92" s="145">
        <v>5000</v>
      </c>
      <c r="AE92" s="145"/>
      <c r="AF92" s="145">
        <f t="shared" si="14"/>
        <v>50</v>
      </c>
      <c r="AG92" s="145"/>
      <c r="AH92" s="145"/>
      <c r="AI92" s="145">
        <f t="shared" si="15"/>
        <v>50</v>
      </c>
      <c r="AJ92" s="145">
        <v>0</v>
      </c>
      <c r="AK92" s="145">
        <v>50</v>
      </c>
      <c r="AL92" s="145"/>
      <c r="AM92" s="145"/>
      <c r="AN92" s="145"/>
      <c r="AO92" s="145"/>
      <c r="AP92" s="145"/>
      <c r="AQ92" s="145"/>
      <c r="AR92" s="145"/>
      <c r="AS92" s="145"/>
      <c r="AT92" s="371"/>
      <c r="AU92" s="145">
        <f t="shared" si="16"/>
        <v>4800</v>
      </c>
      <c r="AV92" s="145"/>
      <c r="AW92" s="145"/>
      <c r="AX92" s="145">
        <f t="shared" si="17"/>
        <v>4800</v>
      </c>
      <c r="AY92" s="145">
        <v>0</v>
      </c>
      <c r="AZ92" s="145">
        <v>4800</v>
      </c>
      <c r="BA92" s="145"/>
      <c r="BB92" s="145"/>
      <c r="BC92" s="145"/>
      <c r="BD92" s="145"/>
      <c r="BE92" s="370"/>
      <c r="BF92" s="370"/>
      <c r="BG92" s="370"/>
      <c r="BH92" s="370"/>
      <c r="BI92" s="370"/>
      <c r="BJ92" s="370"/>
      <c r="BK92" s="370"/>
      <c r="BL92" s="370"/>
      <c r="BM92" s="145"/>
      <c r="BN92" s="370"/>
      <c r="BO92" s="370"/>
      <c r="BP92" s="145"/>
      <c r="BQ92" s="370"/>
      <c r="BR92" s="372"/>
      <c r="BS92" s="372"/>
      <c r="BT92" s="372"/>
    </row>
    <row r="93" spans="1:72" ht="30.75" outlineLevel="1">
      <c r="A93" s="438">
        <v>41</v>
      </c>
      <c r="B93" s="710" t="s">
        <v>1486</v>
      </c>
      <c r="C93" s="420" t="s">
        <v>1238</v>
      </c>
      <c r="D93" s="434" t="s">
        <v>1232</v>
      </c>
      <c r="E93" s="422" t="s">
        <v>49</v>
      </c>
      <c r="F93" s="420" t="s">
        <v>105</v>
      </c>
      <c r="G93" s="422">
        <v>7930055</v>
      </c>
      <c r="H93" s="420" t="s">
        <v>1233</v>
      </c>
      <c r="I93" s="420" t="s">
        <v>76</v>
      </c>
      <c r="J93" s="422">
        <v>2022</v>
      </c>
      <c r="K93" s="420" t="s">
        <v>1375</v>
      </c>
      <c r="L93" s="585" t="s">
        <v>1487</v>
      </c>
      <c r="M93" s="368">
        <v>4300</v>
      </c>
      <c r="N93" s="711"/>
      <c r="O93" s="711"/>
      <c r="P93" s="711">
        <v>4300</v>
      </c>
      <c r="Q93" s="712" t="s">
        <v>1488</v>
      </c>
      <c r="R93" s="420" t="s">
        <v>1233</v>
      </c>
      <c r="S93" s="434" t="s">
        <v>1230</v>
      </c>
      <c r="T93" s="434" t="s">
        <v>1232</v>
      </c>
      <c r="U93" s="369"/>
      <c r="V93" s="369"/>
      <c r="W93" s="369"/>
      <c r="X93" s="369"/>
      <c r="Y93" s="145">
        <f t="shared" si="12"/>
        <v>4220</v>
      </c>
      <c r="Z93" s="145"/>
      <c r="AA93" s="145"/>
      <c r="AB93" s="370">
        <f t="shared" si="13"/>
        <v>4220</v>
      </c>
      <c r="AC93" s="370">
        <v>4220</v>
      </c>
      <c r="AD93" s="145"/>
      <c r="AE93" s="145"/>
      <c r="AF93" s="145">
        <f t="shared" si="14"/>
        <v>4395</v>
      </c>
      <c r="AG93" s="145"/>
      <c r="AH93" s="145"/>
      <c r="AI93" s="145">
        <f t="shared" si="15"/>
        <v>4395</v>
      </c>
      <c r="AJ93" s="145">
        <v>4395</v>
      </c>
      <c r="AK93" s="145"/>
      <c r="AL93" s="145"/>
      <c r="AM93" s="145">
        <v>2500</v>
      </c>
      <c r="AN93" s="145"/>
      <c r="AO93" s="145"/>
      <c r="AP93" s="145">
        <v>2500</v>
      </c>
      <c r="AQ93" s="145">
        <v>2500</v>
      </c>
      <c r="AR93" s="145"/>
      <c r="AS93" s="145"/>
      <c r="AT93" s="371"/>
      <c r="AU93" s="145">
        <f t="shared" si="16"/>
        <v>0</v>
      </c>
      <c r="AV93" s="145"/>
      <c r="AW93" s="145"/>
      <c r="AX93" s="145">
        <f t="shared" si="17"/>
        <v>0</v>
      </c>
      <c r="AY93" s="145">
        <v>0</v>
      </c>
      <c r="AZ93" s="145"/>
      <c r="BA93" s="145"/>
      <c r="BB93" s="145">
        <v>0</v>
      </c>
      <c r="BC93" s="145"/>
      <c r="BD93" s="145"/>
      <c r="BE93" s="370">
        <v>0</v>
      </c>
      <c r="BF93" s="370"/>
      <c r="BG93" s="370"/>
      <c r="BH93" s="370"/>
      <c r="BI93" s="370"/>
      <c r="BJ93" s="370"/>
      <c r="BK93" s="370"/>
      <c r="BL93" s="370"/>
      <c r="BM93" s="145"/>
      <c r="BN93" s="370"/>
      <c r="BO93" s="370"/>
      <c r="BP93" s="145"/>
      <c r="BQ93" s="370"/>
      <c r="BR93" s="372"/>
      <c r="BS93" s="372"/>
      <c r="BT93" s="372"/>
    </row>
    <row r="94" spans="1:72" ht="30.75" outlineLevel="1">
      <c r="A94" s="438">
        <v>42</v>
      </c>
      <c r="B94" s="710" t="s">
        <v>1489</v>
      </c>
      <c r="C94" s="420" t="s">
        <v>1238</v>
      </c>
      <c r="D94" s="434" t="s">
        <v>1232</v>
      </c>
      <c r="E94" s="422" t="s">
        <v>49</v>
      </c>
      <c r="F94" s="420" t="s">
        <v>105</v>
      </c>
      <c r="G94" s="422">
        <v>7900050</v>
      </c>
      <c r="H94" s="420" t="s">
        <v>1267</v>
      </c>
      <c r="I94" s="420" t="s">
        <v>73</v>
      </c>
      <c r="J94" s="422">
        <v>2021</v>
      </c>
      <c r="K94" s="420" t="s">
        <v>1234</v>
      </c>
      <c r="L94" s="585" t="s">
        <v>1269</v>
      </c>
      <c r="M94" s="368">
        <v>700</v>
      </c>
      <c r="N94" s="711"/>
      <c r="O94" s="711"/>
      <c r="P94" s="711">
        <v>700</v>
      </c>
      <c r="Q94" s="712" t="s">
        <v>1490</v>
      </c>
      <c r="R94" s="420" t="s">
        <v>1267</v>
      </c>
      <c r="S94" s="434" t="s">
        <v>1230</v>
      </c>
      <c r="T94" s="434" t="s">
        <v>1232</v>
      </c>
      <c r="U94" s="369"/>
      <c r="V94" s="369"/>
      <c r="W94" s="369"/>
      <c r="X94" s="369"/>
      <c r="Y94" s="145">
        <f t="shared" si="12"/>
        <v>695</v>
      </c>
      <c r="Z94" s="145"/>
      <c r="AA94" s="145"/>
      <c r="AB94" s="370">
        <f t="shared" si="13"/>
        <v>695</v>
      </c>
      <c r="AC94" s="370">
        <v>695</v>
      </c>
      <c r="AD94" s="145"/>
      <c r="AE94" s="145"/>
      <c r="AF94" s="145">
        <f t="shared" si="14"/>
        <v>695</v>
      </c>
      <c r="AG94" s="145"/>
      <c r="AH94" s="145"/>
      <c r="AI94" s="145">
        <f t="shared" si="15"/>
        <v>695</v>
      </c>
      <c r="AJ94" s="145">
        <v>695</v>
      </c>
      <c r="AK94" s="145"/>
      <c r="AL94" s="145"/>
      <c r="AM94" s="145">
        <v>695</v>
      </c>
      <c r="AN94" s="145"/>
      <c r="AO94" s="145"/>
      <c r="AP94" s="145">
        <v>695</v>
      </c>
      <c r="AQ94" s="145"/>
      <c r="AR94" s="145">
        <v>695</v>
      </c>
      <c r="AS94" s="145"/>
      <c r="AT94" s="371"/>
      <c r="AU94" s="145">
        <f t="shared" si="16"/>
        <v>0</v>
      </c>
      <c r="AV94" s="145"/>
      <c r="AW94" s="145"/>
      <c r="AX94" s="145">
        <f t="shared" si="17"/>
        <v>0</v>
      </c>
      <c r="AY94" s="145">
        <v>0</v>
      </c>
      <c r="AZ94" s="145"/>
      <c r="BA94" s="145"/>
      <c r="BB94" s="145">
        <v>0</v>
      </c>
      <c r="BC94" s="145"/>
      <c r="BD94" s="145"/>
      <c r="BE94" s="370"/>
      <c r="BF94" s="370"/>
      <c r="BG94" s="370"/>
      <c r="BH94" s="370"/>
      <c r="BI94" s="370"/>
      <c r="BJ94" s="370"/>
      <c r="BK94" s="370"/>
      <c r="BL94" s="370"/>
      <c r="BM94" s="145"/>
      <c r="BN94" s="370"/>
      <c r="BO94" s="370"/>
      <c r="BP94" s="145"/>
      <c r="BQ94" s="370"/>
      <c r="BR94" s="372"/>
      <c r="BS94" s="372"/>
      <c r="BT94" s="372"/>
    </row>
    <row r="95" spans="1:72" ht="33.75" customHeight="1" outlineLevel="1">
      <c r="A95" s="438">
        <v>43</v>
      </c>
      <c r="B95" s="710" t="s">
        <v>1491</v>
      </c>
      <c r="C95" s="420" t="s">
        <v>1238</v>
      </c>
      <c r="D95" s="434" t="s">
        <v>1232</v>
      </c>
      <c r="E95" s="422" t="s">
        <v>49</v>
      </c>
      <c r="F95" s="420" t="s">
        <v>105</v>
      </c>
      <c r="G95" s="422">
        <v>7930054</v>
      </c>
      <c r="H95" s="420" t="s">
        <v>1233</v>
      </c>
      <c r="I95" s="420" t="s">
        <v>56</v>
      </c>
      <c r="J95" s="422">
        <v>2022</v>
      </c>
      <c r="K95" s="420" t="s">
        <v>1375</v>
      </c>
      <c r="L95" s="585" t="s">
        <v>1492</v>
      </c>
      <c r="M95" s="368">
        <v>3945</v>
      </c>
      <c r="N95" s="711"/>
      <c r="O95" s="711"/>
      <c r="P95" s="711">
        <v>3945</v>
      </c>
      <c r="Q95" s="712" t="s">
        <v>1493</v>
      </c>
      <c r="R95" s="420" t="s">
        <v>1233</v>
      </c>
      <c r="S95" s="434" t="s">
        <v>1230</v>
      </c>
      <c r="T95" s="434" t="s">
        <v>1232</v>
      </c>
      <c r="U95" s="369"/>
      <c r="V95" s="369"/>
      <c r="W95" s="369"/>
      <c r="X95" s="369"/>
      <c r="Y95" s="145">
        <f t="shared" si="12"/>
        <v>4003</v>
      </c>
      <c r="Z95" s="145"/>
      <c r="AA95" s="145"/>
      <c r="AB95" s="370">
        <f t="shared" si="13"/>
        <v>4003</v>
      </c>
      <c r="AC95" s="370">
        <v>4003</v>
      </c>
      <c r="AD95" s="145"/>
      <c r="AE95" s="145"/>
      <c r="AF95" s="145">
        <f t="shared" si="14"/>
        <v>1700</v>
      </c>
      <c r="AG95" s="145"/>
      <c r="AH95" s="145"/>
      <c r="AI95" s="145">
        <f t="shared" si="15"/>
        <v>1700</v>
      </c>
      <c r="AJ95" s="145">
        <v>1700</v>
      </c>
      <c r="AK95" s="145"/>
      <c r="AL95" s="145"/>
      <c r="AM95" s="145"/>
      <c r="AN95" s="145"/>
      <c r="AO95" s="145"/>
      <c r="AP95" s="145"/>
      <c r="AQ95" s="145"/>
      <c r="AR95" s="145"/>
      <c r="AS95" s="145"/>
      <c r="AT95" s="371"/>
      <c r="AU95" s="145">
        <f t="shared" si="16"/>
        <v>2210</v>
      </c>
      <c r="AV95" s="145"/>
      <c r="AW95" s="145"/>
      <c r="AX95" s="145">
        <f t="shared" si="17"/>
        <v>2210</v>
      </c>
      <c r="AY95" s="145">
        <v>2210</v>
      </c>
      <c r="AZ95" s="145"/>
      <c r="BA95" s="145"/>
      <c r="BB95" s="145"/>
      <c r="BC95" s="145"/>
      <c r="BD95" s="145"/>
      <c r="BE95" s="370"/>
      <c r="BF95" s="370"/>
      <c r="BG95" s="370"/>
      <c r="BH95" s="370"/>
      <c r="BI95" s="370"/>
      <c r="BJ95" s="370"/>
      <c r="BK95" s="370"/>
      <c r="BL95" s="370"/>
      <c r="BM95" s="145"/>
      <c r="BN95" s="370"/>
      <c r="BO95" s="370"/>
      <c r="BP95" s="145"/>
      <c r="BQ95" s="370"/>
      <c r="BR95" s="372"/>
      <c r="BS95" s="372"/>
      <c r="BT95" s="372"/>
    </row>
    <row r="96" spans="1:72" ht="61.5" outlineLevel="1">
      <c r="A96" s="438">
        <v>44</v>
      </c>
      <c r="B96" s="710" t="s">
        <v>1494</v>
      </c>
      <c r="C96" s="420" t="s">
        <v>1338</v>
      </c>
      <c r="D96" s="434" t="s">
        <v>1232</v>
      </c>
      <c r="E96" s="422" t="s">
        <v>49</v>
      </c>
      <c r="F96" s="420" t="s">
        <v>1495</v>
      </c>
      <c r="G96" s="422" t="s">
        <v>1496</v>
      </c>
      <c r="H96" s="420" t="s">
        <v>1240</v>
      </c>
      <c r="I96" s="420">
        <v>2024</v>
      </c>
      <c r="J96" s="422">
        <v>2024</v>
      </c>
      <c r="K96" s="420" t="s">
        <v>1497</v>
      </c>
      <c r="L96" s="585" t="s">
        <v>1498</v>
      </c>
      <c r="M96" s="368">
        <v>337.5</v>
      </c>
      <c r="N96" s="711"/>
      <c r="O96" s="711"/>
      <c r="P96" s="711">
        <v>337.5</v>
      </c>
      <c r="Q96" s="712"/>
      <c r="R96" s="420" t="s">
        <v>1240</v>
      </c>
      <c r="S96" s="434" t="s">
        <v>1230</v>
      </c>
      <c r="T96" s="434" t="s">
        <v>1232</v>
      </c>
      <c r="U96" s="369"/>
      <c r="V96" s="369"/>
      <c r="W96" s="369"/>
      <c r="X96" s="369"/>
      <c r="Y96" s="145">
        <f t="shared" si="12"/>
        <v>337.5</v>
      </c>
      <c r="Z96" s="145"/>
      <c r="AA96" s="145"/>
      <c r="AB96" s="370">
        <f t="shared" si="13"/>
        <v>337.5</v>
      </c>
      <c r="AC96" s="370">
        <v>337.5</v>
      </c>
      <c r="AD96" s="145"/>
      <c r="AE96" s="145"/>
      <c r="AF96" s="145">
        <f t="shared" si="14"/>
        <v>337.5</v>
      </c>
      <c r="AG96" s="145"/>
      <c r="AH96" s="145"/>
      <c r="AI96" s="145">
        <f t="shared" si="15"/>
        <v>337.5</v>
      </c>
      <c r="AJ96" s="145">
        <v>0</v>
      </c>
      <c r="AK96" s="145"/>
      <c r="AL96" s="145">
        <v>337.5</v>
      </c>
      <c r="AM96" s="145">
        <v>333.72999999999996</v>
      </c>
      <c r="AN96" s="145"/>
      <c r="AO96" s="145">
        <v>333.72999999999996</v>
      </c>
      <c r="AP96" s="145"/>
      <c r="AQ96" s="145"/>
      <c r="AR96" s="145"/>
      <c r="AS96" s="145"/>
      <c r="AT96" s="371">
        <v>333.72999999999996</v>
      </c>
      <c r="AU96" s="145">
        <f t="shared" si="16"/>
        <v>0</v>
      </c>
      <c r="AV96" s="145"/>
      <c r="AW96" s="145"/>
      <c r="AX96" s="145">
        <f t="shared" si="17"/>
        <v>0</v>
      </c>
      <c r="AY96" s="145">
        <v>0</v>
      </c>
      <c r="AZ96" s="145"/>
      <c r="BA96" s="145"/>
      <c r="BB96" s="145"/>
      <c r="BC96" s="145"/>
      <c r="BD96" s="145"/>
      <c r="BE96" s="370"/>
      <c r="BF96" s="370"/>
      <c r="BG96" s="370"/>
      <c r="BH96" s="370"/>
      <c r="BI96" s="370"/>
      <c r="BJ96" s="370">
        <v>17.495999999999999</v>
      </c>
      <c r="BK96" s="370"/>
      <c r="BL96" s="370"/>
      <c r="BM96" s="145">
        <v>17.495999999999999</v>
      </c>
      <c r="BN96" s="370">
        <v>17.495999999999999</v>
      </c>
      <c r="BO96" s="370"/>
      <c r="BP96" s="145"/>
      <c r="BQ96" s="370">
        <v>17.495999999999999</v>
      </c>
      <c r="BR96" s="372"/>
      <c r="BS96" s="744">
        <v>17.495999999999999</v>
      </c>
      <c r="BT96" s="372"/>
    </row>
    <row r="97" spans="1:72" ht="61.5" outlineLevel="1">
      <c r="A97" s="438">
        <v>45</v>
      </c>
      <c r="B97" s="710" t="s">
        <v>1499</v>
      </c>
      <c r="C97" s="420" t="s">
        <v>1346</v>
      </c>
      <c r="D97" s="434" t="s">
        <v>1232</v>
      </c>
      <c r="E97" s="422" t="s">
        <v>49</v>
      </c>
      <c r="F97" s="420" t="s">
        <v>1495</v>
      </c>
      <c r="G97" s="422" t="s">
        <v>1500</v>
      </c>
      <c r="H97" s="420" t="s">
        <v>1501</v>
      </c>
      <c r="I97" s="420">
        <v>2024</v>
      </c>
      <c r="J97" s="422">
        <v>2024</v>
      </c>
      <c r="K97" s="420" t="s">
        <v>1502</v>
      </c>
      <c r="L97" s="585" t="s">
        <v>1503</v>
      </c>
      <c r="M97" s="368">
        <v>337.5</v>
      </c>
      <c r="N97" s="711"/>
      <c r="O97" s="711"/>
      <c r="P97" s="711">
        <v>337.5</v>
      </c>
      <c r="Q97" s="712"/>
      <c r="R97" s="420" t="s">
        <v>1501</v>
      </c>
      <c r="S97" s="434" t="s">
        <v>1230</v>
      </c>
      <c r="T97" s="434" t="s">
        <v>1232</v>
      </c>
      <c r="U97" s="369"/>
      <c r="V97" s="369"/>
      <c r="W97" s="369"/>
      <c r="X97" s="369"/>
      <c r="Y97" s="145">
        <f t="shared" si="12"/>
        <v>337.5</v>
      </c>
      <c r="Z97" s="145"/>
      <c r="AA97" s="145"/>
      <c r="AB97" s="370">
        <f t="shared" si="13"/>
        <v>337.5</v>
      </c>
      <c r="AC97" s="370">
        <v>337.5</v>
      </c>
      <c r="AD97" s="145"/>
      <c r="AE97" s="145"/>
      <c r="AF97" s="145">
        <f t="shared" si="14"/>
        <v>337.5</v>
      </c>
      <c r="AG97" s="145"/>
      <c r="AH97" s="145"/>
      <c r="AI97" s="145">
        <f t="shared" si="15"/>
        <v>337.5</v>
      </c>
      <c r="AJ97" s="145">
        <v>0</v>
      </c>
      <c r="AK97" s="145"/>
      <c r="AL97" s="145">
        <v>337.5</v>
      </c>
      <c r="AM97" s="145">
        <v>335.512</v>
      </c>
      <c r="AN97" s="145"/>
      <c r="AO97" s="145">
        <v>335.512</v>
      </c>
      <c r="AP97" s="145"/>
      <c r="AQ97" s="145"/>
      <c r="AR97" s="145"/>
      <c r="AS97" s="145"/>
      <c r="AT97" s="371">
        <v>335.512</v>
      </c>
      <c r="AU97" s="145">
        <f t="shared" si="16"/>
        <v>0</v>
      </c>
      <c r="AV97" s="145"/>
      <c r="AW97" s="145"/>
      <c r="AX97" s="145">
        <f t="shared" si="17"/>
        <v>0</v>
      </c>
      <c r="AY97" s="145">
        <v>0</v>
      </c>
      <c r="AZ97" s="145"/>
      <c r="BA97" s="145"/>
      <c r="BB97" s="145"/>
      <c r="BC97" s="145"/>
      <c r="BD97" s="145"/>
      <c r="BE97" s="370"/>
      <c r="BF97" s="370"/>
      <c r="BG97" s="370"/>
      <c r="BH97" s="370"/>
      <c r="BI97" s="370"/>
      <c r="BJ97" s="370"/>
      <c r="BK97" s="370"/>
      <c r="BL97" s="370"/>
      <c r="BM97" s="145"/>
      <c r="BN97" s="370"/>
      <c r="BO97" s="370"/>
      <c r="BP97" s="145"/>
      <c r="BQ97" s="370"/>
      <c r="BR97" s="372"/>
      <c r="BS97" s="372"/>
      <c r="BT97" s="372"/>
    </row>
    <row r="98" spans="1:72" ht="62.25" customHeight="1" outlineLevel="1">
      <c r="A98" s="438">
        <v>46</v>
      </c>
      <c r="B98" s="710" t="s">
        <v>1504</v>
      </c>
      <c r="C98" s="420" t="s">
        <v>1238</v>
      </c>
      <c r="D98" s="434" t="s">
        <v>1232</v>
      </c>
      <c r="E98" s="422" t="s">
        <v>49</v>
      </c>
      <c r="F98" s="420" t="s">
        <v>48</v>
      </c>
      <c r="G98" s="422" t="s">
        <v>1505</v>
      </c>
      <c r="H98" s="420" t="s">
        <v>1233</v>
      </c>
      <c r="I98" s="420" t="s">
        <v>756</v>
      </c>
      <c r="J98" s="422">
        <v>2021</v>
      </c>
      <c r="K98" s="420" t="s">
        <v>1506</v>
      </c>
      <c r="L98" s="585" t="s">
        <v>1507</v>
      </c>
      <c r="M98" s="368">
        <v>899.16399999999999</v>
      </c>
      <c r="N98" s="711"/>
      <c r="O98" s="711"/>
      <c r="P98" s="711">
        <v>899.16399999999999</v>
      </c>
      <c r="Q98" s="712"/>
      <c r="R98" s="420" t="s">
        <v>1233</v>
      </c>
      <c r="S98" s="434" t="s">
        <v>1508</v>
      </c>
      <c r="T98" s="434" t="s">
        <v>1232</v>
      </c>
      <c r="U98" s="369"/>
      <c r="V98" s="369"/>
      <c r="W98" s="369"/>
      <c r="X98" s="369"/>
      <c r="Y98" s="145">
        <f t="shared" si="12"/>
        <v>900</v>
      </c>
      <c r="Z98" s="145"/>
      <c r="AA98" s="145"/>
      <c r="AB98" s="370">
        <f t="shared" si="13"/>
        <v>900</v>
      </c>
      <c r="AC98" s="370">
        <v>0</v>
      </c>
      <c r="AD98" s="145"/>
      <c r="AE98" s="145">
        <v>900</v>
      </c>
      <c r="AF98" s="145">
        <f t="shared" si="14"/>
        <v>900</v>
      </c>
      <c r="AG98" s="145"/>
      <c r="AH98" s="145"/>
      <c r="AI98" s="145">
        <f t="shared" si="15"/>
        <v>900</v>
      </c>
      <c r="AJ98" s="145">
        <v>0</v>
      </c>
      <c r="AK98" s="145"/>
      <c r="AL98" s="145">
        <v>900</v>
      </c>
      <c r="AM98" s="145"/>
      <c r="AN98" s="145"/>
      <c r="AO98" s="145"/>
      <c r="AP98" s="145"/>
      <c r="AQ98" s="145"/>
      <c r="AR98" s="145"/>
      <c r="AS98" s="145"/>
      <c r="AT98" s="371"/>
      <c r="AU98" s="145">
        <f t="shared" si="16"/>
        <v>0</v>
      </c>
      <c r="AV98" s="145"/>
      <c r="AW98" s="145"/>
      <c r="AX98" s="145">
        <f t="shared" si="17"/>
        <v>0</v>
      </c>
      <c r="AY98" s="145">
        <v>0</v>
      </c>
      <c r="AZ98" s="145"/>
      <c r="BA98" s="145"/>
      <c r="BB98" s="145"/>
      <c r="BC98" s="145"/>
      <c r="BD98" s="145"/>
      <c r="BE98" s="370"/>
      <c r="BF98" s="370"/>
      <c r="BG98" s="370"/>
      <c r="BH98" s="370"/>
      <c r="BI98" s="370"/>
      <c r="BJ98" s="370"/>
      <c r="BK98" s="370"/>
      <c r="BL98" s="370"/>
      <c r="BM98" s="145"/>
      <c r="BN98" s="370"/>
      <c r="BO98" s="370"/>
      <c r="BP98" s="145"/>
      <c r="BQ98" s="370"/>
      <c r="BR98" s="372"/>
      <c r="BS98" s="372"/>
      <c r="BT98" s="372"/>
    </row>
    <row r="99" spans="1:72" ht="30.75" outlineLevel="1">
      <c r="A99" s="438">
        <v>47</v>
      </c>
      <c r="B99" s="710" t="s">
        <v>1509</v>
      </c>
      <c r="C99" s="420" t="s">
        <v>1238</v>
      </c>
      <c r="D99" s="434" t="s">
        <v>1232</v>
      </c>
      <c r="E99" s="422" t="s">
        <v>49</v>
      </c>
      <c r="F99" s="420" t="s">
        <v>105</v>
      </c>
      <c r="G99" s="422" t="s">
        <v>1510</v>
      </c>
      <c r="H99" s="420" t="s">
        <v>1233</v>
      </c>
      <c r="I99" s="420" t="s">
        <v>756</v>
      </c>
      <c r="J99" s="422">
        <v>2021</v>
      </c>
      <c r="K99" s="420" t="s">
        <v>1506</v>
      </c>
      <c r="L99" s="585" t="s">
        <v>1274</v>
      </c>
      <c r="M99" s="368">
        <v>650</v>
      </c>
      <c r="N99" s="711"/>
      <c r="O99" s="711"/>
      <c r="P99" s="711">
        <v>650</v>
      </c>
      <c r="Q99" s="712" t="s">
        <v>1275</v>
      </c>
      <c r="R99" s="420" t="s">
        <v>1233</v>
      </c>
      <c r="S99" s="434" t="s">
        <v>1508</v>
      </c>
      <c r="T99" s="434" t="s">
        <v>1232</v>
      </c>
      <c r="U99" s="369"/>
      <c r="V99" s="369"/>
      <c r="W99" s="369"/>
      <c r="X99" s="369"/>
      <c r="Y99" s="145">
        <f t="shared" si="12"/>
        <v>800</v>
      </c>
      <c r="Z99" s="145"/>
      <c r="AA99" s="145"/>
      <c r="AB99" s="370">
        <f t="shared" si="13"/>
        <v>800</v>
      </c>
      <c r="AC99" s="370">
        <v>0</v>
      </c>
      <c r="AD99" s="145"/>
      <c r="AE99" s="145">
        <v>800</v>
      </c>
      <c r="AF99" s="145">
        <f t="shared" si="14"/>
        <v>800</v>
      </c>
      <c r="AG99" s="145"/>
      <c r="AH99" s="145"/>
      <c r="AI99" s="145">
        <f t="shared" si="15"/>
        <v>800</v>
      </c>
      <c r="AJ99" s="145">
        <v>0</v>
      </c>
      <c r="AK99" s="145"/>
      <c r="AL99" s="145">
        <v>800</v>
      </c>
      <c r="AM99" s="145"/>
      <c r="AN99" s="145"/>
      <c r="AO99" s="145"/>
      <c r="AP99" s="145"/>
      <c r="AQ99" s="145"/>
      <c r="AR99" s="145"/>
      <c r="AS99" s="145"/>
      <c r="AT99" s="371"/>
      <c r="AU99" s="145">
        <f t="shared" si="16"/>
        <v>0</v>
      </c>
      <c r="AV99" s="145"/>
      <c r="AW99" s="145"/>
      <c r="AX99" s="145">
        <f t="shared" si="17"/>
        <v>0</v>
      </c>
      <c r="AY99" s="145">
        <v>0</v>
      </c>
      <c r="AZ99" s="145"/>
      <c r="BA99" s="145"/>
      <c r="BB99" s="145"/>
      <c r="BC99" s="145"/>
      <c r="BD99" s="145"/>
      <c r="BE99" s="370"/>
      <c r="BF99" s="370"/>
      <c r="BG99" s="370"/>
      <c r="BH99" s="370"/>
      <c r="BI99" s="370"/>
      <c r="BJ99" s="370"/>
      <c r="BK99" s="370"/>
      <c r="BL99" s="370"/>
      <c r="BM99" s="145"/>
      <c r="BN99" s="370"/>
      <c r="BO99" s="370"/>
      <c r="BP99" s="145"/>
      <c r="BQ99" s="370"/>
      <c r="BR99" s="372"/>
      <c r="BS99" s="372"/>
      <c r="BT99" s="372"/>
    </row>
    <row r="100" spans="1:72" ht="30.75" outlineLevel="1">
      <c r="A100" s="438">
        <v>48</v>
      </c>
      <c r="B100" s="710" t="s">
        <v>1317</v>
      </c>
      <c r="C100" s="420" t="s">
        <v>1238</v>
      </c>
      <c r="D100" s="434" t="s">
        <v>1232</v>
      </c>
      <c r="E100" s="422" t="s">
        <v>49</v>
      </c>
      <c r="F100" s="420" t="s">
        <v>82</v>
      </c>
      <c r="G100" s="422">
        <v>8039321</v>
      </c>
      <c r="H100" s="420" t="s">
        <v>1233</v>
      </c>
      <c r="I100" s="420">
        <v>2024</v>
      </c>
      <c r="J100" s="422">
        <v>2023</v>
      </c>
      <c r="K100" s="420" t="s">
        <v>1319</v>
      </c>
      <c r="L100" s="585" t="s">
        <v>1320</v>
      </c>
      <c r="M100" s="368">
        <v>4950</v>
      </c>
      <c r="N100" s="711"/>
      <c r="O100" s="711"/>
      <c r="P100" s="711">
        <v>4950</v>
      </c>
      <c r="Q100" s="712" t="s">
        <v>1511</v>
      </c>
      <c r="R100" s="420" t="s">
        <v>1233</v>
      </c>
      <c r="S100" s="434" t="s">
        <v>1508</v>
      </c>
      <c r="T100" s="434" t="s">
        <v>1232</v>
      </c>
      <c r="U100" s="369"/>
      <c r="V100" s="369"/>
      <c r="W100" s="369"/>
      <c r="X100" s="369"/>
      <c r="Y100" s="145">
        <f t="shared" si="12"/>
        <v>4900</v>
      </c>
      <c r="Z100" s="145"/>
      <c r="AA100" s="145"/>
      <c r="AB100" s="370">
        <f t="shared" si="13"/>
        <v>4900</v>
      </c>
      <c r="AC100" s="370">
        <v>0</v>
      </c>
      <c r="AD100" s="145"/>
      <c r="AE100" s="145">
        <v>4900</v>
      </c>
      <c r="AF100" s="145">
        <f t="shared" si="14"/>
        <v>4900</v>
      </c>
      <c r="AG100" s="145"/>
      <c r="AH100" s="145"/>
      <c r="AI100" s="145">
        <f t="shared" si="15"/>
        <v>4900</v>
      </c>
      <c r="AJ100" s="145">
        <v>0</v>
      </c>
      <c r="AK100" s="145"/>
      <c r="AL100" s="145">
        <v>4900</v>
      </c>
      <c r="AM100" s="145"/>
      <c r="AN100" s="145"/>
      <c r="AO100" s="145"/>
      <c r="AP100" s="145"/>
      <c r="AQ100" s="145"/>
      <c r="AR100" s="145"/>
      <c r="AS100" s="145"/>
      <c r="AT100" s="371"/>
      <c r="AU100" s="145">
        <f t="shared" si="16"/>
        <v>0</v>
      </c>
      <c r="AV100" s="145"/>
      <c r="AW100" s="145"/>
      <c r="AX100" s="145">
        <f t="shared" si="17"/>
        <v>0</v>
      </c>
      <c r="AY100" s="145">
        <v>0</v>
      </c>
      <c r="AZ100" s="145"/>
      <c r="BA100" s="145"/>
      <c r="BB100" s="145"/>
      <c r="BC100" s="145"/>
      <c r="BD100" s="145"/>
      <c r="BE100" s="370"/>
      <c r="BF100" s="370"/>
      <c r="BG100" s="370"/>
      <c r="BH100" s="370"/>
      <c r="BI100" s="370"/>
      <c r="BJ100" s="370"/>
      <c r="BK100" s="370"/>
      <c r="BL100" s="370"/>
      <c r="BM100" s="145"/>
      <c r="BN100" s="370"/>
      <c r="BO100" s="370"/>
      <c r="BP100" s="145"/>
      <c r="BQ100" s="370"/>
      <c r="BR100" s="372"/>
      <c r="BS100" s="372"/>
      <c r="BT100" s="372"/>
    </row>
    <row r="101" spans="1:72" ht="30.75" outlineLevel="1">
      <c r="A101" s="438">
        <v>49</v>
      </c>
      <c r="B101" s="710" t="s">
        <v>1512</v>
      </c>
      <c r="C101" s="420" t="s">
        <v>1238</v>
      </c>
      <c r="D101" s="434" t="s">
        <v>1232</v>
      </c>
      <c r="E101" s="422" t="s">
        <v>49</v>
      </c>
      <c r="F101" s="420" t="s">
        <v>105</v>
      </c>
      <c r="G101" s="422">
        <v>8039320</v>
      </c>
      <c r="H101" s="420" t="s">
        <v>1233</v>
      </c>
      <c r="I101" s="420" t="s">
        <v>84</v>
      </c>
      <c r="J101" s="422">
        <v>2023</v>
      </c>
      <c r="K101" s="420" t="s">
        <v>1513</v>
      </c>
      <c r="L101" s="585" t="s">
        <v>1514</v>
      </c>
      <c r="M101" s="368">
        <v>9408</v>
      </c>
      <c r="N101" s="711"/>
      <c r="O101" s="711"/>
      <c r="P101" s="711">
        <v>9408</v>
      </c>
      <c r="Q101" s="712" t="s">
        <v>1515</v>
      </c>
      <c r="R101" s="420" t="s">
        <v>1233</v>
      </c>
      <c r="S101" s="434" t="s">
        <v>1508</v>
      </c>
      <c r="T101" s="434" t="s">
        <v>1232</v>
      </c>
      <c r="U101" s="369"/>
      <c r="V101" s="369"/>
      <c r="W101" s="369"/>
      <c r="X101" s="369"/>
      <c r="Y101" s="145">
        <f t="shared" si="12"/>
        <v>9400</v>
      </c>
      <c r="Z101" s="145"/>
      <c r="AA101" s="145"/>
      <c r="AB101" s="370">
        <f t="shared" si="13"/>
        <v>9400</v>
      </c>
      <c r="AC101" s="370">
        <v>0</v>
      </c>
      <c r="AD101" s="145"/>
      <c r="AE101" s="145">
        <v>9400</v>
      </c>
      <c r="AF101" s="145">
        <f t="shared" si="14"/>
        <v>9400</v>
      </c>
      <c r="AG101" s="145"/>
      <c r="AH101" s="145"/>
      <c r="AI101" s="145">
        <f t="shared" si="15"/>
        <v>9400</v>
      </c>
      <c r="AJ101" s="145">
        <v>0</v>
      </c>
      <c r="AK101" s="145"/>
      <c r="AL101" s="145">
        <v>9400</v>
      </c>
      <c r="AM101" s="145"/>
      <c r="AN101" s="145"/>
      <c r="AO101" s="145"/>
      <c r="AP101" s="145"/>
      <c r="AQ101" s="145"/>
      <c r="AR101" s="145"/>
      <c r="AS101" s="145"/>
      <c r="AT101" s="371"/>
      <c r="AU101" s="145">
        <f t="shared" si="16"/>
        <v>0</v>
      </c>
      <c r="AV101" s="145"/>
      <c r="AW101" s="145"/>
      <c r="AX101" s="145">
        <f t="shared" si="17"/>
        <v>0</v>
      </c>
      <c r="AY101" s="145">
        <v>0</v>
      </c>
      <c r="AZ101" s="145"/>
      <c r="BA101" s="145"/>
      <c r="BB101" s="145"/>
      <c r="BC101" s="145"/>
      <c r="BD101" s="145"/>
      <c r="BE101" s="370"/>
      <c r="BF101" s="370"/>
      <c r="BG101" s="370"/>
      <c r="BH101" s="370"/>
      <c r="BI101" s="370"/>
      <c r="BJ101" s="370"/>
      <c r="BK101" s="370"/>
      <c r="BL101" s="370"/>
      <c r="BM101" s="145"/>
      <c r="BN101" s="370"/>
      <c r="BO101" s="370"/>
      <c r="BP101" s="145"/>
      <c r="BQ101" s="370"/>
      <c r="BR101" s="372"/>
      <c r="BS101" s="743">
        <v>21.82</v>
      </c>
      <c r="BT101" s="372"/>
    </row>
    <row r="102" spans="1:72" ht="30.75" outlineLevel="1">
      <c r="A102" s="438">
        <v>50</v>
      </c>
      <c r="B102" s="710" t="s">
        <v>1516</v>
      </c>
      <c r="C102" s="420" t="s">
        <v>1238</v>
      </c>
      <c r="D102" s="434" t="s">
        <v>1232</v>
      </c>
      <c r="E102" s="422" t="s">
        <v>49</v>
      </c>
      <c r="F102" s="420" t="s">
        <v>105</v>
      </c>
      <c r="G102" s="422">
        <v>8039322</v>
      </c>
      <c r="H102" s="420" t="s">
        <v>1233</v>
      </c>
      <c r="I102" s="420" t="s">
        <v>56</v>
      </c>
      <c r="J102" s="422">
        <v>2023</v>
      </c>
      <c r="K102" s="420" t="s">
        <v>1304</v>
      </c>
      <c r="L102" s="585" t="s">
        <v>1305</v>
      </c>
      <c r="M102" s="368">
        <v>2200</v>
      </c>
      <c r="N102" s="711"/>
      <c r="O102" s="711"/>
      <c r="P102" s="711">
        <v>2200</v>
      </c>
      <c r="Q102" s="712" t="s">
        <v>1306</v>
      </c>
      <c r="R102" s="420" t="s">
        <v>1233</v>
      </c>
      <c r="S102" s="434" t="s">
        <v>1508</v>
      </c>
      <c r="T102" s="434" t="s">
        <v>1232</v>
      </c>
      <c r="U102" s="369"/>
      <c r="V102" s="369"/>
      <c r="W102" s="369"/>
      <c r="X102" s="369"/>
      <c r="Y102" s="145">
        <f t="shared" si="12"/>
        <v>2000</v>
      </c>
      <c r="Z102" s="145"/>
      <c r="AA102" s="145"/>
      <c r="AB102" s="370">
        <f t="shared" si="13"/>
        <v>2000</v>
      </c>
      <c r="AC102" s="370">
        <v>0</v>
      </c>
      <c r="AD102" s="145"/>
      <c r="AE102" s="145">
        <v>2000</v>
      </c>
      <c r="AF102" s="145">
        <f t="shared" si="14"/>
        <v>2000</v>
      </c>
      <c r="AG102" s="145"/>
      <c r="AH102" s="145"/>
      <c r="AI102" s="145">
        <f t="shared" si="15"/>
        <v>2000</v>
      </c>
      <c r="AJ102" s="145">
        <v>0</v>
      </c>
      <c r="AK102" s="145"/>
      <c r="AL102" s="145">
        <v>2000</v>
      </c>
      <c r="AM102" s="145"/>
      <c r="AN102" s="145"/>
      <c r="AO102" s="145"/>
      <c r="AP102" s="145"/>
      <c r="AQ102" s="145"/>
      <c r="AR102" s="145"/>
      <c r="AS102" s="145"/>
      <c r="AT102" s="371"/>
      <c r="AU102" s="145">
        <f t="shared" si="16"/>
        <v>0</v>
      </c>
      <c r="AV102" s="145"/>
      <c r="AW102" s="145"/>
      <c r="AX102" s="145">
        <f t="shared" si="17"/>
        <v>0</v>
      </c>
      <c r="AY102" s="145">
        <v>0</v>
      </c>
      <c r="AZ102" s="145"/>
      <c r="BA102" s="145"/>
      <c r="BB102" s="145"/>
      <c r="BC102" s="145"/>
      <c r="BD102" s="145"/>
      <c r="BE102" s="370"/>
      <c r="BF102" s="370"/>
      <c r="BG102" s="370"/>
      <c r="BH102" s="370"/>
      <c r="BI102" s="370"/>
      <c r="BJ102" s="370"/>
      <c r="BK102" s="370"/>
      <c r="BL102" s="370"/>
      <c r="BM102" s="145"/>
      <c r="BN102" s="370"/>
      <c r="BO102" s="370"/>
      <c r="BP102" s="145"/>
      <c r="BQ102" s="370"/>
      <c r="BR102" s="372"/>
      <c r="BS102" s="372"/>
      <c r="BT102" s="372"/>
    </row>
    <row r="103" spans="1:72" ht="30.75" outlineLevel="1">
      <c r="A103" s="438">
        <v>51</v>
      </c>
      <c r="B103" s="710" t="s">
        <v>1517</v>
      </c>
      <c r="C103" s="420" t="s">
        <v>1238</v>
      </c>
      <c r="D103" s="434" t="s">
        <v>1232</v>
      </c>
      <c r="E103" s="422" t="s">
        <v>49</v>
      </c>
      <c r="F103" s="420" t="s">
        <v>1035</v>
      </c>
      <c r="G103" s="422">
        <v>8040401</v>
      </c>
      <c r="H103" s="420" t="s">
        <v>1518</v>
      </c>
      <c r="I103" s="420" t="s">
        <v>56</v>
      </c>
      <c r="J103" s="422">
        <v>2023</v>
      </c>
      <c r="K103" s="420" t="s">
        <v>1298</v>
      </c>
      <c r="L103" s="585" t="s">
        <v>1519</v>
      </c>
      <c r="M103" s="368">
        <v>650</v>
      </c>
      <c r="N103" s="711"/>
      <c r="O103" s="711"/>
      <c r="P103" s="711">
        <v>650</v>
      </c>
      <c r="Q103" s="712" t="s">
        <v>1300</v>
      </c>
      <c r="R103" s="420" t="s">
        <v>1518</v>
      </c>
      <c r="S103" s="434" t="s">
        <v>1508</v>
      </c>
      <c r="T103" s="434" t="s">
        <v>1232</v>
      </c>
      <c r="U103" s="369"/>
      <c r="V103" s="369"/>
      <c r="W103" s="369"/>
      <c r="X103" s="369"/>
      <c r="Y103" s="145">
        <f t="shared" si="12"/>
        <v>650</v>
      </c>
      <c r="Z103" s="145"/>
      <c r="AA103" s="145"/>
      <c r="AB103" s="370">
        <f t="shared" si="13"/>
        <v>650</v>
      </c>
      <c r="AC103" s="370">
        <v>0</v>
      </c>
      <c r="AD103" s="145"/>
      <c r="AE103" s="145">
        <v>650</v>
      </c>
      <c r="AF103" s="145">
        <f t="shared" si="14"/>
        <v>650</v>
      </c>
      <c r="AG103" s="145"/>
      <c r="AH103" s="145"/>
      <c r="AI103" s="145">
        <f t="shared" si="15"/>
        <v>650</v>
      </c>
      <c r="AJ103" s="145">
        <v>0</v>
      </c>
      <c r="AK103" s="145"/>
      <c r="AL103" s="145">
        <v>650</v>
      </c>
      <c r="AM103" s="145"/>
      <c r="AN103" s="145"/>
      <c r="AO103" s="145"/>
      <c r="AP103" s="145"/>
      <c r="AQ103" s="145"/>
      <c r="AR103" s="145"/>
      <c r="AS103" s="145"/>
      <c r="AT103" s="371"/>
      <c r="AU103" s="145">
        <f t="shared" si="16"/>
        <v>0</v>
      </c>
      <c r="AV103" s="145"/>
      <c r="AW103" s="145"/>
      <c r="AX103" s="145">
        <f t="shared" si="17"/>
        <v>0</v>
      </c>
      <c r="AY103" s="145">
        <v>0</v>
      </c>
      <c r="AZ103" s="145"/>
      <c r="BA103" s="145"/>
      <c r="BB103" s="145"/>
      <c r="BC103" s="145"/>
      <c r="BD103" s="145"/>
      <c r="BE103" s="370"/>
      <c r="BF103" s="370"/>
      <c r="BG103" s="370"/>
      <c r="BH103" s="370"/>
      <c r="BI103" s="370"/>
      <c r="BJ103" s="370"/>
      <c r="BK103" s="370"/>
      <c r="BL103" s="370"/>
      <c r="BM103" s="145"/>
      <c r="BN103" s="370"/>
      <c r="BO103" s="370"/>
      <c r="BP103" s="145"/>
      <c r="BQ103" s="370"/>
      <c r="BR103" s="372"/>
      <c r="BS103" s="372"/>
      <c r="BT103" s="372"/>
    </row>
    <row r="104" spans="1:72" ht="30.75" outlineLevel="1">
      <c r="A104" s="438">
        <v>52</v>
      </c>
      <c r="B104" s="710" t="s">
        <v>1520</v>
      </c>
      <c r="C104" s="420" t="s">
        <v>1238</v>
      </c>
      <c r="D104" s="434" t="s">
        <v>1232</v>
      </c>
      <c r="E104" s="422" t="s">
        <v>49</v>
      </c>
      <c r="F104" s="420" t="s">
        <v>105</v>
      </c>
      <c r="G104" s="422">
        <v>7968729</v>
      </c>
      <c r="H104" s="420" t="s">
        <v>1518</v>
      </c>
      <c r="I104" s="420">
        <v>2022</v>
      </c>
      <c r="J104" s="422">
        <v>2022</v>
      </c>
      <c r="K104" s="420" t="s">
        <v>1521</v>
      </c>
      <c r="L104" s="585" t="s">
        <v>1522</v>
      </c>
      <c r="M104" s="368">
        <v>893</v>
      </c>
      <c r="N104" s="711"/>
      <c r="O104" s="711"/>
      <c r="P104" s="711">
        <v>893</v>
      </c>
      <c r="Q104" s="712" t="s">
        <v>1523</v>
      </c>
      <c r="R104" s="420" t="s">
        <v>1518</v>
      </c>
      <c r="S104" s="434" t="s">
        <v>1508</v>
      </c>
      <c r="T104" s="434" t="s">
        <v>1232</v>
      </c>
      <c r="U104" s="369"/>
      <c r="V104" s="369"/>
      <c r="W104" s="369"/>
      <c r="X104" s="369"/>
      <c r="Y104" s="145">
        <f t="shared" si="12"/>
        <v>893</v>
      </c>
      <c r="Z104" s="145"/>
      <c r="AA104" s="145"/>
      <c r="AB104" s="370">
        <f t="shared" si="13"/>
        <v>893</v>
      </c>
      <c r="AC104" s="370">
        <v>0</v>
      </c>
      <c r="AD104" s="145"/>
      <c r="AE104" s="145">
        <v>893</v>
      </c>
      <c r="AF104" s="145">
        <f t="shared" si="14"/>
        <v>893</v>
      </c>
      <c r="AG104" s="145"/>
      <c r="AH104" s="145"/>
      <c r="AI104" s="145">
        <f t="shared" si="15"/>
        <v>893</v>
      </c>
      <c r="AJ104" s="145">
        <v>0</v>
      </c>
      <c r="AK104" s="145"/>
      <c r="AL104" s="145">
        <v>893</v>
      </c>
      <c r="AM104" s="145"/>
      <c r="AN104" s="145"/>
      <c r="AO104" s="145"/>
      <c r="AP104" s="145"/>
      <c r="AQ104" s="145"/>
      <c r="AR104" s="145"/>
      <c r="AS104" s="145"/>
      <c r="AT104" s="371"/>
      <c r="AU104" s="145">
        <f t="shared" si="16"/>
        <v>0</v>
      </c>
      <c r="AV104" s="145"/>
      <c r="AW104" s="145"/>
      <c r="AX104" s="145">
        <f t="shared" si="17"/>
        <v>0</v>
      </c>
      <c r="AY104" s="145">
        <v>0</v>
      </c>
      <c r="AZ104" s="145"/>
      <c r="BA104" s="145"/>
      <c r="BB104" s="145"/>
      <c r="BC104" s="145"/>
      <c r="BD104" s="145"/>
      <c r="BE104" s="370"/>
      <c r="BF104" s="370"/>
      <c r="BG104" s="370"/>
      <c r="BH104" s="370"/>
      <c r="BI104" s="370"/>
      <c r="BJ104" s="370"/>
      <c r="BK104" s="370"/>
      <c r="BL104" s="370"/>
      <c r="BM104" s="145"/>
      <c r="BN104" s="370"/>
      <c r="BO104" s="370"/>
      <c r="BP104" s="145"/>
      <c r="BQ104" s="370"/>
      <c r="BR104" s="372"/>
      <c r="BS104" s="372"/>
      <c r="BT104" s="372"/>
    </row>
    <row r="105" spans="1:72" ht="30.75" outlineLevel="1">
      <c r="A105" s="438">
        <v>53</v>
      </c>
      <c r="B105" s="710" t="s">
        <v>1524</v>
      </c>
      <c r="C105" s="420" t="s">
        <v>264</v>
      </c>
      <c r="D105" s="434" t="s">
        <v>1232</v>
      </c>
      <c r="E105" s="422" t="s">
        <v>49</v>
      </c>
      <c r="F105" s="420" t="s">
        <v>48</v>
      </c>
      <c r="G105" s="422">
        <v>7941008</v>
      </c>
      <c r="H105" s="420" t="s">
        <v>1233</v>
      </c>
      <c r="I105" s="420">
        <v>2021</v>
      </c>
      <c r="J105" s="422">
        <v>2021</v>
      </c>
      <c r="K105" s="420" t="s">
        <v>1525</v>
      </c>
      <c r="L105" s="585" t="s">
        <v>1526</v>
      </c>
      <c r="M105" s="368">
        <v>1500</v>
      </c>
      <c r="N105" s="711"/>
      <c r="O105" s="711"/>
      <c r="P105" s="711">
        <v>1500</v>
      </c>
      <c r="Q105" s="712"/>
      <c r="R105" s="420" t="s">
        <v>1233</v>
      </c>
      <c r="S105" s="434" t="s">
        <v>1508</v>
      </c>
      <c r="T105" s="434" t="s">
        <v>1232</v>
      </c>
      <c r="U105" s="369"/>
      <c r="V105" s="369"/>
      <c r="W105" s="369"/>
      <c r="X105" s="369"/>
      <c r="Y105" s="145">
        <f t="shared" si="12"/>
        <v>1500</v>
      </c>
      <c r="Z105" s="145"/>
      <c r="AA105" s="145"/>
      <c r="AB105" s="370">
        <f t="shared" si="13"/>
        <v>1500</v>
      </c>
      <c r="AC105" s="370">
        <v>0</v>
      </c>
      <c r="AD105" s="145"/>
      <c r="AE105" s="145">
        <v>1500</v>
      </c>
      <c r="AF105" s="145">
        <f t="shared" si="14"/>
        <v>1500</v>
      </c>
      <c r="AG105" s="145"/>
      <c r="AH105" s="145"/>
      <c r="AI105" s="145">
        <f t="shared" si="15"/>
        <v>1500</v>
      </c>
      <c r="AJ105" s="145">
        <v>0</v>
      </c>
      <c r="AK105" s="145"/>
      <c r="AL105" s="145">
        <v>1500</v>
      </c>
      <c r="AM105" s="145"/>
      <c r="AN105" s="145"/>
      <c r="AO105" s="145"/>
      <c r="AP105" s="145"/>
      <c r="AQ105" s="145"/>
      <c r="AR105" s="145"/>
      <c r="AS105" s="145"/>
      <c r="AT105" s="371"/>
      <c r="AU105" s="145">
        <f t="shared" si="16"/>
        <v>0</v>
      </c>
      <c r="AV105" s="145"/>
      <c r="AW105" s="145"/>
      <c r="AX105" s="145">
        <f t="shared" si="17"/>
        <v>0</v>
      </c>
      <c r="AY105" s="145">
        <v>0</v>
      </c>
      <c r="AZ105" s="145"/>
      <c r="BA105" s="145"/>
      <c r="BB105" s="145"/>
      <c r="BC105" s="145"/>
      <c r="BD105" s="145"/>
      <c r="BE105" s="370"/>
      <c r="BF105" s="370"/>
      <c r="BG105" s="370"/>
      <c r="BH105" s="370"/>
      <c r="BI105" s="370"/>
      <c r="BJ105" s="370"/>
      <c r="BK105" s="370"/>
      <c r="BL105" s="370"/>
      <c r="BM105" s="145"/>
      <c r="BN105" s="370"/>
      <c r="BO105" s="370"/>
      <c r="BP105" s="145"/>
      <c r="BQ105" s="370"/>
      <c r="BR105" s="372"/>
      <c r="BS105" s="372"/>
      <c r="BT105" s="372"/>
    </row>
    <row r="106" spans="1:72" ht="30.75" outlineLevel="1">
      <c r="A106" s="438">
        <v>54</v>
      </c>
      <c r="B106" s="710" t="s">
        <v>1527</v>
      </c>
      <c r="C106" s="420" t="s">
        <v>1346</v>
      </c>
      <c r="D106" s="434" t="s">
        <v>1232</v>
      </c>
      <c r="E106" s="422" t="s">
        <v>49</v>
      </c>
      <c r="F106" s="420" t="s">
        <v>1528</v>
      </c>
      <c r="G106" s="422">
        <v>7982844</v>
      </c>
      <c r="H106" s="420" t="s">
        <v>1233</v>
      </c>
      <c r="I106" s="420">
        <v>2022</v>
      </c>
      <c r="J106" s="422">
        <v>2022</v>
      </c>
      <c r="K106" s="420" t="s">
        <v>1521</v>
      </c>
      <c r="L106" s="585" t="s">
        <v>1529</v>
      </c>
      <c r="M106" s="368">
        <v>850</v>
      </c>
      <c r="N106" s="711"/>
      <c r="O106" s="711"/>
      <c r="P106" s="711">
        <v>850</v>
      </c>
      <c r="Q106" s="712"/>
      <c r="R106" s="420" t="s">
        <v>1233</v>
      </c>
      <c r="S106" s="434" t="s">
        <v>1508</v>
      </c>
      <c r="T106" s="434" t="s">
        <v>1232</v>
      </c>
      <c r="U106" s="369"/>
      <c r="V106" s="369"/>
      <c r="W106" s="369"/>
      <c r="X106" s="369"/>
      <c r="Y106" s="145">
        <f t="shared" si="12"/>
        <v>850</v>
      </c>
      <c r="Z106" s="145"/>
      <c r="AA106" s="145"/>
      <c r="AB106" s="370">
        <f t="shared" si="13"/>
        <v>850</v>
      </c>
      <c r="AC106" s="370">
        <v>0</v>
      </c>
      <c r="AD106" s="145"/>
      <c r="AE106" s="145">
        <v>850</v>
      </c>
      <c r="AF106" s="145">
        <f t="shared" si="14"/>
        <v>850</v>
      </c>
      <c r="AG106" s="145"/>
      <c r="AH106" s="145"/>
      <c r="AI106" s="145">
        <f t="shared" si="15"/>
        <v>850</v>
      </c>
      <c r="AJ106" s="145">
        <v>0</v>
      </c>
      <c r="AK106" s="145"/>
      <c r="AL106" s="145">
        <v>850</v>
      </c>
      <c r="AM106" s="145"/>
      <c r="AN106" s="145"/>
      <c r="AO106" s="145"/>
      <c r="AP106" s="145"/>
      <c r="AQ106" s="145"/>
      <c r="AR106" s="145"/>
      <c r="AS106" s="145"/>
      <c r="AT106" s="371"/>
      <c r="AU106" s="145">
        <f t="shared" si="16"/>
        <v>0</v>
      </c>
      <c r="AV106" s="145"/>
      <c r="AW106" s="145"/>
      <c r="AX106" s="145">
        <f t="shared" si="17"/>
        <v>0</v>
      </c>
      <c r="AY106" s="145">
        <v>0</v>
      </c>
      <c r="AZ106" s="145"/>
      <c r="BA106" s="145"/>
      <c r="BB106" s="145"/>
      <c r="BC106" s="145"/>
      <c r="BD106" s="145"/>
      <c r="BE106" s="370"/>
      <c r="BF106" s="370"/>
      <c r="BG106" s="370"/>
      <c r="BH106" s="370"/>
      <c r="BI106" s="370"/>
      <c r="BJ106" s="370"/>
      <c r="BK106" s="370"/>
      <c r="BL106" s="370"/>
      <c r="BM106" s="145"/>
      <c r="BN106" s="370"/>
      <c r="BO106" s="370"/>
      <c r="BP106" s="145"/>
      <c r="BQ106" s="370"/>
      <c r="BR106" s="372"/>
      <c r="BS106" s="372"/>
      <c r="BT106" s="372"/>
    </row>
    <row r="107" spans="1:72" ht="30.75" outlineLevel="1">
      <c r="A107" s="438">
        <v>55</v>
      </c>
      <c r="B107" s="710" t="s">
        <v>1530</v>
      </c>
      <c r="C107" s="420" t="s">
        <v>1346</v>
      </c>
      <c r="D107" s="434" t="s">
        <v>1232</v>
      </c>
      <c r="E107" s="422" t="s">
        <v>49</v>
      </c>
      <c r="F107" s="420" t="s">
        <v>1528</v>
      </c>
      <c r="G107" s="422">
        <v>7982848</v>
      </c>
      <c r="H107" s="420" t="s">
        <v>1233</v>
      </c>
      <c r="I107" s="420">
        <v>2022</v>
      </c>
      <c r="J107" s="422">
        <v>2022</v>
      </c>
      <c r="K107" s="420" t="s">
        <v>1521</v>
      </c>
      <c r="L107" s="585" t="s">
        <v>1531</v>
      </c>
      <c r="M107" s="368">
        <v>770</v>
      </c>
      <c r="N107" s="711"/>
      <c r="O107" s="711"/>
      <c r="P107" s="711">
        <v>770</v>
      </c>
      <c r="Q107" s="712"/>
      <c r="R107" s="420" t="s">
        <v>1233</v>
      </c>
      <c r="S107" s="434" t="s">
        <v>1508</v>
      </c>
      <c r="T107" s="434" t="s">
        <v>1232</v>
      </c>
      <c r="U107" s="369"/>
      <c r="V107" s="369"/>
      <c r="W107" s="369"/>
      <c r="X107" s="369"/>
      <c r="Y107" s="145">
        <f t="shared" si="12"/>
        <v>770</v>
      </c>
      <c r="Z107" s="145"/>
      <c r="AA107" s="145"/>
      <c r="AB107" s="370">
        <f t="shared" si="13"/>
        <v>770</v>
      </c>
      <c r="AC107" s="370">
        <v>0</v>
      </c>
      <c r="AD107" s="145"/>
      <c r="AE107" s="145">
        <v>770</v>
      </c>
      <c r="AF107" s="145">
        <f t="shared" si="14"/>
        <v>770</v>
      </c>
      <c r="AG107" s="145"/>
      <c r="AH107" s="145"/>
      <c r="AI107" s="145">
        <f t="shared" si="15"/>
        <v>770</v>
      </c>
      <c r="AJ107" s="145">
        <v>0</v>
      </c>
      <c r="AK107" s="145"/>
      <c r="AL107" s="145">
        <v>770</v>
      </c>
      <c r="AM107" s="145"/>
      <c r="AN107" s="145"/>
      <c r="AO107" s="145"/>
      <c r="AP107" s="145"/>
      <c r="AQ107" s="145"/>
      <c r="AR107" s="145"/>
      <c r="AS107" s="145"/>
      <c r="AT107" s="371"/>
      <c r="AU107" s="145">
        <f t="shared" si="16"/>
        <v>0</v>
      </c>
      <c r="AV107" s="145"/>
      <c r="AW107" s="145"/>
      <c r="AX107" s="145">
        <f t="shared" si="17"/>
        <v>0</v>
      </c>
      <c r="AY107" s="145">
        <v>0</v>
      </c>
      <c r="AZ107" s="145"/>
      <c r="BA107" s="145"/>
      <c r="BB107" s="145"/>
      <c r="BC107" s="145"/>
      <c r="BD107" s="145"/>
      <c r="BE107" s="370"/>
      <c r="BF107" s="370"/>
      <c r="BG107" s="370"/>
      <c r="BH107" s="370"/>
      <c r="BI107" s="370"/>
      <c r="BJ107" s="370"/>
      <c r="BK107" s="370"/>
      <c r="BL107" s="370"/>
      <c r="BM107" s="145"/>
      <c r="BN107" s="370"/>
      <c r="BO107" s="370"/>
      <c r="BP107" s="145"/>
      <c r="BQ107" s="370"/>
      <c r="BR107" s="372"/>
      <c r="BS107" s="372"/>
      <c r="BT107" s="372"/>
    </row>
    <row r="108" spans="1:72" ht="30.75" outlineLevel="1">
      <c r="A108" s="438">
        <v>56</v>
      </c>
      <c r="B108" s="710" t="s">
        <v>1532</v>
      </c>
      <c r="C108" s="420" t="s">
        <v>1346</v>
      </c>
      <c r="D108" s="434" t="s">
        <v>1232</v>
      </c>
      <c r="E108" s="422" t="s">
        <v>49</v>
      </c>
      <c r="F108" s="420" t="s">
        <v>48</v>
      </c>
      <c r="G108" s="422">
        <v>7990790</v>
      </c>
      <c r="H108" s="420" t="s">
        <v>1233</v>
      </c>
      <c r="I108" s="420" t="s">
        <v>76</v>
      </c>
      <c r="J108" s="422">
        <v>2022</v>
      </c>
      <c r="K108" s="420" t="s">
        <v>1521</v>
      </c>
      <c r="L108" s="585" t="s">
        <v>1533</v>
      </c>
      <c r="M108" s="368">
        <v>1000</v>
      </c>
      <c r="N108" s="711"/>
      <c r="O108" s="711"/>
      <c r="P108" s="711">
        <v>1000</v>
      </c>
      <c r="Q108" s="712"/>
      <c r="R108" s="420" t="s">
        <v>1233</v>
      </c>
      <c r="S108" s="434" t="s">
        <v>1508</v>
      </c>
      <c r="T108" s="434" t="s">
        <v>1232</v>
      </c>
      <c r="U108" s="369"/>
      <c r="V108" s="369"/>
      <c r="W108" s="369"/>
      <c r="X108" s="369"/>
      <c r="Y108" s="145">
        <f t="shared" si="12"/>
        <v>1000</v>
      </c>
      <c r="Z108" s="145"/>
      <c r="AA108" s="145"/>
      <c r="AB108" s="370">
        <f t="shared" si="13"/>
        <v>1000</v>
      </c>
      <c r="AC108" s="370">
        <v>0</v>
      </c>
      <c r="AD108" s="145"/>
      <c r="AE108" s="145">
        <v>1000</v>
      </c>
      <c r="AF108" s="145">
        <f t="shared" si="14"/>
        <v>1000</v>
      </c>
      <c r="AG108" s="145"/>
      <c r="AH108" s="145"/>
      <c r="AI108" s="145">
        <f t="shared" si="15"/>
        <v>1000</v>
      </c>
      <c r="AJ108" s="145">
        <v>0</v>
      </c>
      <c r="AK108" s="145"/>
      <c r="AL108" s="145">
        <v>1000</v>
      </c>
      <c r="AM108" s="145"/>
      <c r="AN108" s="145"/>
      <c r="AO108" s="145"/>
      <c r="AP108" s="145"/>
      <c r="AQ108" s="145"/>
      <c r="AR108" s="145"/>
      <c r="AS108" s="145"/>
      <c r="AT108" s="371"/>
      <c r="AU108" s="145">
        <f t="shared" si="16"/>
        <v>0</v>
      </c>
      <c r="AV108" s="145"/>
      <c r="AW108" s="145"/>
      <c r="AX108" s="145">
        <f t="shared" si="17"/>
        <v>0</v>
      </c>
      <c r="AY108" s="145">
        <v>0</v>
      </c>
      <c r="AZ108" s="145"/>
      <c r="BA108" s="145"/>
      <c r="BB108" s="145"/>
      <c r="BC108" s="145"/>
      <c r="BD108" s="145"/>
      <c r="BE108" s="370"/>
      <c r="BF108" s="370"/>
      <c r="BG108" s="370"/>
      <c r="BH108" s="370"/>
      <c r="BI108" s="370"/>
      <c r="BJ108" s="370"/>
      <c r="BK108" s="370"/>
      <c r="BL108" s="370"/>
      <c r="BM108" s="145"/>
      <c r="BN108" s="370"/>
      <c r="BO108" s="370"/>
      <c r="BP108" s="145"/>
      <c r="BQ108" s="370"/>
      <c r="BR108" s="372"/>
      <c r="BS108" s="372"/>
      <c r="BT108" s="372"/>
    </row>
    <row r="109" spans="1:72" ht="30.75" outlineLevel="1">
      <c r="A109" s="438">
        <v>57</v>
      </c>
      <c r="B109" s="710" t="s">
        <v>1534</v>
      </c>
      <c r="C109" s="420" t="s">
        <v>1346</v>
      </c>
      <c r="D109" s="434" t="s">
        <v>1232</v>
      </c>
      <c r="E109" s="422" t="s">
        <v>49</v>
      </c>
      <c r="F109" s="420" t="s">
        <v>1282</v>
      </c>
      <c r="G109" s="422">
        <v>8040407</v>
      </c>
      <c r="H109" s="420" t="s">
        <v>1233</v>
      </c>
      <c r="I109" s="420">
        <v>2023</v>
      </c>
      <c r="J109" s="422">
        <v>2022</v>
      </c>
      <c r="K109" s="420" t="s">
        <v>1535</v>
      </c>
      <c r="L109" s="585" t="s">
        <v>1536</v>
      </c>
      <c r="M109" s="368">
        <v>1500</v>
      </c>
      <c r="N109" s="711"/>
      <c r="O109" s="711"/>
      <c r="P109" s="711">
        <v>1500</v>
      </c>
      <c r="Q109" s="712"/>
      <c r="R109" s="420" t="s">
        <v>1233</v>
      </c>
      <c r="S109" s="434" t="s">
        <v>1508</v>
      </c>
      <c r="T109" s="434" t="s">
        <v>1232</v>
      </c>
      <c r="U109" s="369"/>
      <c r="V109" s="369"/>
      <c r="W109" s="369"/>
      <c r="X109" s="369"/>
      <c r="Y109" s="145">
        <f t="shared" si="12"/>
        <v>1500</v>
      </c>
      <c r="Z109" s="145"/>
      <c r="AA109" s="145"/>
      <c r="AB109" s="370">
        <f t="shared" si="13"/>
        <v>1500</v>
      </c>
      <c r="AC109" s="370">
        <v>0</v>
      </c>
      <c r="AD109" s="145"/>
      <c r="AE109" s="145">
        <v>1500</v>
      </c>
      <c r="AF109" s="145">
        <f t="shared" si="14"/>
        <v>1500</v>
      </c>
      <c r="AG109" s="145"/>
      <c r="AH109" s="145"/>
      <c r="AI109" s="145">
        <f t="shared" si="15"/>
        <v>1500</v>
      </c>
      <c r="AJ109" s="145">
        <v>0</v>
      </c>
      <c r="AK109" s="145"/>
      <c r="AL109" s="145">
        <v>1500</v>
      </c>
      <c r="AM109" s="145"/>
      <c r="AN109" s="145"/>
      <c r="AO109" s="145"/>
      <c r="AP109" s="145"/>
      <c r="AQ109" s="145"/>
      <c r="AR109" s="145"/>
      <c r="AS109" s="145"/>
      <c r="AT109" s="371"/>
      <c r="AU109" s="145">
        <f t="shared" si="16"/>
        <v>0</v>
      </c>
      <c r="AV109" s="145"/>
      <c r="AW109" s="145"/>
      <c r="AX109" s="145">
        <f t="shared" si="17"/>
        <v>0</v>
      </c>
      <c r="AY109" s="145">
        <v>0</v>
      </c>
      <c r="AZ109" s="145"/>
      <c r="BA109" s="145"/>
      <c r="BB109" s="145"/>
      <c r="BC109" s="145"/>
      <c r="BD109" s="145"/>
      <c r="BE109" s="370"/>
      <c r="BF109" s="370"/>
      <c r="BG109" s="370"/>
      <c r="BH109" s="370"/>
      <c r="BI109" s="370"/>
      <c r="BJ109" s="370"/>
      <c r="BK109" s="370"/>
      <c r="BL109" s="370"/>
      <c r="BM109" s="145"/>
      <c r="BN109" s="370"/>
      <c r="BO109" s="370"/>
      <c r="BP109" s="145"/>
      <c r="BQ109" s="370"/>
      <c r="BR109" s="372"/>
      <c r="BS109" s="372"/>
      <c r="BT109" s="372"/>
    </row>
    <row r="110" spans="1:72" ht="30.75" outlineLevel="1">
      <c r="A110" s="438">
        <v>58</v>
      </c>
      <c r="B110" s="710" t="s">
        <v>1537</v>
      </c>
      <c r="C110" s="420" t="s">
        <v>1346</v>
      </c>
      <c r="D110" s="434" t="s">
        <v>1232</v>
      </c>
      <c r="E110" s="422" t="s">
        <v>49</v>
      </c>
      <c r="F110" s="420" t="s">
        <v>78</v>
      </c>
      <c r="G110" s="422">
        <v>7979394</v>
      </c>
      <c r="H110" s="420" t="s">
        <v>1233</v>
      </c>
      <c r="I110" s="420" t="s">
        <v>76</v>
      </c>
      <c r="J110" s="422">
        <v>2022</v>
      </c>
      <c r="K110" s="420" t="s">
        <v>1538</v>
      </c>
      <c r="L110" s="585" t="s">
        <v>1539</v>
      </c>
      <c r="M110" s="368">
        <v>500</v>
      </c>
      <c r="N110" s="711"/>
      <c r="O110" s="711"/>
      <c r="P110" s="711">
        <v>500</v>
      </c>
      <c r="Q110" s="712"/>
      <c r="R110" s="420" t="s">
        <v>1233</v>
      </c>
      <c r="S110" s="434" t="s">
        <v>1508</v>
      </c>
      <c r="T110" s="434" t="s">
        <v>1232</v>
      </c>
      <c r="U110" s="369"/>
      <c r="V110" s="369"/>
      <c r="W110" s="369"/>
      <c r="X110" s="369"/>
      <c r="Y110" s="145">
        <f t="shared" si="12"/>
        <v>500</v>
      </c>
      <c r="Z110" s="145"/>
      <c r="AA110" s="145"/>
      <c r="AB110" s="370">
        <f t="shared" si="13"/>
        <v>500</v>
      </c>
      <c r="AC110" s="370">
        <v>0</v>
      </c>
      <c r="AD110" s="145"/>
      <c r="AE110" s="145">
        <v>500</v>
      </c>
      <c r="AF110" s="145">
        <f t="shared" si="14"/>
        <v>500</v>
      </c>
      <c r="AG110" s="145"/>
      <c r="AH110" s="145"/>
      <c r="AI110" s="145">
        <f t="shared" si="15"/>
        <v>500</v>
      </c>
      <c r="AJ110" s="145">
        <v>0</v>
      </c>
      <c r="AK110" s="145"/>
      <c r="AL110" s="145">
        <v>500</v>
      </c>
      <c r="AM110" s="145"/>
      <c r="AN110" s="145"/>
      <c r="AO110" s="145"/>
      <c r="AP110" s="145"/>
      <c r="AQ110" s="145"/>
      <c r="AR110" s="145"/>
      <c r="AS110" s="145"/>
      <c r="AT110" s="371"/>
      <c r="AU110" s="145">
        <f t="shared" si="16"/>
        <v>0</v>
      </c>
      <c r="AV110" s="145"/>
      <c r="AW110" s="145"/>
      <c r="AX110" s="145">
        <f t="shared" si="17"/>
        <v>0</v>
      </c>
      <c r="AY110" s="145">
        <v>0</v>
      </c>
      <c r="AZ110" s="145"/>
      <c r="BA110" s="145"/>
      <c r="BB110" s="145"/>
      <c r="BC110" s="145"/>
      <c r="BD110" s="145"/>
      <c r="BE110" s="370"/>
      <c r="BF110" s="370"/>
      <c r="BG110" s="370"/>
      <c r="BH110" s="370"/>
      <c r="BI110" s="370"/>
      <c r="BJ110" s="370"/>
      <c r="BK110" s="370"/>
      <c r="BL110" s="370"/>
      <c r="BM110" s="145"/>
      <c r="BN110" s="370"/>
      <c r="BO110" s="370"/>
      <c r="BP110" s="145"/>
      <c r="BQ110" s="370"/>
      <c r="BR110" s="372"/>
      <c r="BS110" s="372"/>
      <c r="BT110" s="372"/>
    </row>
    <row r="111" spans="1:72" ht="30.75" outlineLevel="1">
      <c r="A111" s="438">
        <v>59</v>
      </c>
      <c r="B111" s="710" t="s">
        <v>1540</v>
      </c>
      <c r="C111" s="420" t="s">
        <v>1358</v>
      </c>
      <c r="D111" s="434" t="s">
        <v>1232</v>
      </c>
      <c r="E111" s="422" t="s">
        <v>49</v>
      </c>
      <c r="F111" s="420" t="s">
        <v>1282</v>
      </c>
      <c r="G111" s="422">
        <v>7985627</v>
      </c>
      <c r="H111" s="420" t="s">
        <v>1267</v>
      </c>
      <c r="I111" s="420" t="s">
        <v>76</v>
      </c>
      <c r="J111" s="422">
        <v>2022</v>
      </c>
      <c r="K111" s="420" t="s">
        <v>1521</v>
      </c>
      <c r="L111" s="585" t="s">
        <v>1541</v>
      </c>
      <c r="M111" s="368">
        <v>1500</v>
      </c>
      <c r="N111" s="711"/>
      <c r="O111" s="711"/>
      <c r="P111" s="711">
        <v>1500</v>
      </c>
      <c r="Q111" s="712"/>
      <c r="R111" s="420" t="s">
        <v>1267</v>
      </c>
      <c r="S111" s="434" t="s">
        <v>1508</v>
      </c>
      <c r="T111" s="434" t="s">
        <v>1232</v>
      </c>
      <c r="U111" s="369"/>
      <c r="V111" s="369"/>
      <c r="W111" s="369"/>
      <c r="X111" s="369"/>
      <c r="Y111" s="145">
        <f t="shared" si="12"/>
        <v>1500</v>
      </c>
      <c r="Z111" s="145"/>
      <c r="AA111" s="145"/>
      <c r="AB111" s="370">
        <f t="shared" si="13"/>
        <v>1500</v>
      </c>
      <c r="AC111" s="370">
        <v>0</v>
      </c>
      <c r="AD111" s="145"/>
      <c r="AE111" s="145">
        <v>1500</v>
      </c>
      <c r="AF111" s="145">
        <f t="shared" si="14"/>
        <v>1500</v>
      </c>
      <c r="AG111" s="145"/>
      <c r="AH111" s="145"/>
      <c r="AI111" s="145">
        <f t="shared" si="15"/>
        <v>1500</v>
      </c>
      <c r="AJ111" s="145">
        <v>0</v>
      </c>
      <c r="AK111" s="145"/>
      <c r="AL111" s="145">
        <v>1500</v>
      </c>
      <c r="AM111" s="145"/>
      <c r="AN111" s="145"/>
      <c r="AO111" s="145"/>
      <c r="AP111" s="145"/>
      <c r="AQ111" s="145"/>
      <c r="AR111" s="145"/>
      <c r="AS111" s="145"/>
      <c r="AT111" s="371"/>
      <c r="AU111" s="145">
        <f t="shared" si="16"/>
        <v>0</v>
      </c>
      <c r="AV111" s="145"/>
      <c r="AW111" s="145"/>
      <c r="AX111" s="145">
        <f t="shared" si="17"/>
        <v>0</v>
      </c>
      <c r="AY111" s="145">
        <v>0</v>
      </c>
      <c r="AZ111" s="145"/>
      <c r="BA111" s="145"/>
      <c r="BB111" s="145"/>
      <c r="BC111" s="145"/>
      <c r="BD111" s="145"/>
      <c r="BE111" s="370"/>
      <c r="BF111" s="370"/>
      <c r="BG111" s="370"/>
      <c r="BH111" s="370"/>
      <c r="BI111" s="370"/>
      <c r="BJ111" s="370"/>
      <c r="BK111" s="370"/>
      <c r="BL111" s="370"/>
      <c r="BM111" s="145"/>
      <c r="BN111" s="370"/>
      <c r="BO111" s="370"/>
      <c r="BP111" s="145"/>
      <c r="BQ111" s="370"/>
      <c r="BR111" s="372"/>
      <c r="BS111" s="372"/>
      <c r="BT111" s="372"/>
    </row>
    <row r="112" spans="1:72" ht="30.75" outlineLevel="1">
      <c r="A112" s="438">
        <v>60</v>
      </c>
      <c r="B112" s="710" t="s">
        <v>1542</v>
      </c>
      <c r="C112" s="420" t="s">
        <v>1358</v>
      </c>
      <c r="D112" s="434" t="s">
        <v>1232</v>
      </c>
      <c r="E112" s="422" t="s">
        <v>49</v>
      </c>
      <c r="F112" s="420" t="s">
        <v>1282</v>
      </c>
      <c r="G112" s="422">
        <v>7984483</v>
      </c>
      <c r="H112" s="420" t="s">
        <v>1267</v>
      </c>
      <c r="I112" s="420" t="s">
        <v>76</v>
      </c>
      <c r="J112" s="422">
        <v>2022</v>
      </c>
      <c r="K112" s="420" t="s">
        <v>1521</v>
      </c>
      <c r="L112" s="585" t="s">
        <v>1543</v>
      </c>
      <c r="M112" s="368">
        <v>1500</v>
      </c>
      <c r="N112" s="711"/>
      <c r="O112" s="711"/>
      <c r="P112" s="711">
        <v>1500</v>
      </c>
      <c r="Q112" s="712"/>
      <c r="R112" s="420" t="s">
        <v>1267</v>
      </c>
      <c r="S112" s="434" t="s">
        <v>1508</v>
      </c>
      <c r="T112" s="434" t="s">
        <v>1232</v>
      </c>
      <c r="U112" s="369"/>
      <c r="V112" s="369"/>
      <c r="W112" s="369"/>
      <c r="X112" s="369"/>
      <c r="Y112" s="145">
        <f t="shared" si="12"/>
        <v>1500</v>
      </c>
      <c r="Z112" s="145">
        <v>0</v>
      </c>
      <c r="AA112" s="145">
        <v>0</v>
      </c>
      <c r="AB112" s="370">
        <f t="shared" si="13"/>
        <v>1500</v>
      </c>
      <c r="AC112" s="370">
        <v>0</v>
      </c>
      <c r="AD112" s="145"/>
      <c r="AE112" s="145">
        <v>1500</v>
      </c>
      <c r="AF112" s="145">
        <f t="shared" si="14"/>
        <v>1500</v>
      </c>
      <c r="AG112" s="145">
        <v>0</v>
      </c>
      <c r="AH112" s="145"/>
      <c r="AI112" s="145">
        <f t="shared" si="15"/>
        <v>1500</v>
      </c>
      <c r="AJ112" s="145">
        <v>0</v>
      </c>
      <c r="AK112" s="145"/>
      <c r="AL112" s="145">
        <v>1500</v>
      </c>
      <c r="AM112" s="145"/>
      <c r="AN112" s="145"/>
      <c r="AO112" s="145"/>
      <c r="AP112" s="145"/>
      <c r="AQ112" s="145"/>
      <c r="AR112" s="145"/>
      <c r="AS112" s="145"/>
      <c r="AT112" s="371"/>
      <c r="AU112" s="145">
        <f t="shared" si="16"/>
        <v>0</v>
      </c>
      <c r="AV112" s="145"/>
      <c r="AW112" s="145"/>
      <c r="AX112" s="145">
        <f t="shared" si="17"/>
        <v>0</v>
      </c>
      <c r="AY112" s="145">
        <v>0</v>
      </c>
      <c r="AZ112" s="145"/>
      <c r="BA112" s="145"/>
      <c r="BB112" s="145"/>
      <c r="BC112" s="145"/>
      <c r="BD112" s="145"/>
      <c r="BE112" s="370"/>
      <c r="BF112" s="370"/>
      <c r="BG112" s="370"/>
      <c r="BH112" s="370"/>
      <c r="BI112" s="370"/>
      <c r="BJ112" s="370"/>
      <c r="BK112" s="370"/>
      <c r="BL112" s="370"/>
      <c r="BM112" s="145"/>
      <c r="BN112" s="370"/>
      <c r="BO112" s="370"/>
      <c r="BP112" s="145"/>
      <c r="BQ112" s="370"/>
      <c r="BR112" s="372"/>
      <c r="BS112" s="372"/>
      <c r="BT112" s="372"/>
    </row>
    <row r="113" spans="1:72" ht="46.15" outlineLevel="1">
      <c r="A113" s="438">
        <v>61</v>
      </c>
      <c r="B113" s="710" t="s">
        <v>1322</v>
      </c>
      <c r="C113" s="420" t="s">
        <v>1323</v>
      </c>
      <c r="D113" s="434" t="s">
        <v>1232</v>
      </c>
      <c r="E113" s="422" t="s">
        <v>49</v>
      </c>
      <c r="F113" s="420" t="s">
        <v>1544</v>
      </c>
      <c r="G113" s="422" t="s">
        <v>1545</v>
      </c>
      <c r="H113" s="420" t="s">
        <v>1233</v>
      </c>
      <c r="I113" s="420">
        <v>2024</v>
      </c>
      <c r="J113" s="422">
        <v>2024</v>
      </c>
      <c r="K113" s="420" t="s">
        <v>1324</v>
      </c>
      <c r="L113" s="585" t="s">
        <v>1325</v>
      </c>
      <c r="M113" s="368">
        <v>200</v>
      </c>
      <c r="N113" s="711">
        <v>0</v>
      </c>
      <c r="O113" s="711">
        <v>0</v>
      </c>
      <c r="P113" s="711">
        <v>200</v>
      </c>
      <c r="Q113" s="712" t="s">
        <v>1326</v>
      </c>
      <c r="R113" s="420" t="s">
        <v>1233</v>
      </c>
      <c r="S113" s="434" t="s">
        <v>1508</v>
      </c>
      <c r="T113" s="434" t="s">
        <v>1232</v>
      </c>
      <c r="U113" s="369"/>
      <c r="V113" s="369"/>
      <c r="W113" s="369"/>
      <c r="X113" s="369"/>
      <c r="Y113" s="145">
        <f t="shared" si="12"/>
        <v>200</v>
      </c>
      <c r="Z113" s="145">
        <v>0</v>
      </c>
      <c r="AA113" s="145">
        <v>0</v>
      </c>
      <c r="AB113" s="370">
        <f t="shared" si="13"/>
        <v>200</v>
      </c>
      <c r="AC113" s="370">
        <v>0</v>
      </c>
      <c r="AD113" s="145"/>
      <c r="AE113" s="145">
        <v>200</v>
      </c>
      <c r="AF113" s="145">
        <f t="shared" si="14"/>
        <v>200</v>
      </c>
      <c r="AG113" s="145">
        <v>0</v>
      </c>
      <c r="AH113" s="145"/>
      <c r="AI113" s="145">
        <f t="shared" si="15"/>
        <v>200</v>
      </c>
      <c r="AJ113" s="145">
        <v>0</v>
      </c>
      <c r="AK113" s="145"/>
      <c r="AL113" s="145">
        <v>200</v>
      </c>
      <c r="AM113" s="145"/>
      <c r="AN113" s="145"/>
      <c r="AO113" s="145"/>
      <c r="AP113" s="145"/>
      <c r="AQ113" s="145"/>
      <c r="AR113" s="145"/>
      <c r="AS113" s="145"/>
      <c r="AT113" s="371"/>
      <c r="AU113" s="145">
        <f t="shared" si="16"/>
        <v>0</v>
      </c>
      <c r="AV113" s="145"/>
      <c r="AW113" s="145"/>
      <c r="AX113" s="145">
        <f t="shared" si="17"/>
        <v>0</v>
      </c>
      <c r="AY113" s="145">
        <v>0</v>
      </c>
      <c r="AZ113" s="145"/>
      <c r="BA113" s="145"/>
      <c r="BB113" s="145"/>
      <c r="BC113" s="145"/>
      <c r="BD113" s="145"/>
      <c r="BE113" s="370"/>
      <c r="BF113" s="370"/>
      <c r="BG113" s="370"/>
      <c r="BH113" s="370"/>
      <c r="BI113" s="370"/>
      <c r="BJ113" s="370"/>
      <c r="BK113" s="370"/>
      <c r="BL113" s="370"/>
      <c r="BM113" s="145"/>
      <c r="BN113" s="370"/>
      <c r="BO113" s="370"/>
      <c r="BP113" s="145"/>
      <c r="BQ113" s="370"/>
      <c r="BR113" s="372"/>
      <c r="BS113" s="372"/>
      <c r="BT113" s="372"/>
    </row>
    <row r="114" spans="1:72" ht="54.75" customHeight="1" outlineLevel="1">
      <c r="A114" s="438">
        <v>62</v>
      </c>
      <c r="B114" s="710" t="s">
        <v>1546</v>
      </c>
      <c r="C114" s="420" t="s">
        <v>1281</v>
      </c>
      <c r="D114" s="434" t="s">
        <v>1232</v>
      </c>
      <c r="E114" s="422" t="s">
        <v>49</v>
      </c>
      <c r="F114" s="420" t="s">
        <v>82</v>
      </c>
      <c r="G114" s="422">
        <v>7938500</v>
      </c>
      <c r="H114" s="420" t="s">
        <v>1233</v>
      </c>
      <c r="I114" s="420">
        <v>2022</v>
      </c>
      <c r="J114" s="422">
        <v>2022</v>
      </c>
      <c r="K114" s="420" t="s">
        <v>1506</v>
      </c>
      <c r="L114" s="585" t="s">
        <v>1547</v>
      </c>
      <c r="M114" s="368">
        <v>950</v>
      </c>
      <c r="N114" s="711">
        <v>0</v>
      </c>
      <c r="O114" s="711">
        <v>0</v>
      </c>
      <c r="P114" s="711">
        <v>950</v>
      </c>
      <c r="Q114" s="712" t="s">
        <v>1548</v>
      </c>
      <c r="R114" s="420" t="s">
        <v>1233</v>
      </c>
      <c r="S114" s="434" t="s">
        <v>1508</v>
      </c>
      <c r="T114" s="434" t="s">
        <v>1232</v>
      </c>
      <c r="U114" s="369"/>
      <c r="V114" s="369"/>
      <c r="W114" s="369"/>
      <c r="X114" s="369"/>
      <c r="Y114" s="145">
        <f t="shared" si="12"/>
        <v>950</v>
      </c>
      <c r="Z114" s="145">
        <v>0</v>
      </c>
      <c r="AA114" s="145">
        <v>0</v>
      </c>
      <c r="AB114" s="370">
        <f t="shared" si="13"/>
        <v>950</v>
      </c>
      <c r="AC114" s="370">
        <v>0</v>
      </c>
      <c r="AD114" s="145"/>
      <c r="AE114" s="145">
        <v>950</v>
      </c>
      <c r="AF114" s="145">
        <f t="shared" si="14"/>
        <v>950</v>
      </c>
      <c r="AG114" s="145">
        <v>0</v>
      </c>
      <c r="AH114" s="145"/>
      <c r="AI114" s="145">
        <f t="shared" si="15"/>
        <v>950</v>
      </c>
      <c r="AJ114" s="145">
        <v>0</v>
      </c>
      <c r="AK114" s="145"/>
      <c r="AL114" s="145">
        <v>950</v>
      </c>
      <c r="AM114" s="145"/>
      <c r="AN114" s="145"/>
      <c r="AO114" s="145"/>
      <c r="AP114" s="145"/>
      <c r="AQ114" s="145"/>
      <c r="AR114" s="145"/>
      <c r="AS114" s="145"/>
      <c r="AT114" s="371"/>
      <c r="AU114" s="145">
        <f t="shared" si="16"/>
        <v>0</v>
      </c>
      <c r="AV114" s="145"/>
      <c r="AW114" s="145"/>
      <c r="AX114" s="145">
        <f t="shared" si="17"/>
        <v>0</v>
      </c>
      <c r="AY114" s="145">
        <v>0</v>
      </c>
      <c r="AZ114" s="145"/>
      <c r="BA114" s="145"/>
      <c r="BB114" s="145"/>
      <c r="BC114" s="145"/>
      <c r="BD114" s="145"/>
      <c r="BE114" s="370"/>
      <c r="BF114" s="370"/>
      <c r="BG114" s="370"/>
      <c r="BH114" s="370"/>
      <c r="BI114" s="370"/>
      <c r="BJ114" s="370"/>
      <c r="BK114" s="370"/>
      <c r="BL114" s="370"/>
      <c r="BM114" s="145"/>
      <c r="BN114" s="370"/>
      <c r="BO114" s="370"/>
      <c r="BP114" s="145"/>
      <c r="BQ114" s="370"/>
      <c r="BR114" s="372"/>
      <c r="BS114" s="372"/>
      <c r="BT114" s="372"/>
    </row>
    <row r="115" spans="1:72" ht="52.5" customHeight="1" outlineLevel="1">
      <c r="A115" s="438">
        <v>63</v>
      </c>
      <c r="B115" s="710" t="s">
        <v>1285</v>
      </c>
      <c r="C115" s="420" t="s">
        <v>1281</v>
      </c>
      <c r="D115" s="434" t="s">
        <v>1232</v>
      </c>
      <c r="E115" s="422" t="s">
        <v>49</v>
      </c>
      <c r="F115" s="420" t="s">
        <v>82</v>
      </c>
      <c r="G115" s="422">
        <v>7941000</v>
      </c>
      <c r="H115" s="420" t="s">
        <v>1233</v>
      </c>
      <c r="I115" s="420" t="s">
        <v>76</v>
      </c>
      <c r="J115" s="422">
        <v>2022</v>
      </c>
      <c r="K115" s="420" t="s">
        <v>1286</v>
      </c>
      <c r="L115" s="585" t="s">
        <v>1287</v>
      </c>
      <c r="M115" s="368">
        <v>1499.2215980000001</v>
      </c>
      <c r="N115" s="711"/>
      <c r="O115" s="711"/>
      <c r="P115" s="711">
        <v>1499.2215980000001</v>
      </c>
      <c r="Q115" s="712" t="s">
        <v>1288</v>
      </c>
      <c r="R115" s="420" t="s">
        <v>1233</v>
      </c>
      <c r="S115" s="434" t="s">
        <v>1508</v>
      </c>
      <c r="T115" s="434" t="s">
        <v>1232</v>
      </c>
      <c r="U115" s="369"/>
      <c r="V115" s="369"/>
      <c r="W115" s="369"/>
      <c r="X115" s="369"/>
      <c r="Y115" s="145">
        <f t="shared" si="12"/>
        <v>1500</v>
      </c>
      <c r="Z115" s="145"/>
      <c r="AA115" s="145">
        <v>0</v>
      </c>
      <c r="AB115" s="370">
        <f t="shared" si="13"/>
        <v>1500</v>
      </c>
      <c r="AC115" s="370">
        <v>0</v>
      </c>
      <c r="AD115" s="145"/>
      <c r="AE115" s="145">
        <v>1500</v>
      </c>
      <c r="AF115" s="145">
        <f t="shared" si="14"/>
        <v>1500</v>
      </c>
      <c r="AG115" s="145"/>
      <c r="AH115" s="145"/>
      <c r="AI115" s="145">
        <f t="shared" si="15"/>
        <v>1500</v>
      </c>
      <c r="AJ115" s="145">
        <v>0</v>
      </c>
      <c r="AK115" s="145"/>
      <c r="AL115" s="145">
        <v>1500</v>
      </c>
      <c r="AM115" s="145"/>
      <c r="AN115" s="145"/>
      <c r="AO115" s="145"/>
      <c r="AP115" s="145"/>
      <c r="AQ115" s="145"/>
      <c r="AR115" s="145"/>
      <c r="AS115" s="145"/>
      <c r="AT115" s="371"/>
      <c r="AU115" s="145">
        <f t="shared" si="16"/>
        <v>0</v>
      </c>
      <c r="AV115" s="145"/>
      <c r="AW115" s="145"/>
      <c r="AX115" s="145">
        <f t="shared" si="17"/>
        <v>0</v>
      </c>
      <c r="AY115" s="145">
        <v>0</v>
      </c>
      <c r="AZ115" s="145"/>
      <c r="BA115" s="145"/>
      <c r="BB115" s="145"/>
      <c r="BC115" s="145"/>
      <c r="BD115" s="145"/>
      <c r="BE115" s="370"/>
      <c r="BF115" s="370"/>
      <c r="BG115" s="370"/>
      <c r="BH115" s="370"/>
      <c r="BI115" s="370"/>
      <c r="BJ115" s="370"/>
      <c r="BK115" s="370"/>
      <c r="BL115" s="370"/>
      <c r="BM115" s="145"/>
      <c r="BN115" s="370"/>
      <c r="BO115" s="370"/>
      <c r="BP115" s="145"/>
      <c r="BQ115" s="370"/>
      <c r="BR115" s="372"/>
      <c r="BS115" s="372"/>
      <c r="BT115" s="372"/>
    </row>
    <row r="116" spans="1:72" ht="52.5" customHeight="1" outlineLevel="1">
      <c r="A116" s="438">
        <v>64</v>
      </c>
      <c r="B116" s="710" t="s">
        <v>1293</v>
      </c>
      <c r="C116" s="420" t="s">
        <v>1281</v>
      </c>
      <c r="D116" s="434" t="s">
        <v>1232</v>
      </c>
      <c r="E116" s="422" t="s">
        <v>49</v>
      </c>
      <c r="F116" s="420" t="s">
        <v>82</v>
      </c>
      <c r="G116" s="422">
        <v>8039323</v>
      </c>
      <c r="H116" s="420" t="s">
        <v>1233</v>
      </c>
      <c r="I116" s="420">
        <v>2024</v>
      </c>
      <c r="J116" s="422">
        <v>2023</v>
      </c>
      <c r="K116" s="420" t="s">
        <v>1294</v>
      </c>
      <c r="L116" s="585" t="s">
        <v>1295</v>
      </c>
      <c r="M116" s="368">
        <v>1607</v>
      </c>
      <c r="N116" s="711"/>
      <c r="O116" s="711"/>
      <c r="P116" s="711">
        <v>1607</v>
      </c>
      <c r="Q116" s="712" t="s">
        <v>1296</v>
      </c>
      <c r="R116" s="420" t="s">
        <v>1233</v>
      </c>
      <c r="S116" s="434" t="s">
        <v>1508</v>
      </c>
      <c r="T116" s="434" t="s">
        <v>1232</v>
      </c>
      <c r="U116" s="369"/>
      <c r="V116" s="369"/>
      <c r="W116" s="369"/>
      <c r="X116" s="369"/>
      <c r="Y116" s="145">
        <f t="shared" si="12"/>
        <v>1607</v>
      </c>
      <c r="Z116" s="145"/>
      <c r="AA116" s="145">
        <v>0</v>
      </c>
      <c r="AB116" s="370">
        <f t="shared" si="13"/>
        <v>1607</v>
      </c>
      <c r="AC116" s="370">
        <v>0</v>
      </c>
      <c r="AD116" s="145"/>
      <c r="AE116" s="145">
        <v>1607</v>
      </c>
      <c r="AF116" s="145">
        <f t="shared" si="14"/>
        <v>1607</v>
      </c>
      <c r="AG116" s="145"/>
      <c r="AH116" s="145"/>
      <c r="AI116" s="145">
        <f t="shared" si="15"/>
        <v>1607</v>
      </c>
      <c r="AJ116" s="145">
        <v>0</v>
      </c>
      <c r="AK116" s="145"/>
      <c r="AL116" s="145">
        <v>1607</v>
      </c>
      <c r="AM116" s="145"/>
      <c r="AN116" s="145"/>
      <c r="AO116" s="145"/>
      <c r="AP116" s="145"/>
      <c r="AQ116" s="145"/>
      <c r="AR116" s="145"/>
      <c r="AS116" s="145"/>
      <c r="AT116" s="371"/>
      <c r="AU116" s="145">
        <f t="shared" si="16"/>
        <v>0</v>
      </c>
      <c r="AV116" s="145"/>
      <c r="AW116" s="145"/>
      <c r="AX116" s="145">
        <f t="shared" si="17"/>
        <v>0</v>
      </c>
      <c r="AY116" s="145">
        <v>0</v>
      </c>
      <c r="AZ116" s="145"/>
      <c r="BA116" s="145"/>
      <c r="BB116" s="145"/>
      <c r="BC116" s="145"/>
      <c r="BD116" s="145"/>
      <c r="BE116" s="370"/>
      <c r="BF116" s="370"/>
      <c r="BG116" s="370"/>
      <c r="BH116" s="370"/>
      <c r="BI116" s="370"/>
      <c r="BJ116" s="370"/>
      <c r="BK116" s="370"/>
      <c r="BL116" s="370"/>
      <c r="BM116" s="145"/>
      <c r="BN116" s="370"/>
      <c r="BO116" s="370"/>
      <c r="BP116" s="145"/>
      <c r="BQ116" s="370"/>
      <c r="BR116" s="372"/>
      <c r="BS116" s="372"/>
      <c r="BT116" s="372"/>
    </row>
    <row r="117" spans="1:72" ht="46.15" outlineLevel="1">
      <c r="A117" s="438">
        <v>65</v>
      </c>
      <c r="B117" s="710" t="s">
        <v>1289</v>
      </c>
      <c r="C117" s="420" t="s">
        <v>1281</v>
      </c>
      <c r="D117" s="434" t="s">
        <v>1232</v>
      </c>
      <c r="E117" s="422" t="s">
        <v>49</v>
      </c>
      <c r="F117" s="420" t="s">
        <v>82</v>
      </c>
      <c r="G117" s="422">
        <v>8039324</v>
      </c>
      <c r="H117" s="420" t="s">
        <v>1233</v>
      </c>
      <c r="I117" s="420">
        <v>2024</v>
      </c>
      <c r="J117" s="422">
        <v>2023</v>
      </c>
      <c r="K117" s="420" t="s">
        <v>1290</v>
      </c>
      <c r="L117" s="585" t="s">
        <v>1291</v>
      </c>
      <c r="M117" s="368">
        <v>1100</v>
      </c>
      <c r="N117" s="711"/>
      <c r="O117" s="711"/>
      <c r="P117" s="711">
        <v>1100</v>
      </c>
      <c r="Q117" s="712" t="s">
        <v>1292</v>
      </c>
      <c r="R117" s="420" t="s">
        <v>1233</v>
      </c>
      <c r="S117" s="434" t="s">
        <v>1508</v>
      </c>
      <c r="T117" s="434" t="s">
        <v>1232</v>
      </c>
      <c r="U117" s="369"/>
      <c r="V117" s="369"/>
      <c r="W117" s="369"/>
      <c r="X117" s="369"/>
      <c r="Y117" s="145">
        <f t="shared" si="12"/>
        <v>1100</v>
      </c>
      <c r="Z117" s="145"/>
      <c r="AA117" s="145"/>
      <c r="AB117" s="370">
        <f t="shared" si="13"/>
        <v>1100</v>
      </c>
      <c r="AC117" s="370">
        <v>0</v>
      </c>
      <c r="AD117" s="145"/>
      <c r="AE117" s="145">
        <v>1100</v>
      </c>
      <c r="AF117" s="145">
        <f t="shared" si="14"/>
        <v>1100</v>
      </c>
      <c r="AG117" s="145"/>
      <c r="AH117" s="145"/>
      <c r="AI117" s="145">
        <f t="shared" si="15"/>
        <v>1100</v>
      </c>
      <c r="AJ117" s="145">
        <v>0</v>
      </c>
      <c r="AK117" s="145"/>
      <c r="AL117" s="145">
        <v>1100</v>
      </c>
      <c r="AM117" s="145"/>
      <c r="AN117" s="145"/>
      <c r="AO117" s="145"/>
      <c r="AP117" s="145"/>
      <c r="AQ117" s="145"/>
      <c r="AR117" s="145"/>
      <c r="AS117" s="145"/>
      <c r="AT117" s="371"/>
      <c r="AU117" s="145">
        <f t="shared" si="16"/>
        <v>0</v>
      </c>
      <c r="AV117" s="145"/>
      <c r="AW117" s="145"/>
      <c r="AX117" s="145">
        <f t="shared" si="17"/>
        <v>0</v>
      </c>
      <c r="AY117" s="145">
        <v>0</v>
      </c>
      <c r="AZ117" s="145"/>
      <c r="BA117" s="145"/>
      <c r="BB117" s="145"/>
      <c r="BC117" s="145"/>
      <c r="BD117" s="145"/>
      <c r="BE117" s="370"/>
      <c r="BF117" s="370"/>
      <c r="BG117" s="370"/>
      <c r="BH117" s="370"/>
      <c r="BI117" s="370"/>
      <c r="BJ117" s="370"/>
      <c r="BK117" s="370"/>
      <c r="BL117" s="370"/>
      <c r="BM117" s="145"/>
      <c r="BN117" s="370"/>
      <c r="BO117" s="370"/>
      <c r="BP117" s="145"/>
      <c r="BQ117" s="370"/>
      <c r="BR117" s="372"/>
      <c r="BS117" s="372"/>
      <c r="BT117" s="372"/>
    </row>
    <row r="118" spans="1:72" ht="46.15" outlineLevel="1">
      <c r="A118" s="438">
        <v>66</v>
      </c>
      <c r="B118" s="710" t="s">
        <v>1549</v>
      </c>
      <c r="C118" s="420" t="s">
        <v>1281</v>
      </c>
      <c r="D118" s="434" t="s">
        <v>1232</v>
      </c>
      <c r="E118" s="422" t="s">
        <v>49</v>
      </c>
      <c r="F118" s="420" t="s">
        <v>1282</v>
      </c>
      <c r="G118" s="422">
        <v>8112881</v>
      </c>
      <c r="H118" s="420" t="s">
        <v>1233</v>
      </c>
      <c r="I118" s="420" t="s">
        <v>84</v>
      </c>
      <c r="J118" s="422">
        <v>2024</v>
      </c>
      <c r="K118" s="420" t="s">
        <v>1550</v>
      </c>
      <c r="L118" s="585" t="s">
        <v>1551</v>
      </c>
      <c r="M118" s="368">
        <v>7758</v>
      </c>
      <c r="N118" s="711"/>
      <c r="O118" s="711"/>
      <c r="P118" s="711">
        <v>7500</v>
      </c>
      <c r="Q118" s="712"/>
      <c r="R118" s="420" t="s">
        <v>1233</v>
      </c>
      <c r="S118" s="434" t="s">
        <v>1508</v>
      </c>
      <c r="T118" s="434" t="s">
        <v>1232</v>
      </c>
      <c r="U118" s="369"/>
      <c r="V118" s="369"/>
      <c r="W118" s="369"/>
      <c r="X118" s="369"/>
      <c r="Y118" s="145">
        <f t="shared" si="12"/>
        <v>7500</v>
      </c>
      <c r="Z118" s="145"/>
      <c r="AA118" s="145"/>
      <c r="AB118" s="370">
        <f t="shared" si="13"/>
        <v>7500</v>
      </c>
      <c r="AC118" s="370">
        <v>0</v>
      </c>
      <c r="AD118" s="145">
        <v>3790</v>
      </c>
      <c r="AE118" s="145">
        <v>3710</v>
      </c>
      <c r="AF118" s="145">
        <f t="shared" si="14"/>
        <v>3910</v>
      </c>
      <c r="AG118" s="145"/>
      <c r="AH118" s="145"/>
      <c r="AI118" s="145">
        <f t="shared" si="15"/>
        <v>3910</v>
      </c>
      <c r="AJ118" s="145">
        <v>0</v>
      </c>
      <c r="AK118" s="145">
        <v>200</v>
      </c>
      <c r="AL118" s="145">
        <v>3710</v>
      </c>
      <c r="AM118" s="145"/>
      <c r="AN118" s="145"/>
      <c r="AO118" s="145"/>
      <c r="AP118" s="145"/>
      <c r="AQ118" s="145"/>
      <c r="AR118" s="145"/>
      <c r="AS118" s="145"/>
      <c r="AT118" s="371"/>
      <c r="AU118" s="145">
        <f t="shared" si="16"/>
        <v>3590</v>
      </c>
      <c r="AV118" s="145"/>
      <c r="AW118" s="145"/>
      <c r="AX118" s="145">
        <f t="shared" si="17"/>
        <v>3590</v>
      </c>
      <c r="AY118" s="145">
        <v>0</v>
      </c>
      <c r="AZ118" s="145">
        <v>3590</v>
      </c>
      <c r="BA118" s="145"/>
      <c r="BB118" s="145"/>
      <c r="BC118" s="145"/>
      <c r="BD118" s="145"/>
      <c r="BE118" s="370"/>
      <c r="BF118" s="370"/>
      <c r="BG118" s="370"/>
      <c r="BH118" s="370"/>
      <c r="BI118" s="370"/>
      <c r="BJ118" s="370"/>
      <c r="BK118" s="370"/>
      <c r="BL118" s="370"/>
      <c r="BM118" s="145"/>
      <c r="BN118" s="370"/>
      <c r="BO118" s="370"/>
      <c r="BP118" s="145"/>
      <c r="BQ118" s="370"/>
      <c r="BR118" s="372"/>
      <c r="BS118" s="145">
        <v>3461.549</v>
      </c>
      <c r="BT118" s="372"/>
    </row>
    <row r="119" spans="1:72" ht="30.75" outlineLevel="1">
      <c r="A119" s="438">
        <v>67</v>
      </c>
      <c r="B119" s="710" t="s">
        <v>1552</v>
      </c>
      <c r="C119" s="420" t="s">
        <v>699</v>
      </c>
      <c r="D119" s="434" t="s">
        <v>1232</v>
      </c>
      <c r="E119" s="422" t="s">
        <v>49</v>
      </c>
      <c r="F119" s="420" t="s">
        <v>1122</v>
      </c>
      <c r="G119" s="422">
        <v>8040412</v>
      </c>
      <c r="H119" s="420" t="s">
        <v>1233</v>
      </c>
      <c r="I119" s="420">
        <v>2024</v>
      </c>
      <c r="J119" s="422">
        <v>2024</v>
      </c>
      <c r="K119" s="420" t="s">
        <v>1553</v>
      </c>
      <c r="L119" s="585" t="s">
        <v>1554</v>
      </c>
      <c r="M119" s="368">
        <v>330</v>
      </c>
      <c r="N119" s="711"/>
      <c r="O119" s="711"/>
      <c r="P119" s="711">
        <v>330</v>
      </c>
      <c r="Q119" s="712"/>
      <c r="R119" s="420" t="s">
        <v>1233</v>
      </c>
      <c r="S119" s="434" t="s">
        <v>1508</v>
      </c>
      <c r="T119" s="434" t="s">
        <v>1232</v>
      </c>
      <c r="U119" s="369"/>
      <c r="V119" s="369"/>
      <c r="W119" s="369"/>
      <c r="X119" s="369"/>
      <c r="Y119" s="145">
        <f t="shared" si="12"/>
        <v>330</v>
      </c>
      <c r="Z119" s="145"/>
      <c r="AA119" s="145"/>
      <c r="AB119" s="370">
        <f t="shared" si="13"/>
        <v>330</v>
      </c>
      <c r="AC119" s="370">
        <v>0</v>
      </c>
      <c r="AD119" s="145"/>
      <c r="AE119" s="145">
        <v>330</v>
      </c>
      <c r="AF119" s="145">
        <f t="shared" si="14"/>
        <v>330</v>
      </c>
      <c r="AG119" s="145"/>
      <c r="AH119" s="145"/>
      <c r="AI119" s="145">
        <f t="shared" si="15"/>
        <v>330</v>
      </c>
      <c r="AJ119" s="145">
        <v>0</v>
      </c>
      <c r="AK119" s="145"/>
      <c r="AL119" s="145">
        <v>330</v>
      </c>
      <c r="AM119" s="145"/>
      <c r="AN119" s="145"/>
      <c r="AO119" s="145"/>
      <c r="AP119" s="145"/>
      <c r="AQ119" s="145"/>
      <c r="AR119" s="145"/>
      <c r="AS119" s="145"/>
      <c r="AT119" s="371"/>
      <c r="AU119" s="145">
        <f t="shared" si="16"/>
        <v>0</v>
      </c>
      <c r="AV119" s="145"/>
      <c r="AW119" s="145"/>
      <c r="AX119" s="145">
        <f t="shared" si="17"/>
        <v>0</v>
      </c>
      <c r="AY119" s="145">
        <v>0</v>
      </c>
      <c r="AZ119" s="145"/>
      <c r="BA119" s="145"/>
      <c r="BB119" s="145"/>
      <c r="BC119" s="145"/>
      <c r="BD119" s="145"/>
      <c r="BE119" s="370"/>
      <c r="BF119" s="370"/>
      <c r="BG119" s="370"/>
      <c r="BH119" s="370"/>
      <c r="BI119" s="370"/>
      <c r="BJ119" s="370"/>
      <c r="BK119" s="370"/>
      <c r="BL119" s="370"/>
      <c r="BM119" s="145"/>
      <c r="BN119" s="370"/>
      <c r="BO119" s="370"/>
      <c r="BP119" s="145"/>
      <c r="BQ119" s="370"/>
      <c r="BR119" s="372"/>
      <c r="BS119" s="372"/>
      <c r="BT119" s="372"/>
    </row>
    <row r="120" spans="1:72" ht="30.75" outlineLevel="1">
      <c r="A120" s="438">
        <v>68</v>
      </c>
      <c r="B120" s="710" t="s">
        <v>1555</v>
      </c>
      <c r="C120" s="420" t="s">
        <v>1338</v>
      </c>
      <c r="D120" s="434" t="s">
        <v>1232</v>
      </c>
      <c r="E120" s="422" t="s">
        <v>49</v>
      </c>
      <c r="F120" s="420" t="s">
        <v>48</v>
      </c>
      <c r="G120" s="422">
        <v>7991715</v>
      </c>
      <c r="H120" s="420" t="s">
        <v>1240</v>
      </c>
      <c r="I120" s="420">
        <v>2022</v>
      </c>
      <c r="J120" s="422">
        <v>2022</v>
      </c>
      <c r="K120" s="420" t="s">
        <v>1521</v>
      </c>
      <c r="L120" s="585" t="s">
        <v>1556</v>
      </c>
      <c r="M120" s="368">
        <v>600</v>
      </c>
      <c r="N120" s="711"/>
      <c r="O120" s="711"/>
      <c r="P120" s="711">
        <v>600</v>
      </c>
      <c r="Q120" s="712"/>
      <c r="R120" s="420" t="s">
        <v>1240</v>
      </c>
      <c r="S120" s="434" t="s">
        <v>1508</v>
      </c>
      <c r="T120" s="434" t="s">
        <v>1232</v>
      </c>
      <c r="U120" s="369"/>
      <c r="V120" s="369"/>
      <c r="W120" s="369"/>
      <c r="X120" s="369"/>
      <c r="Y120" s="145">
        <f t="shared" si="12"/>
        <v>600</v>
      </c>
      <c r="Z120" s="145"/>
      <c r="AA120" s="145"/>
      <c r="AB120" s="370">
        <f t="shared" si="13"/>
        <v>600</v>
      </c>
      <c r="AC120" s="370">
        <v>0</v>
      </c>
      <c r="AD120" s="145"/>
      <c r="AE120" s="145">
        <v>600</v>
      </c>
      <c r="AF120" s="145">
        <f t="shared" si="14"/>
        <v>600</v>
      </c>
      <c r="AG120" s="145"/>
      <c r="AH120" s="145"/>
      <c r="AI120" s="145">
        <f t="shared" si="15"/>
        <v>600</v>
      </c>
      <c r="AJ120" s="145">
        <v>0</v>
      </c>
      <c r="AK120" s="145"/>
      <c r="AL120" s="145">
        <v>600</v>
      </c>
      <c r="AM120" s="145"/>
      <c r="AN120" s="145"/>
      <c r="AO120" s="145"/>
      <c r="AP120" s="145"/>
      <c r="AQ120" s="145"/>
      <c r="AR120" s="145"/>
      <c r="AS120" s="145"/>
      <c r="AT120" s="371"/>
      <c r="AU120" s="145">
        <f t="shared" si="16"/>
        <v>0</v>
      </c>
      <c r="AV120" s="145"/>
      <c r="AW120" s="145"/>
      <c r="AX120" s="145">
        <f t="shared" si="17"/>
        <v>0</v>
      </c>
      <c r="AY120" s="145">
        <v>0</v>
      </c>
      <c r="AZ120" s="145"/>
      <c r="BA120" s="145"/>
      <c r="BB120" s="145"/>
      <c r="BC120" s="145"/>
      <c r="BD120" s="145"/>
      <c r="BE120" s="370"/>
      <c r="BF120" s="370"/>
      <c r="BG120" s="370"/>
      <c r="BH120" s="370"/>
      <c r="BI120" s="370"/>
      <c r="BJ120" s="370"/>
      <c r="BK120" s="370"/>
      <c r="BL120" s="370"/>
      <c r="BM120" s="145"/>
      <c r="BN120" s="370"/>
      <c r="BO120" s="370"/>
      <c r="BP120" s="145"/>
      <c r="BQ120" s="370"/>
      <c r="BR120" s="372"/>
      <c r="BS120" s="372"/>
      <c r="BT120" s="372"/>
    </row>
    <row r="121" spans="1:72" ht="30.75" outlineLevel="1">
      <c r="A121" s="438">
        <v>69</v>
      </c>
      <c r="B121" s="710" t="s">
        <v>1557</v>
      </c>
      <c r="C121" s="420" t="s">
        <v>1338</v>
      </c>
      <c r="D121" s="434" t="s">
        <v>1232</v>
      </c>
      <c r="E121" s="422" t="s">
        <v>49</v>
      </c>
      <c r="F121" s="420" t="s">
        <v>48</v>
      </c>
      <c r="G121" s="422">
        <v>7991714</v>
      </c>
      <c r="H121" s="420" t="s">
        <v>1240</v>
      </c>
      <c r="I121" s="420">
        <v>2022</v>
      </c>
      <c r="J121" s="422">
        <v>2022</v>
      </c>
      <c r="K121" s="420" t="s">
        <v>1521</v>
      </c>
      <c r="L121" s="585" t="s">
        <v>1558</v>
      </c>
      <c r="M121" s="368">
        <v>350</v>
      </c>
      <c r="N121" s="711"/>
      <c r="O121" s="711"/>
      <c r="P121" s="711">
        <v>350</v>
      </c>
      <c r="Q121" s="712"/>
      <c r="R121" s="420" t="s">
        <v>1240</v>
      </c>
      <c r="S121" s="434" t="s">
        <v>1508</v>
      </c>
      <c r="T121" s="434" t="s">
        <v>1232</v>
      </c>
      <c r="U121" s="369"/>
      <c r="V121" s="369"/>
      <c r="W121" s="369"/>
      <c r="X121" s="369"/>
      <c r="Y121" s="145">
        <f t="shared" si="12"/>
        <v>350</v>
      </c>
      <c r="Z121" s="145"/>
      <c r="AA121" s="145"/>
      <c r="AB121" s="370">
        <f t="shared" si="13"/>
        <v>350</v>
      </c>
      <c r="AC121" s="370">
        <v>0</v>
      </c>
      <c r="AD121" s="145"/>
      <c r="AE121" s="145">
        <v>350</v>
      </c>
      <c r="AF121" s="145">
        <f t="shared" si="14"/>
        <v>350</v>
      </c>
      <c r="AG121" s="145"/>
      <c r="AH121" s="145"/>
      <c r="AI121" s="145">
        <f t="shared" si="15"/>
        <v>350</v>
      </c>
      <c r="AJ121" s="145">
        <v>0</v>
      </c>
      <c r="AK121" s="145"/>
      <c r="AL121" s="145">
        <v>350</v>
      </c>
      <c r="AM121" s="145"/>
      <c r="AN121" s="145"/>
      <c r="AO121" s="145"/>
      <c r="AP121" s="145"/>
      <c r="AQ121" s="145"/>
      <c r="AR121" s="145"/>
      <c r="AS121" s="145"/>
      <c r="AT121" s="371"/>
      <c r="AU121" s="145">
        <f t="shared" si="16"/>
        <v>0</v>
      </c>
      <c r="AV121" s="145"/>
      <c r="AW121" s="145"/>
      <c r="AX121" s="145">
        <f t="shared" si="17"/>
        <v>0</v>
      </c>
      <c r="AY121" s="145">
        <v>0</v>
      </c>
      <c r="AZ121" s="145"/>
      <c r="BA121" s="145"/>
      <c r="BB121" s="145"/>
      <c r="BC121" s="145"/>
      <c r="BD121" s="145"/>
      <c r="BE121" s="370"/>
      <c r="BF121" s="370"/>
      <c r="BG121" s="370"/>
      <c r="BH121" s="370"/>
      <c r="BI121" s="370"/>
      <c r="BJ121" s="370"/>
      <c r="BK121" s="370"/>
      <c r="BL121" s="370"/>
      <c r="BM121" s="145"/>
      <c r="BN121" s="370"/>
      <c r="BO121" s="370"/>
      <c r="BP121" s="145"/>
      <c r="BQ121" s="370"/>
      <c r="BR121" s="372"/>
      <c r="BS121" s="372"/>
      <c r="BT121" s="372"/>
    </row>
    <row r="122" spans="1:72" ht="30.75" outlineLevel="1">
      <c r="A122" s="438">
        <v>70</v>
      </c>
      <c r="B122" s="710" t="s">
        <v>1559</v>
      </c>
      <c r="C122" s="420" t="s">
        <v>1338</v>
      </c>
      <c r="D122" s="434" t="s">
        <v>1232</v>
      </c>
      <c r="E122" s="422" t="s">
        <v>49</v>
      </c>
      <c r="F122" s="420" t="s">
        <v>48</v>
      </c>
      <c r="G122" s="422">
        <v>7989021</v>
      </c>
      <c r="H122" s="420" t="s">
        <v>1240</v>
      </c>
      <c r="I122" s="420">
        <v>2022</v>
      </c>
      <c r="J122" s="422">
        <v>2022</v>
      </c>
      <c r="K122" s="420" t="s">
        <v>1521</v>
      </c>
      <c r="L122" s="585" t="s">
        <v>1560</v>
      </c>
      <c r="M122" s="368">
        <v>1200</v>
      </c>
      <c r="N122" s="711"/>
      <c r="O122" s="711"/>
      <c r="P122" s="711">
        <v>1200</v>
      </c>
      <c r="Q122" s="712"/>
      <c r="R122" s="420" t="s">
        <v>1240</v>
      </c>
      <c r="S122" s="434" t="s">
        <v>1508</v>
      </c>
      <c r="T122" s="434" t="s">
        <v>1232</v>
      </c>
      <c r="U122" s="369"/>
      <c r="V122" s="369"/>
      <c r="W122" s="369"/>
      <c r="X122" s="369"/>
      <c r="Y122" s="145">
        <f t="shared" si="12"/>
        <v>1200</v>
      </c>
      <c r="Z122" s="145"/>
      <c r="AA122" s="145"/>
      <c r="AB122" s="370">
        <f t="shared" si="13"/>
        <v>1200</v>
      </c>
      <c r="AC122" s="370">
        <v>0</v>
      </c>
      <c r="AD122" s="145"/>
      <c r="AE122" s="145">
        <v>1200</v>
      </c>
      <c r="AF122" s="145">
        <f t="shared" si="14"/>
        <v>1200</v>
      </c>
      <c r="AG122" s="145"/>
      <c r="AH122" s="145"/>
      <c r="AI122" s="145">
        <f t="shared" si="15"/>
        <v>1200</v>
      </c>
      <c r="AJ122" s="145">
        <v>0</v>
      </c>
      <c r="AK122" s="145"/>
      <c r="AL122" s="145">
        <v>1200</v>
      </c>
      <c r="AM122" s="145"/>
      <c r="AN122" s="145"/>
      <c r="AO122" s="145"/>
      <c r="AP122" s="145"/>
      <c r="AQ122" s="145"/>
      <c r="AR122" s="145"/>
      <c r="AS122" s="145"/>
      <c r="AT122" s="371"/>
      <c r="AU122" s="145">
        <f t="shared" si="16"/>
        <v>0</v>
      </c>
      <c r="AV122" s="145"/>
      <c r="AW122" s="145"/>
      <c r="AX122" s="145">
        <f t="shared" si="17"/>
        <v>0</v>
      </c>
      <c r="AY122" s="145">
        <v>0</v>
      </c>
      <c r="AZ122" s="145"/>
      <c r="BA122" s="145"/>
      <c r="BB122" s="145"/>
      <c r="BC122" s="145"/>
      <c r="BD122" s="145"/>
      <c r="BE122" s="370"/>
      <c r="BF122" s="370"/>
      <c r="BG122" s="370"/>
      <c r="BH122" s="370"/>
      <c r="BI122" s="370"/>
      <c r="BJ122" s="370"/>
      <c r="BK122" s="370"/>
      <c r="BL122" s="370"/>
      <c r="BM122" s="145"/>
      <c r="BN122" s="370"/>
      <c r="BO122" s="370"/>
      <c r="BP122" s="145"/>
      <c r="BQ122" s="370"/>
      <c r="BR122" s="372"/>
      <c r="BS122" s="372"/>
      <c r="BT122" s="372"/>
    </row>
    <row r="123" spans="1:72" ht="30.75" outlineLevel="1">
      <c r="A123" s="438">
        <v>71</v>
      </c>
      <c r="B123" s="710" t="s">
        <v>1561</v>
      </c>
      <c r="C123" s="420" t="s">
        <v>1338</v>
      </c>
      <c r="D123" s="434" t="s">
        <v>1232</v>
      </c>
      <c r="E123" s="422" t="s">
        <v>49</v>
      </c>
      <c r="F123" s="420" t="s">
        <v>1282</v>
      </c>
      <c r="G123" s="422">
        <v>7991716</v>
      </c>
      <c r="H123" s="420" t="s">
        <v>1240</v>
      </c>
      <c r="I123" s="420">
        <v>2022</v>
      </c>
      <c r="J123" s="422">
        <v>2022</v>
      </c>
      <c r="K123" s="420" t="s">
        <v>1521</v>
      </c>
      <c r="L123" s="585" t="s">
        <v>1562</v>
      </c>
      <c r="M123" s="368">
        <v>250</v>
      </c>
      <c r="N123" s="711"/>
      <c r="O123" s="711"/>
      <c r="P123" s="711">
        <v>250</v>
      </c>
      <c r="Q123" s="712"/>
      <c r="R123" s="420" t="s">
        <v>1240</v>
      </c>
      <c r="S123" s="434" t="s">
        <v>1508</v>
      </c>
      <c r="T123" s="434" t="s">
        <v>1232</v>
      </c>
      <c r="U123" s="369"/>
      <c r="V123" s="369"/>
      <c r="W123" s="369"/>
      <c r="X123" s="369"/>
      <c r="Y123" s="145">
        <f t="shared" si="12"/>
        <v>250</v>
      </c>
      <c r="Z123" s="145"/>
      <c r="AA123" s="145"/>
      <c r="AB123" s="370">
        <f t="shared" si="13"/>
        <v>250</v>
      </c>
      <c r="AC123" s="370">
        <v>0</v>
      </c>
      <c r="AD123" s="145"/>
      <c r="AE123" s="145">
        <v>250</v>
      </c>
      <c r="AF123" s="145">
        <f t="shared" si="14"/>
        <v>250</v>
      </c>
      <c r="AG123" s="145"/>
      <c r="AH123" s="145"/>
      <c r="AI123" s="145">
        <f t="shared" si="15"/>
        <v>250</v>
      </c>
      <c r="AJ123" s="145">
        <v>0</v>
      </c>
      <c r="AK123" s="145"/>
      <c r="AL123" s="145">
        <v>250</v>
      </c>
      <c r="AM123" s="145"/>
      <c r="AN123" s="145"/>
      <c r="AO123" s="145"/>
      <c r="AP123" s="145"/>
      <c r="AQ123" s="145"/>
      <c r="AR123" s="145"/>
      <c r="AS123" s="145"/>
      <c r="AT123" s="371"/>
      <c r="AU123" s="145">
        <f t="shared" si="16"/>
        <v>0</v>
      </c>
      <c r="AV123" s="145"/>
      <c r="AW123" s="145"/>
      <c r="AX123" s="145">
        <f t="shared" si="17"/>
        <v>0</v>
      </c>
      <c r="AY123" s="145">
        <v>0</v>
      </c>
      <c r="AZ123" s="145"/>
      <c r="BA123" s="145"/>
      <c r="BB123" s="145"/>
      <c r="BC123" s="145"/>
      <c r="BD123" s="145"/>
      <c r="BE123" s="370"/>
      <c r="BF123" s="370"/>
      <c r="BG123" s="370"/>
      <c r="BH123" s="370"/>
      <c r="BI123" s="370"/>
      <c r="BJ123" s="370"/>
      <c r="BK123" s="370"/>
      <c r="BL123" s="370"/>
      <c r="BM123" s="145"/>
      <c r="BN123" s="370"/>
      <c r="BO123" s="370"/>
      <c r="BP123" s="145"/>
      <c r="BQ123" s="370"/>
      <c r="BR123" s="372"/>
      <c r="BS123" s="372"/>
      <c r="BT123" s="372"/>
    </row>
    <row r="124" spans="1:72" ht="34.5" customHeight="1" outlineLevel="1">
      <c r="A124" s="438">
        <v>72</v>
      </c>
      <c r="B124" s="710" t="s">
        <v>1563</v>
      </c>
      <c r="C124" s="420" t="s">
        <v>1338</v>
      </c>
      <c r="D124" s="434" t="s">
        <v>1232</v>
      </c>
      <c r="E124" s="422" t="s">
        <v>49</v>
      </c>
      <c r="F124" s="420" t="s">
        <v>48</v>
      </c>
      <c r="G124" s="422">
        <v>8048921</v>
      </c>
      <c r="H124" s="420" t="s">
        <v>1240</v>
      </c>
      <c r="I124" s="420">
        <v>2024</v>
      </c>
      <c r="J124" s="422">
        <v>2023</v>
      </c>
      <c r="K124" s="420" t="s">
        <v>1564</v>
      </c>
      <c r="L124" s="585" t="s">
        <v>1565</v>
      </c>
      <c r="M124" s="368">
        <v>2250</v>
      </c>
      <c r="N124" s="711"/>
      <c r="O124" s="711"/>
      <c r="P124" s="711">
        <v>2250</v>
      </c>
      <c r="Q124" s="712"/>
      <c r="R124" s="420" t="s">
        <v>1240</v>
      </c>
      <c r="S124" s="434" t="s">
        <v>1508</v>
      </c>
      <c r="T124" s="434" t="s">
        <v>1232</v>
      </c>
      <c r="U124" s="369"/>
      <c r="V124" s="369"/>
      <c r="W124" s="369"/>
      <c r="X124" s="369"/>
      <c r="Y124" s="145">
        <f t="shared" si="12"/>
        <v>2100</v>
      </c>
      <c r="Z124" s="145"/>
      <c r="AA124" s="145"/>
      <c r="AB124" s="370">
        <f t="shared" si="13"/>
        <v>2100</v>
      </c>
      <c r="AC124" s="370">
        <v>0</v>
      </c>
      <c r="AD124" s="145"/>
      <c r="AE124" s="145">
        <v>2100</v>
      </c>
      <c r="AF124" s="145">
        <f t="shared" si="14"/>
        <v>2100</v>
      </c>
      <c r="AG124" s="145"/>
      <c r="AH124" s="145"/>
      <c r="AI124" s="145">
        <f t="shared" si="15"/>
        <v>2100</v>
      </c>
      <c r="AJ124" s="145">
        <v>0</v>
      </c>
      <c r="AK124" s="145"/>
      <c r="AL124" s="145">
        <v>2100</v>
      </c>
      <c r="AM124" s="145"/>
      <c r="AN124" s="145"/>
      <c r="AO124" s="145"/>
      <c r="AP124" s="145"/>
      <c r="AQ124" s="145"/>
      <c r="AR124" s="145"/>
      <c r="AS124" s="145"/>
      <c r="AT124" s="371"/>
      <c r="AU124" s="145">
        <f t="shared" si="16"/>
        <v>0</v>
      </c>
      <c r="AV124" s="145"/>
      <c r="AW124" s="145"/>
      <c r="AX124" s="145">
        <f t="shared" si="17"/>
        <v>0</v>
      </c>
      <c r="AY124" s="145">
        <v>0</v>
      </c>
      <c r="AZ124" s="145"/>
      <c r="BA124" s="145"/>
      <c r="BB124" s="145"/>
      <c r="BC124" s="145"/>
      <c r="BD124" s="145"/>
      <c r="BE124" s="370"/>
      <c r="BF124" s="370"/>
      <c r="BG124" s="370"/>
      <c r="BH124" s="370"/>
      <c r="BI124" s="370"/>
      <c r="BJ124" s="370"/>
      <c r="BK124" s="370"/>
      <c r="BL124" s="370"/>
      <c r="BM124" s="145"/>
      <c r="BN124" s="370"/>
      <c r="BO124" s="370"/>
      <c r="BP124" s="145"/>
      <c r="BQ124" s="370"/>
      <c r="BR124" s="372"/>
      <c r="BS124" s="372"/>
      <c r="BT124" s="372"/>
    </row>
    <row r="125" spans="1:72" ht="36" customHeight="1" outlineLevel="1">
      <c r="A125" s="438">
        <v>73</v>
      </c>
      <c r="B125" s="710" t="s">
        <v>1566</v>
      </c>
      <c r="C125" s="420" t="s">
        <v>264</v>
      </c>
      <c r="D125" s="434" t="s">
        <v>1232</v>
      </c>
      <c r="E125" s="422" t="s">
        <v>49</v>
      </c>
      <c r="F125" s="420" t="s">
        <v>916</v>
      </c>
      <c r="G125" s="422">
        <v>7982870</v>
      </c>
      <c r="H125" s="420" t="s">
        <v>1233</v>
      </c>
      <c r="I125" s="420" t="s">
        <v>54</v>
      </c>
      <c r="J125" s="422">
        <v>2022</v>
      </c>
      <c r="K125" s="420"/>
      <c r="L125" s="585" t="s">
        <v>1567</v>
      </c>
      <c r="M125" s="368">
        <v>6898.7058450000004</v>
      </c>
      <c r="N125" s="711"/>
      <c r="O125" s="711"/>
      <c r="P125" s="368">
        <v>6898.7058450000004</v>
      </c>
      <c r="Q125" s="712"/>
      <c r="R125" s="420" t="s">
        <v>1233</v>
      </c>
      <c r="S125" s="434" t="s">
        <v>1508</v>
      </c>
      <c r="T125" s="434" t="s">
        <v>1232</v>
      </c>
      <c r="U125" s="369"/>
      <c r="V125" s="369"/>
      <c r="W125" s="369"/>
      <c r="X125" s="369"/>
      <c r="Y125" s="145">
        <f t="shared" si="12"/>
        <v>6890</v>
      </c>
      <c r="Z125" s="145"/>
      <c r="AA125" s="145"/>
      <c r="AB125" s="370">
        <f t="shared" si="13"/>
        <v>6890</v>
      </c>
      <c r="AC125" s="370">
        <v>0</v>
      </c>
      <c r="AD125" s="145"/>
      <c r="AE125" s="145">
        <v>6890</v>
      </c>
      <c r="AF125" s="145">
        <f t="shared" si="14"/>
        <v>6890</v>
      </c>
      <c r="AG125" s="145"/>
      <c r="AH125" s="145"/>
      <c r="AI125" s="145">
        <f t="shared" si="15"/>
        <v>6890</v>
      </c>
      <c r="AJ125" s="145">
        <v>0</v>
      </c>
      <c r="AK125" s="145"/>
      <c r="AL125" s="145">
        <v>6890</v>
      </c>
      <c r="AM125" s="145"/>
      <c r="AN125" s="145"/>
      <c r="AO125" s="145"/>
      <c r="AP125" s="145"/>
      <c r="AQ125" s="145"/>
      <c r="AR125" s="145"/>
      <c r="AS125" s="145"/>
      <c r="AT125" s="371"/>
      <c r="AU125" s="145">
        <f t="shared" si="16"/>
        <v>0</v>
      </c>
      <c r="AV125" s="145"/>
      <c r="AW125" s="145"/>
      <c r="AX125" s="145">
        <f t="shared" si="17"/>
        <v>0</v>
      </c>
      <c r="AY125" s="145">
        <v>0</v>
      </c>
      <c r="AZ125" s="145"/>
      <c r="BA125" s="145"/>
      <c r="BB125" s="145"/>
      <c r="BC125" s="145"/>
      <c r="BD125" s="145"/>
      <c r="BE125" s="370"/>
      <c r="BF125" s="370"/>
      <c r="BG125" s="370"/>
      <c r="BH125" s="370"/>
      <c r="BI125" s="370"/>
      <c r="BJ125" s="370"/>
      <c r="BK125" s="370"/>
      <c r="BL125" s="370"/>
      <c r="BM125" s="145"/>
      <c r="BN125" s="370"/>
      <c r="BO125" s="370"/>
      <c r="BP125" s="145"/>
      <c r="BQ125" s="370"/>
      <c r="BR125" s="372"/>
      <c r="BS125" s="145">
        <v>3747.4929999999999</v>
      </c>
      <c r="BT125" s="372"/>
    </row>
    <row r="126" spans="1:72" ht="50.25" customHeight="1" outlineLevel="1">
      <c r="A126" s="438">
        <v>74</v>
      </c>
      <c r="B126" s="710" t="s">
        <v>1568</v>
      </c>
      <c r="C126" s="420" t="s">
        <v>1569</v>
      </c>
      <c r="D126" s="434" t="s">
        <v>1232</v>
      </c>
      <c r="E126" s="422" t="s">
        <v>49</v>
      </c>
      <c r="F126" s="420" t="s">
        <v>82</v>
      </c>
      <c r="G126" s="422">
        <v>7938865</v>
      </c>
      <c r="H126" s="420" t="s">
        <v>1233</v>
      </c>
      <c r="I126" s="420" t="s">
        <v>75</v>
      </c>
      <c r="J126" s="422">
        <v>2022</v>
      </c>
      <c r="K126" s="420" t="s">
        <v>1521</v>
      </c>
      <c r="L126" s="585" t="s">
        <v>1570</v>
      </c>
      <c r="M126" s="368">
        <v>950</v>
      </c>
      <c r="N126" s="711"/>
      <c r="O126" s="711"/>
      <c r="P126" s="711">
        <v>950</v>
      </c>
      <c r="Q126" s="712"/>
      <c r="R126" s="420" t="s">
        <v>1233</v>
      </c>
      <c r="S126" s="434" t="s">
        <v>1508</v>
      </c>
      <c r="T126" s="434" t="s">
        <v>1232</v>
      </c>
      <c r="U126" s="369"/>
      <c r="V126" s="369"/>
      <c r="W126" s="369"/>
      <c r="X126" s="369"/>
      <c r="Y126" s="145">
        <f t="shared" si="12"/>
        <v>950</v>
      </c>
      <c r="Z126" s="145"/>
      <c r="AA126" s="145"/>
      <c r="AB126" s="370">
        <f t="shared" si="13"/>
        <v>950</v>
      </c>
      <c r="AC126" s="370">
        <v>0</v>
      </c>
      <c r="AD126" s="145"/>
      <c r="AE126" s="145">
        <v>950</v>
      </c>
      <c r="AF126" s="145">
        <f t="shared" si="14"/>
        <v>950</v>
      </c>
      <c r="AG126" s="145"/>
      <c r="AH126" s="145"/>
      <c r="AI126" s="145">
        <f t="shared" si="15"/>
        <v>950</v>
      </c>
      <c r="AJ126" s="145">
        <v>0</v>
      </c>
      <c r="AK126" s="145"/>
      <c r="AL126" s="145">
        <v>950</v>
      </c>
      <c r="AM126" s="145"/>
      <c r="AN126" s="145"/>
      <c r="AO126" s="145"/>
      <c r="AP126" s="145"/>
      <c r="AQ126" s="145"/>
      <c r="AR126" s="145"/>
      <c r="AS126" s="145"/>
      <c r="AT126" s="371"/>
      <c r="AU126" s="145">
        <f t="shared" si="16"/>
        <v>0</v>
      </c>
      <c r="AV126" s="145"/>
      <c r="AW126" s="145"/>
      <c r="AX126" s="145">
        <f t="shared" si="17"/>
        <v>0</v>
      </c>
      <c r="AY126" s="145">
        <v>0</v>
      </c>
      <c r="AZ126" s="145"/>
      <c r="BA126" s="145"/>
      <c r="BB126" s="145"/>
      <c r="BC126" s="145"/>
      <c r="BD126" s="145"/>
      <c r="BE126" s="370"/>
      <c r="BF126" s="370"/>
      <c r="BG126" s="370"/>
      <c r="BH126" s="370"/>
      <c r="BI126" s="370"/>
      <c r="BJ126" s="370"/>
      <c r="BK126" s="370"/>
      <c r="BL126" s="370"/>
      <c r="BM126" s="145"/>
      <c r="BN126" s="370"/>
      <c r="BO126" s="370"/>
      <c r="BP126" s="145"/>
      <c r="BQ126" s="370"/>
      <c r="BR126" s="372"/>
      <c r="BS126" s="372"/>
      <c r="BT126" s="372"/>
    </row>
    <row r="127" spans="1:72" ht="61.5" outlineLevel="1">
      <c r="A127" s="438">
        <v>75</v>
      </c>
      <c r="B127" s="710" t="s">
        <v>1571</v>
      </c>
      <c r="C127" s="420" t="s">
        <v>1572</v>
      </c>
      <c r="D127" s="434" t="s">
        <v>1232</v>
      </c>
      <c r="E127" s="422" t="s">
        <v>49</v>
      </c>
      <c r="F127" s="420" t="s">
        <v>1544</v>
      </c>
      <c r="G127" s="422">
        <v>7941314</v>
      </c>
      <c r="H127" s="420" t="s">
        <v>1573</v>
      </c>
      <c r="I127" s="420" t="s">
        <v>75</v>
      </c>
      <c r="J127" s="422">
        <v>2022</v>
      </c>
      <c r="K127" s="420" t="s">
        <v>1521</v>
      </c>
      <c r="L127" s="585" t="s">
        <v>1574</v>
      </c>
      <c r="M127" s="368">
        <v>1500</v>
      </c>
      <c r="N127" s="711"/>
      <c r="O127" s="711"/>
      <c r="P127" s="711">
        <v>1500</v>
      </c>
      <c r="Q127" s="712"/>
      <c r="R127" s="420" t="s">
        <v>1573</v>
      </c>
      <c r="S127" s="434" t="s">
        <v>1508</v>
      </c>
      <c r="T127" s="434" t="s">
        <v>1232</v>
      </c>
      <c r="U127" s="369"/>
      <c r="V127" s="369"/>
      <c r="W127" s="369"/>
      <c r="X127" s="369"/>
      <c r="Y127" s="145">
        <f t="shared" si="12"/>
        <v>1500</v>
      </c>
      <c r="Z127" s="145"/>
      <c r="AA127" s="145"/>
      <c r="AB127" s="370">
        <f t="shared" si="13"/>
        <v>1500</v>
      </c>
      <c r="AC127" s="370">
        <v>0</v>
      </c>
      <c r="AD127" s="145"/>
      <c r="AE127" s="145">
        <v>1500</v>
      </c>
      <c r="AF127" s="145">
        <f t="shared" si="14"/>
        <v>1500</v>
      </c>
      <c r="AG127" s="145"/>
      <c r="AH127" s="145"/>
      <c r="AI127" s="145">
        <f t="shared" si="15"/>
        <v>1500</v>
      </c>
      <c r="AJ127" s="145">
        <v>0</v>
      </c>
      <c r="AK127" s="145"/>
      <c r="AL127" s="145">
        <v>1500</v>
      </c>
      <c r="AM127" s="145"/>
      <c r="AN127" s="145"/>
      <c r="AO127" s="145"/>
      <c r="AP127" s="145"/>
      <c r="AQ127" s="145"/>
      <c r="AR127" s="145"/>
      <c r="AS127" s="145"/>
      <c r="AT127" s="371"/>
      <c r="AU127" s="145">
        <f t="shared" si="16"/>
        <v>0</v>
      </c>
      <c r="AV127" s="145"/>
      <c r="AW127" s="145"/>
      <c r="AX127" s="145">
        <f t="shared" si="17"/>
        <v>0</v>
      </c>
      <c r="AY127" s="145">
        <v>0</v>
      </c>
      <c r="AZ127" s="145"/>
      <c r="BA127" s="145"/>
      <c r="BB127" s="145"/>
      <c r="BC127" s="145"/>
      <c r="BD127" s="145"/>
      <c r="BE127" s="370"/>
      <c r="BF127" s="370"/>
      <c r="BG127" s="370"/>
      <c r="BH127" s="370"/>
      <c r="BI127" s="370"/>
      <c r="BJ127" s="370"/>
      <c r="BK127" s="370"/>
      <c r="BL127" s="370"/>
      <c r="BM127" s="145"/>
      <c r="BN127" s="370"/>
      <c r="BO127" s="370"/>
      <c r="BP127" s="145"/>
      <c r="BQ127" s="370"/>
      <c r="BR127" s="372"/>
      <c r="BS127" s="372"/>
      <c r="BT127" s="372"/>
    </row>
    <row r="128" spans="1:72" ht="36" customHeight="1" outlineLevel="1">
      <c r="A128" s="438">
        <v>76</v>
      </c>
      <c r="B128" s="710" t="s">
        <v>1575</v>
      </c>
      <c r="C128" s="420" t="s">
        <v>1358</v>
      </c>
      <c r="D128" s="434" t="s">
        <v>1232</v>
      </c>
      <c r="E128" s="588" t="s">
        <v>49</v>
      </c>
      <c r="F128" s="588" t="s">
        <v>48</v>
      </c>
      <c r="G128" s="420"/>
      <c r="H128" s="712" t="s">
        <v>1576</v>
      </c>
      <c r="I128" s="422" t="s">
        <v>75</v>
      </c>
      <c r="J128" s="422">
        <v>2022</v>
      </c>
      <c r="K128" s="420" t="s">
        <v>1521</v>
      </c>
      <c r="L128" s="420" t="s">
        <v>1577</v>
      </c>
      <c r="M128" s="373">
        <v>480</v>
      </c>
      <c r="N128" s="713"/>
      <c r="O128" s="374"/>
      <c r="P128" s="373">
        <v>480</v>
      </c>
      <c r="Q128" s="454"/>
      <c r="R128" s="712" t="s">
        <v>1576</v>
      </c>
      <c r="S128" s="434" t="s">
        <v>1508</v>
      </c>
      <c r="T128" s="434" t="s">
        <v>1232</v>
      </c>
      <c r="U128" s="429"/>
      <c r="V128" s="429"/>
      <c r="W128" s="429"/>
      <c r="X128" s="429"/>
      <c r="Y128" s="145">
        <f t="shared" si="12"/>
        <v>480</v>
      </c>
      <c r="Z128" s="375"/>
      <c r="AA128" s="375"/>
      <c r="AB128" s="370">
        <f t="shared" si="13"/>
        <v>480</v>
      </c>
      <c r="AC128" s="370">
        <v>0</v>
      </c>
      <c r="AD128" s="145"/>
      <c r="AE128" s="145">
        <v>480</v>
      </c>
      <c r="AF128" s="145">
        <f t="shared" si="14"/>
        <v>480</v>
      </c>
      <c r="AG128" s="375"/>
      <c r="AH128" s="375"/>
      <c r="AI128" s="145">
        <f t="shared" si="15"/>
        <v>480</v>
      </c>
      <c r="AJ128" s="145">
        <v>0</v>
      </c>
      <c r="AK128" s="145"/>
      <c r="AL128" s="145">
        <v>480</v>
      </c>
      <c r="AM128" s="375"/>
      <c r="AN128" s="375"/>
      <c r="AO128" s="375"/>
      <c r="AP128" s="375"/>
      <c r="AQ128" s="375"/>
      <c r="AR128" s="375"/>
      <c r="AS128" s="376"/>
      <c r="AT128" s="375"/>
      <c r="AU128" s="145">
        <f t="shared" si="16"/>
        <v>0</v>
      </c>
      <c r="AV128" s="375"/>
      <c r="AW128" s="375"/>
      <c r="AX128" s="145">
        <f t="shared" si="17"/>
        <v>0</v>
      </c>
      <c r="AY128" s="145">
        <v>0</v>
      </c>
      <c r="AZ128" s="375"/>
      <c r="BA128" s="375"/>
      <c r="BB128" s="375"/>
      <c r="BC128" s="375"/>
      <c r="BD128" s="375"/>
      <c r="BE128" s="376"/>
      <c r="BF128" s="376"/>
      <c r="BG128" s="376"/>
      <c r="BH128" s="376"/>
      <c r="BI128" s="376"/>
      <c r="BJ128" s="376"/>
      <c r="BK128" s="376"/>
      <c r="BL128" s="376"/>
      <c r="BM128" s="376"/>
      <c r="BN128" s="376"/>
      <c r="BO128" s="376"/>
      <c r="BP128" s="376"/>
      <c r="BQ128" s="376"/>
      <c r="BR128" s="713"/>
      <c r="BS128" s="713"/>
      <c r="BT128" s="714"/>
    </row>
    <row r="129" spans="1:72" ht="30.75" outlineLevel="1">
      <c r="A129" s="438">
        <v>77</v>
      </c>
      <c r="B129" s="710" t="s">
        <v>1578</v>
      </c>
      <c r="C129" s="420" t="s">
        <v>1338</v>
      </c>
      <c r="D129" s="434" t="s">
        <v>1232</v>
      </c>
      <c r="E129" s="588" t="s">
        <v>49</v>
      </c>
      <c r="F129" s="588" t="s">
        <v>1579</v>
      </c>
      <c r="G129" s="420">
        <v>7932401</v>
      </c>
      <c r="H129" s="712" t="s">
        <v>1240</v>
      </c>
      <c r="I129" s="422">
        <v>2021</v>
      </c>
      <c r="J129" s="422">
        <v>2021</v>
      </c>
      <c r="K129" s="420" t="s">
        <v>1580</v>
      </c>
      <c r="L129" s="420" t="s">
        <v>1581</v>
      </c>
      <c r="M129" s="373">
        <v>1848.1007999999999</v>
      </c>
      <c r="N129" s="713"/>
      <c r="O129" s="374"/>
      <c r="P129" s="373">
        <v>294.83999999999997</v>
      </c>
      <c r="Q129" s="454"/>
      <c r="R129" s="712" t="s">
        <v>1240</v>
      </c>
      <c r="S129" s="434" t="s">
        <v>1230</v>
      </c>
      <c r="T129" s="434" t="s">
        <v>1232</v>
      </c>
      <c r="U129" s="429"/>
      <c r="V129" s="429"/>
      <c r="W129" s="429"/>
      <c r="X129" s="429"/>
      <c r="Y129" s="145">
        <f t="shared" si="12"/>
        <v>281.19</v>
      </c>
      <c r="Z129" s="375"/>
      <c r="AA129" s="375"/>
      <c r="AB129" s="370">
        <f t="shared" si="13"/>
        <v>281.19</v>
      </c>
      <c r="AC129" s="370">
        <v>0</v>
      </c>
      <c r="AD129" s="145">
        <v>8.19</v>
      </c>
      <c r="AE129" s="145">
        <v>273</v>
      </c>
      <c r="AF129" s="145">
        <f t="shared" si="14"/>
        <v>281.19</v>
      </c>
      <c r="AG129" s="375"/>
      <c r="AH129" s="375"/>
      <c r="AI129" s="145">
        <f t="shared" si="15"/>
        <v>281.19</v>
      </c>
      <c r="AJ129" s="145">
        <v>0</v>
      </c>
      <c r="AK129" s="145">
        <v>8.19</v>
      </c>
      <c r="AL129" s="145">
        <v>273</v>
      </c>
      <c r="AM129" s="375"/>
      <c r="AN129" s="375"/>
      <c r="AO129" s="375"/>
      <c r="AP129" s="375"/>
      <c r="AQ129" s="375"/>
      <c r="AR129" s="375"/>
      <c r="AS129" s="376"/>
      <c r="AT129" s="375"/>
      <c r="AU129" s="145">
        <f t="shared" si="16"/>
        <v>0</v>
      </c>
      <c r="AV129" s="375"/>
      <c r="AW129" s="375"/>
      <c r="AX129" s="145">
        <f t="shared" si="17"/>
        <v>0</v>
      </c>
      <c r="AY129" s="145">
        <v>0</v>
      </c>
      <c r="AZ129" s="375"/>
      <c r="BA129" s="375"/>
      <c r="BB129" s="375"/>
      <c r="BC129" s="375"/>
      <c r="BD129" s="375"/>
      <c r="BE129" s="376"/>
      <c r="BF129" s="376"/>
      <c r="BG129" s="376"/>
      <c r="BH129" s="376"/>
      <c r="BI129" s="376"/>
      <c r="BJ129" s="376"/>
      <c r="BK129" s="376"/>
      <c r="BL129" s="376"/>
      <c r="BM129" s="376"/>
      <c r="BN129" s="376"/>
      <c r="BO129" s="376"/>
      <c r="BP129" s="376"/>
      <c r="BQ129" s="376"/>
      <c r="BR129" s="713"/>
      <c r="BS129" s="713"/>
      <c r="BT129" s="714"/>
    </row>
    <row r="130" spans="1:72" ht="30.75" outlineLevel="1">
      <c r="A130" s="438">
        <v>78</v>
      </c>
      <c r="B130" s="710" t="s">
        <v>1582</v>
      </c>
      <c r="C130" s="420" t="s">
        <v>1358</v>
      </c>
      <c r="D130" s="434" t="s">
        <v>1232</v>
      </c>
      <c r="E130" s="588" t="s">
        <v>49</v>
      </c>
      <c r="F130" s="588" t="s">
        <v>1579</v>
      </c>
      <c r="G130" s="422">
        <v>7932402</v>
      </c>
      <c r="H130" s="712" t="s">
        <v>1267</v>
      </c>
      <c r="I130" s="422">
        <v>2021</v>
      </c>
      <c r="J130" s="422">
        <v>2021</v>
      </c>
      <c r="K130" s="420" t="s">
        <v>1580</v>
      </c>
      <c r="L130" s="420" t="s">
        <v>1583</v>
      </c>
      <c r="M130" s="373">
        <v>1360.69</v>
      </c>
      <c r="N130" s="713"/>
      <c r="O130" s="374"/>
      <c r="P130" s="373">
        <v>217.08</v>
      </c>
      <c r="Q130" s="454"/>
      <c r="R130" s="712" t="s">
        <v>1267</v>
      </c>
      <c r="S130" s="434" t="s">
        <v>1230</v>
      </c>
      <c r="T130" s="434" t="s">
        <v>1232</v>
      </c>
      <c r="U130" s="429"/>
      <c r="V130" s="429"/>
      <c r="W130" s="429"/>
      <c r="X130" s="429"/>
      <c r="Y130" s="145">
        <f t="shared" si="12"/>
        <v>207.03</v>
      </c>
      <c r="Z130" s="375"/>
      <c r="AA130" s="375"/>
      <c r="AB130" s="370">
        <f t="shared" si="13"/>
        <v>207.03</v>
      </c>
      <c r="AC130" s="370">
        <v>0</v>
      </c>
      <c r="AD130" s="145">
        <v>6.03</v>
      </c>
      <c r="AE130" s="145">
        <v>201</v>
      </c>
      <c r="AF130" s="145">
        <f t="shared" si="14"/>
        <v>207.03</v>
      </c>
      <c r="AG130" s="375"/>
      <c r="AH130" s="375"/>
      <c r="AI130" s="145">
        <f t="shared" si="15"/>
        <v>207.03</v>
      </c>
      <c r="AJ130" s="145">
        <v>0</v>
      </c>
      <c r="AK130" s="145">
        <v>6.03</v>
      </c>
      <c r="AL130" s="145">
        <v>201</v>
      </c>
      <c r="AM130" s="375"/>
      <c r="AN130" s="375"/>
      <c r="AO130" s="375"/>
      <c r="AP130" s="375"/>
      <c r="AQ130" s="375"/>
      <c r="AR130" s="375"/>
      <c r="AS130" s="376"/>
      <c r="AT130" s="375"/>
      <c r="AU130" s="145">
        <f t="shared" si="16"/>
        <v>0</v>
      </c>
      <c r="AV130" s="375"/>
      <c r="AW130" s="375"/>
      <c r="AX130" s="145">
        <f t="shared" si="17"/>
        <v>0</v>
      </c>
      <c r="AY130" s="145">
        <v>0</v>
      </c>
      <c r="AZ130" s="375"/>
      <c r="BA130" s="375"/>
      <c r="BB130" s="375"/>
      <c r="BC130" s="375"/>
      <c r="BD130" s="375"/>
      <c r="BE130" s="376"/>
      <c r="BF130" s="376"/>
      <c r="BG130" s="376"/>
      <c r="BH130" s="376"/>
      <c r="BI130" s="376"/>
      <c r="BJ130" s="376"/>
      <c r="BK130" s="376"/>
      <c r="BL130" s="376"/>
      <c r="BM130" s="376"/>
      <c r="BN130" s="376"/>
      <c r="BO130" s="376"/>
      <c r="BP130" s="376"/>
      <c r="BQ130" s="376"/>
      <c r="BR130" s="713"/>
      <c r="BS130" s="713"/>
      <c r="BT130" s="714"/>
    </row>
    <row r="131" spans="1:72" ht="30" outlineLevel="1">
      <c r="A131" s="418" t="s">
        <v>44</v>
      </c>
      <c r="B131" s="715" t="s">
        <v>1584</v>
      </c>
      <c r="C131" s="418"/>
      <c r="D131" s="454"/>
      <c r="E131" s="418"/>
      <c r="F131" s="418"/>
      <c r="G131" s="418"/>
      <c r="H131" s="454" t="str">
        <f t="shared" ref="H131" si="18">H132</f>
        <v>TT Măng Đen</v>
      </c>
      <c r="I131" s="418"/>
      <c r="J131" s="418"/>
      <c r="K131" s="418"/>
      <c r="L131" s="418"/>
      <c r="M131" s="429">
        <f>M132</f>
        <v>60810</v>
      </c>
      <c r="N131" s="429">
        <f t="shared" ref="N131:BR131" si="19">N132</f>
        <v>0</v>
      </c>
      <c r="O131" s="429">
        <f t="shared" si="19"/>
        <v>15000</v>
      </c>
      <c r="P131" s="429">
        <f t="shared" si="19"/>
        <v>45810</v>
      </c>
      <c r="Q131" s="454">
        <f t="shared" si="19"/>
        <v>0</v>
      </c>
      <c r="R131" s="454" t="str">
        <f t="shared" si="19"/>
        <v>TT Măng Đen</v>
      </c>
      <c r="S131" s="454" t="str">
        <f t="shared" si="19"/>
        <v>Xã Măng Đen</v>
      </c>
      <c r="T131" s="454" t="str">
        <f t="shared" si="19"/>
        <v>UBND xã Măng Đen</v>
      </c>
      <c r="U131" s="429">
        <f t="shared" si="19"/>
        <v>0</v>
      </c>
      <c r="V131" s="429">
        <f t="shared" si="19"/>
        <v>0</v>
      </c>
      <c r="W131" s="429">
        <f t="shared" si="19"/>
        <v>0</v>
      </c>
      <c r="X131" s="429">
        <f t="shared" si="19"/>
        <v>0</v>
      </c>
      <c r="Y131" s="429">
        <f t="shared" si="19"/>
        <v>45550</v>
      </c>
      <c r="Z131" s="429">
        <f t="shared" si="19"/>
        <v>0</v>
      </c>
      <c r="AA131" s="429">
        <f t="shared" si="19"/>
        <v>0</v>
      </c>
      <c r="AB131" s="429">
        <f t="shared" si="19"/>
        <v>45550</v>
      </c>
      <c r="AC131" s="429">
        <f t="shared" si="19"/>
        <v>0</v>
      </c>
      <c r="AD131" s="429">
        <f t="shared" si="19"/>
        <v>45550</v>
      </c>
      <c r="AE131" s="429">
        <f t="shared" si="19"/>
        <v>0</v>
      </c>
      <c r="AF131" s="429">
        <f t="shared" si="19"/>
        <v>40000</v>
      </c>
      <c r="AG131" s="429">
        <f t="shared" si="19"/>
        <v>0</v>
      </c>
      <c r="AH131" s="429">
        <f t="shared" si="19"/>
        <v>0</v>
      </c>
      <c r="AI131" s="429">
        <f t="shared" si="19"/>
        <v>40000</v>
      </c>
      <c r="AJ131" s="429">
        <f t="shared" si="19"/>
        <v>0</v>
      </c>
      <c r="AK131" s="429">
        <f t="shared" si="19"/>
        <v>40000</v>
      </c>
      <c r="AL131" s="429">
        <f t="shared" si="19"/>
        <v>0</v>
      </c>
      <c r="AM131" s="429">
        <f t="shared" si="19"/>
        <v>513</v>
      </c>
      <c r="AN131" s="429">
        <f t="shared" si="19"/>
        <v>0</v>
      </c>
      <c r="AO131" s="429">
        <f t="shared" si="19"/>
        <v>0</v>
      </c>
      <c r="AP131" s="429">
        <f t="shared" si="19"/>
        <v>513</v>
      </c>
      <c r="AQ131" s="429">
        <f t="shared" si="19"/>
        <v>0</v>
      </c>
      <c r="AR131" s="429">
        <f t="shared" si="19"/>
        <v>0</v>
      </c>
      <c r="AS131" s="429">
        <f t="shared" si="19"/>
        <v>513</v>
      </c>
      <c r="AT131" s="429">
        <f t="shared" si="19"/>
        <v>0</v>
      </c>
      <c r="AU131" s="429">
        <f t="shared" si="19"/>
        <v>1700</v>
      </c>
      <c r="AV131" s="429">
        <f t="shared" si="19"/>
        <v>0</v>
      </c>
      <c r="AW131" s="429">
        <f t="shared" si="19"/>
        <v>0</v>
      </c>
      <c r="AX131" s="429">
        <f t="shared" si="19"/>
        <v>1700</v>
      </c>
      <c r="AY131" s="429">
        <f t="shared" si="19"/>
        <v>0</v>
      </c>
      <c r="AZ131" s="429">
        <f t="shared" si="19"/>
        <v>1700</v>
      </c>
      <c r="BA131" s="429">
        <f t="shared" si="19"/>
        <v>0</v>
      </c>
      <c r="BB131" s="454">
        <f t="shared" si="19"/>
        <v>0</v>
      </c>
      <c r="BC131" s="454">
        <f t="shared" si="19"/>
        <v>0</v>
      </c>
      <c r="BD131" s="454">
        <f t="shared" si="19"/>
        <v>0</v>
      </c>
      <c r="BE131" s="454">
        <f t="shared" si="19"/>
        <v>0</v>
      </c>
      <c r="BF131" s="454">
        <f t="shared" si="19"/>
        <v>0</v>
      </c>
      <c r="BG131" s="454">
        <f t="shared" si="19"/>
        <v>0</v>
      </c>
      <c r="BH131" s="454">
        <f t="shared" si="19"/>
        <v>0</v>
      </c>
      <c r="BI131" s="454">
        <f t="shared" si="19"/>
        <v>0</v>
      </c>
      <c r="BJ131" s="454">
        <f t="shared" si="19"/>
        <v>0</v>
      </c>
      <c r="BK131" s="454">
        <f t="shared" si="19"/>
        <v>0</v>
      </c>
      <c r="BL131" s="454">
        <f t="shared" si="19"/>
        <v>0</v>
      </c>
      <c r="BM131" s="454">
        <f t="shared" si="19"/>
        <v>0</v>
      </c>
      <c r="BN131" s="454">
        <f t="shared" si="19"/>
        <v>0</v>
      </c>
      <c r="BO131" s="454">
        <f t="shared" si="19"/>
        <v>0</v>
      </c>
      <c r="BP131" s="454">
        <f t="shared" si="19"/>
        <v>0</v>
      </c>
      <c r="BQ131" s="454">
        <f t="shared" si="19"/>
        <v>0</v>
      </c>
      <c r="BR131" s="454">
        <f t="shared" si="19"/>
        <v>0</v>
      </c>
      <c r="BS131" s="454"/>
      <c r="BT131" s="454"/>
    </row>
    <row r="132" spans="1:72" ht="30.75" outlineLevel="1">
      <c r="A132" s="438">
        <v>1</v>
      </c>
      <c r="B132" s="710" t="s">
        <v>1585</v>
      </c>
      <c r="C132" s="420" t="s">
        <v>1238</v>
      </c>
      <c r="D132" s="377" t="s">
        <v>1232</v>
      </c>
      <c r="E132" s="588" t="s">
        <v>49</v>
      </c>
      <c r="F132" s="588" t="s">
        <v>48</v>
      </c>
      <c r="G132" s="588">
        <v>7930585</v>
      </c>
      <c r="H132" s="712" t="s">
        <v>1233</v>
      </c>
      <c r="I132" s="712" t="s">
        <v>52</v>
      </c>
      <c r="J132" s="424">
        <v>2022</v>
      </c>
      <c r="K132" s="420" t="s">
        <v>1586</v>
      </c>
      <c r="L132" s="428" t="s">
        <v>1587</v>
      </c>
      <c r="M132" s="368">
        <v>60810</v>
      </c>
      <c r="N132" s="448"/>
      <c r="O132" s="448">
        <v>15000</v>
      </c>
      <c r="P132" s="368">
        <v>45810</v>
      </c>
      <c r="Q132" s="434"/>
      <c r="R132" s="712" t="s">
        <v>1233</v>
      </c>
      <c r="S132" s="434" t="s">
        <v>1230</v>
      </c>
      <c r="T132" s="377" t="s">
        <v>1232</v>
      </c>
      <c r="U132" s="462"/>
      <c r="V132" s="462"/>
      <c r="W132" s="462"/>
      <c r="X132" s="462"/>
      <c r="Y132" s="145">
        <f t="shared" si="12"/>
        <v>45550</v>
      </c>
      <c r="Z132" s="145"/>
      <c r="AA132" s="145"/>
      <c r="AB132" s="370">
        <f t="shared" si="13"/>
        <v>45550</v>
      </c>
      <c r="AC132" s="370">
        <v>0</v>
      </c>
      <c r="AD132" s="145">
        <v>45550</v>
      </c>
      <c r="AE132" s="145"/>
      <c r="AF132" s="145">
        <f t="shared" si="14"/>
        <v>40000</v>
      </c>
      <c r="AG132" s="145"/>
      <c r="AH132" s="145"/>
      <c r="AI132" s="145">
        <f t="shared" si="15"/>
        <v>40000</v>
      </c>
      <c r="AJ132" s="145">
        <v>0</v>
      </c>
      <c r="AK132" s="145">
        <v>40000</v>
      </c>
      <c r="AL132" s="145"/>
      <c r="AM132" s="145">
        <v>513</v>
      </c>
      <c r="AN132" s="145"/>
      <c r="AO132" s="145"/>
      <c r="AP132" s="145">
        <v>513</v>
      </c>
      <c r="AQ132" s="145"/>
      <c r="AR132" s="145"/>
      <c r="AS132" s="145">
        <v>513</v>
      </c>
      <c r="AT132" s="145"/>
      <c r="AU132" s="145">
        <f t="shared" si="16"/>
        <v>1700</v>
      </c>
      <c r="AV132" s="145"/>
      <c r="AW132" s="145"/>
      <c r="AX132" s="145">
        <f t="shared" si="17"/>
        <v>1700</v>
      </c>
      <c r="AY132" s="145">
        <v>0</v>
      </c>
      <c r="AZ132" s="145">
        <v>1700</v>
      </c>
      <c r="BA132" s="145"/>
      <c r="BB132" s="145"/>
      <c r="BC132" s="145"/>
      <c r="BD132" s="145"/>
      <c r="BE132" s="370"/>
      <c r="BF132" s="370"/>
      <c r="BG132" s="370"/>
      <c r="BH132" s="145"/>
      <c r="BI132" s="370"/>
      <c r="BJ132" s="370"/>
      <c r="BK132" s="370"/>
      <c r="BL132" s="370"/>
      <c r="BM132" s="145"/>
      <c r="BN132" s="370"/>
      <c r="BO132" s="370"/>
      <c r="BP132" s="370"/>
      <c r="BQ132" s="145"/>
      <c r="BR132" s="716"/>
      <c r="BS132" s="716"/>
      <c r="BT132" s="716"/>
    </row>
    <row r="133" spans="1:72" ht="31.5" customHeight="1">
      <c r="A133" s="418" t="s">
        <v>13</v>
      </c>
      <c r="B133" s="418" t="s">
        <v>1588</v>
      </c>
      <c r="C133" s="418"/>
      <c r="D133" s="454"/>
      <c r="E133" s="730"/>
      <c r="F133" s="730"/>
      <c r="G133" s="731"/>
      <c r="H133" s="555"/>
      <c r="I133" s="551"/>
      <c r="J133" s="551"/>
      <c r="K133" s="730"/>
      <c r="L133" s="730"/>
      <c r="M133" s="713">
        <f>M134+M152+M155</f>
        <v>79823.749599999996</v>
      </c>
      <c r="N133" s="713">
        <f t="shared" ref="N133:BR133" si="20">N134+N152+N155</f>
        <v>12362</v>
      </c>
      <c r="O133" s="713">
        <f t="shared" si="20"/>
        <v>0</v>
      </c>
      <c r="P133" s="713">
        <f t="shared" si="20"/>
        <v>58651.354000000007</v>
      </c>
      <c r="Q133" s="555">
        <f t="shared" si="20"/>
        <v>0</v>
      </c>
      <c r="R133" s="555"/>
      <c r="S133" s="555"/>
      <c r="T133" s="555"/>
      <c r="U133" s="713">
        <f t="shared" si="20"/>
        <v>0</v>
      </c>
      <c r="V133" s="713">
        <f t="shared" si="20"/>
        <v>0</v>
      </c>
      <c r="W133" s="713">
        <f t="shared" si="20"/>
        <v>0</v>
      </c>
      <c r="X133" s="713">
        <f t="shared" si="20"/>
        <v>0</v>
      </c>
      <c r="Y133" s="713">
        <f t="shared" si="20"/>
        <v>30911.684000000001</v>
      </c>
      <c r="Z133" s="713">
        <f t="shared" si="20"/>
        <v>0</v>
      </c>
      <c r="AA133" s="713">
        <f t="shared" si="20"/>
        <v>0</v>
      </c>
      <c r="AB133" s="713">
        <f t="shared" si="20"/>
        <v>30911.684000000001</v>
      </c>
      <c r="AC133" s="713">
        <f t="shared" si="20"/>
        <v>5384.7550000000001</v>
      </c>
      <c r="AD133" s="713">
        <f t="shared" si="20"/>
        <v>5021.9290000000001</v>
      </c>
      <c r="AE133" s="713">
        <f t="shared" si="20"/>
        <v>20505</v>
      </c>
      <c r="AF133" s="713">
        <f t="shared" si="20"/>
        <v>29351.364000000001</v>
      </c>
      <c r="AG133" s="713">
        <f t="shared" si="20"/>
        <v>0</v>
      </c>
      <c r="AH133" s="713">
        <f t="shared" si="20"/>
        <v>0</v>
      </c>
      <c r="AI133" s="713">
        <f t="shared" si="20"/>
        <v>29351.364000000001</v>
      </c>
      <c r="AJ133" s="713">
        <f t="shared" si="20"/>
        <v>3486.9349999999999</v>
      </c>
      <c r="AK133" s="713">
        <f t="shared" si="20"/>
        <v>5021.9290000000001</v>
      </c>
      <c r="AL133" s="713">
        <f t="shared" si="20"/>
        <v>20842.5</v>
      </c>
      <c r="AM133" s="713">
        <f t="shared" si="20"/>
        <v>8896.4943519999997</v>
      </c>
      <c r="AN133" s="713">
        <f t="shared" si="20"/>
        <v>0</v>
      </c>
      <c r="AO133" s="713">
        <f t="shared" si="20"/>
        <v>323.346902</v>
      </c>
      <c r="AP133" s="713">
        <f t="shared" si="20"/>
        <v>8573.1474500000004</v>
      </c>
      <c r="AQ133" s="713">
        <f t="shared" si="20"/>
        <v>4414.58</v>
      </c>
      <c r="AR133" s="713">
        <f t="shared" si="20"/>
        <v>0</v>
      </c>
      <c r="AS133" s="713">
        <f t="shared" si="20"/>
        <v>4158.5674499999996</v>
      </c>
      <c r="AT133" s="713">
        <f t="shared" si="20"/>
        <v>323.346902</v>
      </c>
      <c r="AU133" s="713">
        <f t="shared" si="20"/>
        <v>1503.32</v>
      </c>
      <c r="AV133" s="713">
        <f t="shared" si="20"/>
        <v>0</v>
      </c>
      <c r="AW133" s="713">
        <f t="shared" si="20"/>
        <v>0</v>
      </c>
      <c r="AX133" s="713">
        <f t="shared" si="20"/>
        <v>1503.32</v>
      </c>
      <c r="AY133" s="713">
        <f t="shared" si="20"/>
        <v>1503.32</v>
      </c>
      <c r="AZ133" s="713">
        <f t="shared" si="20"/>
        <v>0</v>
      </c>
      <c r="BA133" s="713">
        <f t="shared" si="20"/>
        <v>0</v>
      </c>
      <c r="BB133" s="555">
        <f t="shared" si="20"/>
        <v>1865.58</v>
      </c>
      <c r="BC133" s="555">
        <f t="shared" si="20"/>
        <v>0</v>
      </c>
      <c r="BD133" s="555">
        <f t="shared" si="20"/>
        <v>0</v>
      </c>
      <c r="BE133" s="555">
        <f t="shared" si="20"/>
        <v>1865.58</v>
      </c>
      <c r="BF133" s="555">
        <f t="shared" si="20"/>
        <v>1865.58</v>
      </c>
      <c r="BG133" s="555">
        <f t="shared" si="20"/>
        <v>0</v>
      </c>
      <c r="BH133" s="555">
        <f t="shared" si="20"/>
        <v>0</v>
      </c>
      <c r="BI133" s="555">
        <f t="shared" si="20"/>
        <v>0</v>
      </c>
      <c r="BJ133" s="555">
        <f t="shared" si="20"/>
        <v>0</v>
      </c>
      <c r="BK133" s="555">
        <f t="shared" si="20"/>
        <v>0</v>
      </c>
      <c r="BL133" s="555">
        <f t="shared" si="20"/>
        <v>0</v>
      </c>
      <c r="BM133" s="555">
        <f t="shared" si="20"/>
        <v>0</v>
      </c>
      <c r="BN133" s="555">
        <f t="shared" si="20"/>
        <v>0</v>
      </c>
      <c r="BO133" s="555">
        <f t="shared" si="20"/>
        <v>0</v>
      </c>
      <c r="BP133" s="555">
        <f t="shared" si="20"/>
        <v>0</v>
      </c>
      <c r="BQ133" s="555">
        <f t="shared" si="20"/>
        <v>0</v>
      </c>
      <c r="BR133" s="555">
        <f t="shared" si="20"/>
        <v>0</v>
      </c>
      <c r="BS133" s="555"/>
      <c r="BT133" s="555"/>
    </row>
    <row r="134" spans="1:72" ht="31.5" customHeight="1" outlineLevel="1">
      <c r="A134" s="553" t="s">
        <v>45</v>
      </c>
      <c r="B134" s="715" t="s">
        <v>46</v>
      </c>
      <c r="C134" s="418"/>
      <c r="D134" s="454"/>
      <c r="E134" s="418"/>
      <c r="F134" s="418"/>
      <c r="G134" s="418"/>
      <c r="H134" s="454"/>
      <c r="I134" s="418"/>
      <c r="J134" s="418"/>
      <c r="K134" s="418"/>
      <c r="L134" s="418"/>
      <c r="M134" s="429">
        <f>SUM(M135:M151)</f>
        <v>33225.741999999998</v>
      </c>
      <c r="N134" s="429">
        <f t="shared" ref="N134:BR134" si="21">SUM(N135:N151)</f>
        <v>10725</v>
      </c>
      <c r="O134" s="429">
        <f t="shared" si="21"/>
        <v>0</v>
      </c>
      <c r="P134" s="429">
        <f t="shared" si="21"/>
        <v>22404.741999999998</v>
      </c>
      <c r="Q134" s="454">
        <f t="shared" si="21"/>
        <v>0</v>
      </c>
      <c r="R134" s="454"/>
      <c r="S134" s="454"/>
      <c r="T134" s="454"/>
      <c r="U134" s="429">
        <f t="shared" si="21"/>
        <v>0</v>
      </c>
      <c r="V134" s="429">
        <f t="shared" si="21"/>
        <v>0</v>
      </c>
      <c r="W134" s="429">
        <f t="shared" si="21"/>
        <v>0</v>
      </c>
      <c r="X134" s="429">
        <f t="shared" si="21"/>
        <v>0</v>
      </c>
      <c r="Y134" s="429">
        <f t="shared" si="21"/>
        <v>215.255</v>
      </c>
      <c r="Z134" s="429">
        <f t="shared" si="21"/>
        <v>0</v>
      </c>
      <c r="AA134" s="429">
        <f t="shared" si="21"/>
        <v>0</v>
      </c>
      <c r="AB134" s="429">
        <f t="shared" si="21"/>
        <v>215.255</v>
      </c>
      <c r="AC134" s="429">
        <f t="shared" si="21"/>
        <v>215.255</v>
      </c>
      <c r="AD134" s="429">
        <f t="shared" si="21"/>
        <v>0</v>
      </c>
      <c r="AE134" s="429">
        <f t="shared" si="21"/>
        <v>0</v>
      </c>
      <c r="AF134" s="429">
        <f t="shared" si="21"/>
        <v>71.935000000000002</v>
      </c>
      <c r="AG134" s="429">
        <f t="shared" si="21"/>
        <v>0</v>
      </c>
      <c r="AH134" s="429">
        <f t="shared" si="21"/>
        <v>0</v>
      </c>
      <c r="AI134" s="429">
        <f t="shared" si="21"/>
        <v>71.935000000000002</v>
      </c>
      <c r="AJ134" s="429">
        <f t="shared" si="21"/>
        <v>71.935000000000002</v>
      </c>
      <c r="AK134" s="429">
        <f t="shared" si="21"/>
        <v>0</v>
      </c>
      <c r="AL134" s="429">
        <f t="shared" si="21"/>
        <v>0</v>
      </c>
      <c r="AM134" s="429">
        <f t="shared" si="21"/>
        <v>0</v>
      </c>
      <c r="AN134" s="429">
        <f t="shared" si="21"/>
        <v>0</v>
      </c>
      <c r="AO134" s="429">
        <f t="shared" si="21"/>
        <v>0</v>
      </c>
      <c r="AP134" s="429">
        <f t="shared" si="21"/>
        <v>0</v>
      </c>
      <c r="AQ134" s="429">
        <f t="shared" si="21"/>
        <v>0</v>
      </c>
      <c r="AR134" s="429">
        <f t="shared" si="21"/>
        <v>0</v>
      </c>
      <c r="AS134" s="429">
        <f t="shared" si="21"/>
        <v>0</v>
      </c>
      <c r="AT134" s="429">
        <f t="shared" si="21"/>
        <v>0</v>
      </c>
      <c r="AU134" s="429">
        <f t="shared" si="21"/>
        <v>143.32</v>
      </c>
      <c r="AV134" s="429">
        <f t="shared" si="21"/>
        <v>0</v>
      </c>
      <c r="AW134" s="429">
        <f t="shared" si="21"/>
        <v>0</v>
      </c>
      <c r="AX134" s="429">
        <f t="shared" si="21"/>
        <v>143.32</v>
      </c>
      <c r="AY134" s="429">
        <f t="shared" si="21"/>
        <v>143.32</v>
      </c>
      <c r="AZ134" s="429">
        <f t="shared" si="21"/>
        <v>0</v>
      </c>
      <c r="BA134" s="429">
        <f t="shared" si="21"/>
        <v>0</v>
      </c>
      <c r="BB134" s="454">
        <f t="shared" si="21"/>
        <v>0</v>
      </c>
      <c r="BC134" s="454">
        <f t="shared" si="21"/>
        <v>0</v>
      </c>
      <c r="BD134" s="454">
        <f t="shared" si="21"/>
        <v>0</v>
      </c>
      <c r="BE134" s="454">
        <f t="shared" si="21"/>
        <v>0</v>
      </c>
      <c r="BF134" s="454">
        <f t="shared" si="21"/>
        <v>0</v>
      </c>
      <c r="BG134" s="454">
        <f t="shared" si="21"/>
        <v>0</v>
      </c>
      <c r="BH134" s="454">
        <f t="shared" si="21"/>
        <v>0</v>
      </c>
      <c r="BI134" s="454">
        <f t="shared" si="21"/>
        <v>0</v>
      </c>
      <c r="BJ134" s="454">
        <f t="shared" si="21"/>
        <v>0</v>
      </c>
      <c r="BK134" s="454">
        <f t="shared" si="21"/>
        <v>0</v>
      </c>
      <c r="BL134" s="454">
        <f t="shared" si="21"/>
        <v>0</v>
      </c>
      <c r="BM134" s="454">
        <f t="shared" si="21"/>
        <v>0</v>
      </c>
      <c r="BN134" s="454">
        <f t="shared" si="21"/>
        <v>0</v>
      </c>
      <c r="BO134" s="454">
        <f t="shared" si="21"/>
        <v>0</v>
      </c>
      <c r="BP134" s="454">
        <f t="shared" si="21"/>
        <v>0</v>
      </c>
      <c r="BQ134" s="454">
        <f t="shared" si="21"/>
        <v>0</v>
      </c>
      <c r="BR134" s="454">
        <f t="shared" si="21"/>
        <v>0</v>
      </c>
      <c r="BS134" s="454"/>
      <c r="BT134" s="454"/>
    </row>
    <row r="135" spans="1:72" ht="30.75" outlineLevel="1">
      <c r="A135" s="420">
        <v>1</v>
      </c>
      <c r="B135" s="710" t="s">
        <v>1589</v>
      </c>
      <c r="C135" s="420" t="s">
        <v>1238</v>
      </c>
      <c r="D135" s="434" t="s">
        <v>1590</v>
      </c>
      <c r="E135" s="588" t="s">
        <v>49</v>
      </c>
      <c r="F135" s="588" t="s">
        <v>105</v>
      </c>
      <c r="G135" s="422" t="s">
        <v>1591</v>
      </c>
      <c r="H135" s="434" t="s">
        <v>1592</v>
      </c>
      <c r="I135" s="422">
        <v>2020</v>
      </c>
      <c r="J135" s="422">
        <v>2020</v>
      </c>
      <c r="K135" s="588" t="s">
        <v>1241</v>
      </c>
      <c r="L135" s="588" t="s">
        <v>1593</v>
      </c>
      <c r="M135" s="373">
        <v>3115</v>
      </c>
      <c r="N135" s="448"/>
      <c r="O135" s="448"/>
      <c r="P135" s="373">
        <v>3115</v>
      </c>
      <c r="Q135" s="434" t="s">
        <v>1594</v>
      </c>
      <c r="R135" s="434" t="s">
        <v>1592</v>
      </c>
      <c r="S135" s="434" t="s">
        <v>1588</v>
      </c>
      <c r="T135" s="434" t="s">
        <v>1590</v>
      </c>
      <c r="U135" s="462"/>
      <c r="V135" s="462"/>
      <c r="W135" s="462"/>
      <c r="X135" s="462"/>
      <c r="Y135" s="145">
        <f t="shared" si="12"/>
        <v>17.754999999999999</v>
      </c>
      <c r="Z135" s="145"/>
      <c r="AA135" s="145"/>
      <c r="AB135" s="370">
        <f t="shared" si="13"/>
        <v>17.754999999999999</v>
      </c>
      <c r="AC135" s="370">
        <v>17.754999999999999</v>
      </c>
      <c r="AD135" s="145"/>
      <c r="AE135" s="145"/>
      <c r="AF135" s="145">
        <f t="shared" si="14"/>
        <v>17.754999999999999</v>
      </c>
      <c r="AG135" s="145"/>
      <c r="AH135" s="145"/>
      <c r="AI135" s="145">
        <f t="shared" si="15"/>
        <v>17.754999999999999</v>
      </c>
      <c r="AJ135" s="145">
        <v>17.754999999999999</v>
      </c>
      <c r="AK135" s="145"/>
      <c r="AL135" s="145"/>
      <c r="AM135" s="145"/>
      <c r="AN135" s="145"/>
      <c r="AO135" s="145"/>
      <c r="AP135" s="145"/>
      <c r="AQ135" s="370"/>
      <c r="AR135" s="145"/>
      <c r="AS135" s="145"/>
      <c r="AT135" s="145"/>
      <c r="AU135" s="145">
        <f t="shared" si="16"/>
        <v>0</v>
      </c>
      <c r="AV135" s="145"/>
      <c r="AW135" s="145"/>
      <c r="AX135" s="145">
        <f t="shared" si="17"/>
        <v>0</v>
      </c>
      <c r="AY135" s="145">
        <v>0</v>
      </c>
      <c r="AZ135" s="145"/>
      <c r="BA135" s="145"/>
      <c r="BB135" s="145"/>
      <c r="BC135" s="145"/>
      <c r="BD135" s="145"/>
      <c r="BE135" s="145"/>
      <c r="BF135" s="370"/>
      <c r="BG135" s="145"/>
      <c r="BH135" s="145"/>
      <c r="BI135" s="145"/>
      <c r="BJ135" s="145"/>
      <c r="BK135" s="145"/>
      <c r="BL135" s="145"/>
      <c r="BM135" s="370"/>
      <c r="BN135" s="145"/>
      <c r="BO135" s="145"/>
      <c r="BP135" s="145"/>
      <c r="BQ135" s="370"/>
      <c r="BR135" s="433"/>
      <c r="BS135" s="433"/>
      <c r="BT135" s="424"/>
    </row>
    <row r="136" spans="1:72" ht="30.75" outlineLevel="1">
      <c r="A136" s="420">
        <v>2</v>
      </c>
      <c r="B136" s="710" t="s">
        <v>1595</v>
      </c>
      <c r="C136" s="420" t="s">
        <v>1238</v>
      </c>
      <c r="D136" s="434" t="s">
        <v>1590</v>
      </c>
      <c r="E136" s="588" t="s">
        <v>49</v>
      </c>
      <c r="F136" s="588" t="s">
        <v>105</v>
      </c>
      <c r="G136" s="422" t="s">
        <v>1596</v>
      </c>
      <c r="H136" s="434" t="s">
        <v>1597</v>
      </c>
      <c r="I136" s="422">
        <v>2020</v>
      </c>
      <c r="J136" s="422">
        <v>2020</v>
      </c>
      <c r="K136" s="588" t="s">
        <v>1241</v>
      </c>
      <c r="L136" s="588" t="s">
        <v>1598</v>
      </c>
      <c r="M136" s="373">
        <v>3365</v>
      </c>
      <c r="N136" s="448"/>
      <c r="O136" s="448"/>
      <c r="P136" s="373">
        <v>3365</v>
      </c>
      <c r="Q136" s="434" t="s">
        <v>1599</v>
      </c>
      <c r="R136" s="434" t="s">
        <v>1597</v>
      </c>
      <c r="S136" s="434" t="s">
        <v>1588</v>
      </c>
      <c r="T136" s="434" t="s">
        <v>1590</v>
      </c>
      <c r="U136" s="462"/>
      <c r="V136" s="462"/>
      <c r="W136" s="462"/>
      <c r="X136" s="462"/>
      <c r="Y136" s="145">
        <f t="shared" si="12"/>
        <v>19.18</v>
      </c>
      <c r="Z136" s="145"/>
      <c r="AA136" s="145"/>
      <c r="AB136" s="370">
        <f t="shared" si="13"/>
        <v>19.18</v>
      </c>
      <c r="AC136" s="370">
        <v>19.18</v>
      </c>
      <c r="AD136" s="145"/>
      <c r="AE136" s="145"/>
      <c r="AF136" s="145">
        <f t="shared" si="14"/>
        <v>19.18</v>
      </c>
      <c r="AG136" s="145"/>
      <c r="AH136" s="145"/>
      <c r="AI136" s="145">
        <f t="shared" si="15"/>
        <v>19.18</v>
      </c>
      <c r="AJ136" s="145">
        <v>19.18</v>
      </c>
      <c r="AK136" s="145"/>
      <c r="AL136" s="145"/>
      <c r="AM136" s="145"/>
      <c r="AN136" s="145"/>
      <c r="AO136" s="145"/>
      <c r="AP136" s="145"/>
      <c r="AQ136" s="370"/>
      <c r="AR136" s="145"/>
      <c r="AS136" s="145"/>
      <c r="AT136" s="145"/>
      <c r="AU136" s="145">
        <f t="shared" si="16"/>
        <v>0</v>
      </c>
      <c r="AV136" s="145"/>
      <c r="AW136" s="145"/>
      <c r="AX136" s="145">
        <f t="shared" si="17"/>
        <v>0</v>
      </c>
      <c r="AY136" s="145">
        <v>0</v>
      </c>
      <c r="AZ136" s="145"/>
      <c r="BA136" s="145"/>
      <c r="BB136" s="145"/>
      <c r="BC136" s="145"/>
      <c r="BD136" s="145"/>
      <c r="BE136" s="145"/>
      <c r="BF136" s="370"/>
      <c r="BG136" s="145"/>
      <c r="BH136" s="145"/>
      <c r="BI136" s="145"/>
      <c r="BJ136" s="145"/>
      <c r="BK136" s="145"/>
      <c r="BL136" s="145"/>
      <c r="BM136" s="370"/>
      <c r="BN136" s="145"/>
      <c r="BO136" s="145"/>
      <c r="BP136" s="145"/>
      <c r="BQ136" s="370"/>
      <c r="BR136" s="433"/>
      <c r="BS136" s="433"/>
      <c r="BT136" s="424"/>
    </row>
    <row r="137" spans="1:72" ht="30.75" outlineLevel="1">
      <c r="A137" s="420">
        <v>3</v>
      </c>
      <c r="B137" s="710" t="s">
        <v>1600</v>
      </c>
      <c r="C137" s="420" t="s">
        <v>1238</v>
      </c>
      <c r="D137" s="434" t="s">
        <v>1590</v>
      </c>
      <c r="E137" s="588" t="s">
        <v>49</v>
      </c>
      <c r="F137" s="588" t="s">
        <v>48</v>
      </c>
      <c r="G137" s="420">
        <v>7790793</v>
      </c>
      <c r="H137" s="434" t="s">
        <v>1592</v>
      </c>
      <c r="I137" s="712" t="s">
        <v>69</v>
      </c>
      <c r="J137" s="422">
        <v>2020</v>
      </c>
      <c r="K137" s="420" t="s">
        <v>1277</v>
      </c>
      <c r="L137" s="420" t="s">
        <v>1601</v>
      </c>
      <c r="M137" s="448">
        <v>7713.2420000000002</v>
      </c>
      <c r="N137" s="448"/>
      <c r="O137" s="448"/>
      <c r="P137" s="448">
        <v>7713.2420000000002</v>
      </c>
      <c r="Q137" s="434"/>
      <c r="R137" s="434" t="s">
        <v>1592</v>
      </c>
      <c r="S137" s="434" t="s">
        <v>1588</v>
      </c>
      <c r="T137" s="434" t="s">
        <v>1590</v>
      </c>
      <c r="U137" s="462"/>
      <c r="V137" s="462"/>
      <c r="W137" s="462"/>
      <c r="X137" s="462"/>
      <c r="Y137" s="145">
        <f t="shared" si="12"/>
        <v>35</v>
      </c>
      <c r="Z137" s="145"/>
      <c r="AA137" s="145"/>
      <c r="AB137" s="370">
        <f t="shared" si="13"/>
        <v>35</v>
      </c>
      <c r="AC137" s="370">
        <v>35</v>
      </c>
      <c r="AD137" s="145"/>
      <c r="AE137" s="145"/>
      <c r="AF137" s="145">
        <f t="shared" si="14"/>
        <v>35</v>
      </c>
      <c r="AG137" s="145"/>
      <c r="AH137" s="145"/>
      <c r="AI137" s="145">
        <f t="shared" si="15"/>
        <v>35</v>
      </c>
      <c r="AJ137" s="145">
        <v>35</v>
      </c>
      <c r="AK137" s="145"/>
      <c r="AL137" s="145"/>
      <c r="AM137" s="145"/>
      <c r="AN137" s="145"/>
      <c r="AO137" s="145"/>
      <c r="AP137" s="145"/>
      <c r="AQ137" s="370"/>
      <c r="AR137" s="145"/>
      <c r="AS137" s="145"/>
      <c r="AT137" s="145"/>
      <c r="AU137" s="145">
        <f t="shared" si="16"/>
        <v>0</v>
      </c>
      <c r="AV137" s="145"/>
      <c r="AW137" s="145"/>
      <c r="AX137" s="145">
        <f t="shared" si="17"/>
        <v>0</v>
      </c>
      <c r="AY137" s="145">
        <v>0</v>
      </c>
      <c r="AZ137" s="145"/>
      <c r="BA137" s="145"/>
      <c r="BB137" s="145"/>
      <c r="BC137" s="145"/>
      <c r="BD137" s="145"/>
      <c r="BE137" s="145"/>
      <c r="BF137" s="370"/>
      <c r="BG137" s="145"/>
      <c r="BH137" s="145"/>
      <c r="BI137" s="145"/>
      <c r="BJ137" s="145"/>
      <c r="BK137" s="145"/>
      <c r="BL137" s="145"/>
      <c r="BM137" s="370"/>
      <c r="BN137" s="145"/>
      <c r="BO137" s="145"/>
      <c r="BP137" s="145"/>
      <c r="BQ137" s="370"/>
      <c r="BR137" s="433"/>
      <c r="BS137" s="433"/>
      <c r="BT137" s="424"/>
    </row>
    <row r="138" spans="1:72" ht="30.75" outlineLevel="1">
      <c r="A138" s="420">
        <v>4</v>
      </c>
      <c r="B138" s="710" t="s">
        <v>1602</v>
      </c>
      <c r="C138" s="420" t="s">
        <v>1238</v>
      </c>
      <c r="D138" s="434" t="s">
        <v>1590</v>
      </c>
      <c r="E138" s="588" t="s">
        <v>49</v>
      </c>
      <c r="F138" s="588" t="s">
        <v>55</v>
      </c>
      <c r="G138" s="733" t="s">
        <v>1603</v>
      </c>
      <c r="H138" s="433" t="s">
        <v>1597</v>
      </c>
      <c r="I138" s="712" t="s">
        <v>75</v>
      </c>
      <c r="J138" s="424">
        <v>2022</v>
      </c>
      <c r="K138" s="420" t="s">
        <v>1375</v>
      </c>
      <c r="L138" s="438" t="s">
        <v>1604</v>
      </c>
      <c r="M138" s="373">
        <v>700</v>
      </c>
      <c r="N138" s="713"/>
      <c r="O138" s="374"/>
      <c r="P138" s="373">
        <v>700</v>
      </c>
      <c r="Q138" s="434" t="s">
        <v>1605</v>
      </c>
      <c r="R138" s="433" t="s">
        <v>1597</v>
      </c>
      <c r="S138" s="434" t="s">
        <v>1588</v>
      </c>
      <c r="T138" s="434" t="s">
        <v>1590</v>
      </c>
      <c r="U138" s="462"/>
      <c r="V138" s="462"/>
      <c r="W138" s="462"/>
      <c r="X138" s="462"/>
      <c r="Y138" s="145">
        <f t="shared" si="12"/>
        <v>3.7759999999999998</v>
      </c>
      <c r="Z138" s="145"/>
      <c r="AA138" s="145"/>
      <c r="AB138" s="370">
        <f t="shared" si="13"/>
        <v>3.7759999999999998</v>
      </c>
      <c r="AC138" s="370">
        <v>3.7759999999999998</v>
      </c>
      <c r="AD138" s="145"/>
      <c r="AE138" s="145"/>
      <c r="AF138" s="145">
        <f t="shared" si="14"/>
        <v>0</v>
      </c>
      <c r="AG138" s="145"/>
      <c r="AH138" s="145"/>
      <c r="AI138" s="145">
        <f t="shared" si="15"/>
        <v>0</v>
      </c>
      <c r="AJ138" s="145">
        <v>0</v>
      </c>
      <c r="AK138" s="145"/>
      <c r="AL138" s="145"/>
      <c r="AM138" s="145"/>
      <c r="AN138" s="145"/>
      <c r="AO138" s="145"/>
      <c r="AP138" s="145"/>
      <c r="AQ138" s="370"/>
      <c r="AR138" s="145"/>
      <c r="AS138" s="145"/>
      <c r="AT138" s="145"/>
      <c r="AU138" s="145">
        <f t="shared" si="16"/>
        <v>3.7759999999999998</v>
      </c>
      <c r="AV138" s="145"/>
      <c r="AW138" s="145"/>
      <c r="AX138" s="145">
        <f t="shared" si="17"/>
        <v>3.7759999999999998</v>
      </c>
      <c r="AY138" s="145">
        <v>3.7759999999999998</v>
      </c>
      <c r="AZ138" s="145"/>
      <c r="BA138" s="145"/>
      <c r="BB138" s="145"/>
      <c r="BC138" s="145"/>
      <c r="BD138" s="145"/>
      <c r="BE138" s="145"/>
      <c r="BF138" s="370"/>
      <c r="BG138" s="145"/>
      <c r="BH138" s="145"/>
      <c r="BI138" s="145"/>
      <c r="BJ138" s="145"/>
      <c r="BK138" s="145"/>
      <c r="BL138" s="145"/>
      <c r="BM138" s="370"/>
      <c r="BN138" s="145"/>
      <c r="BO138" s="145"/>
      <c r="BP138" s="145"/>
      <c r="BQ138" s="370"/>
      <c r="BR138" s="433"/>
      <c r="BS138" s="433"/>
      <c r="BT138" s="424"/>
    </row>
    <row r="139" spans="1:72" ht="30.75" outlineLevel="1">
      <c r="A139" s="420">
        <v>5</v>
      </c>
      <c r="B139" s="710" t="s">
        <v>1606</v>
      </c>
      <c r="C139" s="420" t="s">
        <v>1238</v>
      </c>
      <c r="D139" s="434" t="s">
        <v>1590</v>
      </c>
      <c r="E139" s="588" t="s">
        <v>49</v>
      </c>
      <c r="F139" s="588" t="s">
        <v>55</v>
      </c>
      <c r="G139" s="733" t="s">
        <v>1607</v>
      </c>
      <c r="H139" s="434" t="s">
        <v>1592</v>
      </c>
      <c r="I139" s="422">
        <v>2023</v>
      </c>
      <c r="J139" s="422">
        <v>2023</v>
      </c>
      <c r="K139" s="420" t="s">
        <v>1608</v>
      </c>
      <c r="L139" s="420" t="s">
        <v>1609</v>
      </c>
      <c r="M139" s="448">
        <v>450</v>
      </c>
      <c r="N139" s="448"/>
      <c r="O139" s="448"/>
      <c r="P139" s="448">
        <v>450</v>
      </c>
      <c r="Q139" s="434" t="s">
        <v>1610</v>
      </c>
      <c r="R139" s="434" t="s">
        <v>1592</v>
      </c>
      <c r="S139" s="434" t="s">
        <v>1588</v>
      </c>
      <c r="T139" s="434" t="s">
        <v>1590</v>
      </c>
      <c r="U139" s="462"/>
      <c r="V139" s="462"/>
      <c r="W139" s="462"/>
      <c r="X139" s="462"/>
      <c r="Y139" s="145">
        <f t="shared" si="12"/>
        <v>42.280999999999999</v>
      </c>
      <c r="Z139" s="145"/>
      <c r="AA139" s="145"/>
      <c r="AB139" s="370">
        <f t="shared" si="13"/>
        <v>42.280999999999999</v>
      </c>
      <c r="AC139" s="370">
        <v>42.280999999999999</v>
      </c>
      <c r="AD139" s="145"/>
      <c r="AE139" s="145"/>
      <c r="AF139" s="145">
        <f t="shared" si="14"/>
        <v>0</v>
      </c>
      <c r="AG139" s="145"/>
      <c r="AH139" s="145"/>
      <c r="AI139" s="145">
        <f t="shared" si="15"/>
        <v>0</v>
      </c>
      <c r="AJ139" s="145">
        <v>0</v>
      </c>
      <c r="AK139" s="145"/>
      <c r="AL139" s="145"/>
      <c r="AM139" s="145"/>
      <c r="AN139" s="145"/>
      <c r="AO139" s="145"/>
      <c r="AP139" s="145"/>
      <c r="AQ139" s="370"/>
      <c r="AR139" s="145"/>
      <c r="AS139" s="145"/>
      <c r="AT139" s="145"/>
      <c r="AU139" s="145">
        <f t="shared" si="16"/>
        <v>42.280999999999999</v>
      </c>
      <c r="AV139" s="145"/>
      <c r="AW139" s="145"/>
      <c r="AX139" s="145">
        <f t="shared" si="17"/>
        <v>42.280999999999999</v>
      </c>
      <c r="AY139" s="145">
        <v>42.280999999999999</v>
      </c>
      <c r="AZ139" s="145"/>
      <c r="BA139" s="145"/>
      <c r="BB139" s="145"/>
      <c r="BC139" s="145"/>
      <c r="BD139" s="145"/>
      <c r="BE139" s="145"/>
      <c r="BF139" s="370"/>
      <c r="BG139" s="145"/>
      <c r="BH139" s="145"/>
      <c r="BI139" s="145"/>
      <c r="BJ139" s="145"/>
      <c r="BK139" s="145"/>
      <c r="BL139" s="145"/>
      <c r="BM139" s="370"/>
      <c r="BN139" s="145"/>
      <c r="BO139" s="145"/>
      <c r="BP139" s="145"/>
      <c r="BQ139" s="370"/>
      <c r="BR139" s="433"/>
      <c r="BS139" s="433"/>
      <c r="BT139" s="424"/>
    </row>
    <row r="140" spans="1:72" ht="30.75" outlineLevel="1">
      <c r="A140" s="420">
        <v>6</v>
      </c>
      <c r="B140" s="710" t="s">
        <v>1611</v>
      </c>
      <c r="C140" s="420" t="s">
        <v>1612</v>
      </c>
      <c r="D140" s="434" t="s">
        <v>1590</v>
      </c>
      <c r="E140" s="588" t="s">
        <v>49</v>
      </c>
      <c r="F140" s="588" t="s">
        <v>48</v>
      </c>
      <c r="G140" s="588">
        <v>7996707</v>
      </c>
      <c r="H140" s="433" t="s">
        <v>1613</v>
      </c>
      <c r="I140" s="422">
        <v>2023</v>
      </c>
      <c r="J140" s="422">
        <v>2023</v>
      </c>
      <c r="K140" s="420" t="s">
        <v>1614</v>
      </c>
      <c r="L140" s="420" t="s">
        <v>1615</v>
      </c>
      <c r="M140" s="448">
        <v>1265</v>
      </c>
      <c r="N140" s="448">
        <v>1139</v>
      </c>
      <c r="O140" s="448"/>
      <c r="P140" s="448">
        <v>126</v>
      </c>
      <c r="Q140" s="434" t="s">
        <v>1616</v>
      </c>
      <c r="R140" s="433" t="s">
        <v>1613</v>
      </c>
      <c r="S140" s="434" t="s">
        <v>1588</v>
      </c>
      <c r="T140" s="434" t="s">
        <v>1590</v>
      </c>
      <c r="U140" s="462"/>
      <c r="V140" s="462"/>
      <c r="W140" s="462"/>
      <c r="X140" s="462"/>
      <c r="Y140" s="145">
        <f t="shared" si="12"/>
        <v>6.1429999999999998</v>
      </c>
      <c r="Z140" s="145"/>
      <c r="AA140" s="145"/>
      <c r="AB140" s="370">
        <f t="shared" si="13"/>
        <v>6.1429999999999998</v>
      </c>
      <c r="AC140" s="370">
        <v>6.1429999999999998</v>
      </c>
      <c r="AD140" s="145"/>
      <c r="AE140" s="145"/>
      <c r="AF140" s="145">
        <f t="shared" si="14"/>
        <v>0</v>
      </c>
      <c r="AG140" s="145"/>
      <c r="AH140" s="145"/>
      <c r="AI140" s="145">
        <f t="shared" si="15"/>
        <v>0</v>
      </c>
      <c r="AJ140" s="145">
        <v>0</v>
      </c>
      <c r="AK140" s="145"/>
      <c r="AL140" s="145"/>
      <c r="AM140" s="145"/>
      <c r="AN140" s="145"/>
      <c r="AO140" s="145"/>
      <c r="AP140" s="145"/>
      <c r="AQ140" s="370"/>
      <c r="AR140" s="145"/>
      <c r="AS140" s="145"/>
      <c r="AT140" s="145"/>
      <c r="AU140" s="145">
        <f t="shared" si="16"/>
        <v>6.1429999999999998</v>
      </c>
      <c r="AV140" s="145"/>
      <c r="AW140" s="145"/>
      <c r="AX140" s="145">
        <f t="shared" si="17"/>
        <v>6.1429999999999998</v>
      </c>
      <c r="AY140" s="145">
        <v>6.1429999999999998</v>
      </c>
      <c r="AZ140" s="145"/>
      <c r="BA140" s="145"/>
      <c r="BB140" s="145"/>
      <c r="BC140" s="145"/>
      <c r="BD140" s="145"/>
      <c r="BE140" s="145"/>
      <c r="BF140" s="370"/>
      <c r="BG140" s="145"/>
      <c r="BH140" s="145"/>
      <c r="BI140" s="145"/>
      <c r="BJ140" s="145"/>
      <c r="BK140" s="145"/>
      <c r="BL140" s="145"/>
      <c r="BM140" s="370"/>
      <c r="BN140" s="145"/>
      <c r="BO140" s="145"/>
      <c r="BP140" s="145"/>
      <c r="BQ140" s="370"/>
      <c r="BR140" s="433"/>
      <c r="BS140" s="433"/>
      <c r="BT140" s="424"/>
    </row>
    <row r="141" spans="1:72" ht="30.75" outlineLevel="1">
      <c r="A141" s="420">
        <v>7</v>
      </c>
      <c r="B141" s="710" t="s">
        <v>1617</v>
      </c>
      <c r="C141" s="420" t="s">
        <v>1612</v>
      </c>
      <c r="D141" s="434" t="s">
        <v>1590</v>
      </c>
      <c r="E141" s="588" t="s">
        <v>49</v>
      </c>
      <c r="F141" s="588" t="s">
        <v>48</v>
      </c>
      <c r="G141" s="588">
        <v>7982839</v>
      </c>
      <c r="H141" s="433" t="s">
        <v>1613</v>
      </c>
      <c r="I141" s="745" t="s">
        <v>76</v>
      </c>
      <c r="J141" s="422">
        <v>2022</v>
      </c>
      <c r="K141" s="420" t="s">
        <v>1521</v>
      </c>
      <c r="L141" s="420" t="s">
        <v>1618</v>
      </c>
      <c r="M141" s="448">
        <v>1440</v>
      </c>
      <c r="N141" s="448"/>
      <c r="O141" s="448"/>
      <c r="P141" s="448">
        <v>1440</v>
      </c>
      <c r="Q141" s="434" t="s">
        <v>1619</v>
      </c>
      <c r="R141" s="433" t="s">
        <v>1613</v>
      </c>
      <c r="S141" s="434" t="s">
        <v>1588</v>
      </c>
      <c r="T141" s="434" t="s">
        <v>1590</v>
      </c>
      <c r="U141" s="462"/>
      <c r="V141" s="462"/>
      <c r="W141" s="462"/>
      <c r="X141" s="462"/>
      <c r="Y141" s="145">
        <f t="shared" si="12"/>
        <v>8.0259999999999998</v>
      </c>
      <c r="Z141" s="145"/>
      <c r="AA141" s="145"/>
      <c r="AB141" s="370">
        <f t="shared" si="13"/>
        <v>8.0259999999999998</v>
      </c>
      <c r="AC141" s="370">
        <v>8.0259999999999998</v>
      </c>
      <c r="AD141" s="145"/>
      <c r="AE141" s="145"/>
      <c r="AF141" s="145">
        <f t="shared" si="14"/>
        <v>0</v>
      </c>
      <c r="AG141" s="145"/>
      <c r="AH141" s="145"/>
      <c r="AI141" s="145">
        <f t="shared" si="15"/>
        <v>0</v>
      </c>
      <c r="AJ141" s="145">
        <v>0</v>
      </c>
      <c r="AK141" s="145"/>
      <c r="AL141" s="145"/>
      <c r="AM141" s="145"/>
      <c r="AN141" s="145"/>
      <c r="AO141" s="145"/>
      <c r="AP141" s="145"/>
      <c r="AQ141" s="370"/>
      <c r="AR141" s="145"/>
      <c r="AS141" s="145"/>
      <c r="AT141" s="145"/>
      <c r="AU141" s="145">
        <f t="shared" si="16"/>
        <v>8.0259999999999998</v>
      </c>
      <c r="AV141" s="145"/>
      <c r="AW141" s="145"/>
      <c r="AX141" s="145">
        <f t="shared" si="17"/>
        <v>8.0259999999999998</v>
      </c>
      <c r="AY141" s="145">
        <v>8.0259999999999998</v>
      </c>
      <c r="AZ141" s="145"/>
      <c r="BA141" s="145"/>
      <c r="BB141" s="145"/>
      <c r="BC141" s="145"/>
      <c r="BD141" s="145"/>
      <c r="BE141" s="145"/>
      <c r="BF141" s="370"/>
      <c r="BG141" s="145"/>
      <c r="BH141" s="145"/>
      <c r="BI141" s="145"/>
      <c r="BJ141" s="145"/>
      <c r="BK141" s="145"/>
      <c r="BL141" s="145"/>
      <c r="BM141" s="370"/>
      <c r="BN141" s="145"/>
      <c r="BO141" s="145"/>
      <c r="BP141" s="145"/>
      <c r="BQ141" s="370"/>
      <c r="BR141" s="433"/>
      <c r="BS141" s="433"/>
      <c r="BT141" s="424"/>
    </row>
    <row r="142" spans="1:72" ht="30.75" outlineLevel="1">
      <c r="A142" s="420">
        <v>8</v>
      </c>
      <c r="B142" s="710" t="s">
        <v>1620</v>
      </c>
      <c r="C142" s="420" t="s">
        <v>1612</v>
      </c>
      <c r="D142" s="434" t="s">
        <v>1590</v>
      </c>
      <c r="E142" s="588" t="s">
        <v>49</v>
      </c>
      <c r="F142" s="588" t="s">
        <v>48</v>
      </c>
      <c r="G142" s="588">
        <v>7982838</v>
      </c>
      <c r="H142" s="433" t="s">
        <v>1613</v>
      </c>
      <c r="I142" s="745" t="s">
        <v>76</v>
      </c>
      <c r="J142" s="422">
        <v>2022</v>
      </c>
      <c r="K142" s="420" t="s">
        <v>1521</v>
      </c>
      <c r="L142" s="420" t="s">
        <v>1621</v>
      </c>
      <c r="M142" s="448">
        <v>2785</v>
      </c>
      <c r="N142" s="448"/>
      <c r="O142" s="448"/>
      <c r="P142" s="448">
        <v>2785</v>
      </c>
      <c r="Q142" s="434" t="s">
        <v>1622</v>
      </c>
      <c r="R142" s="433" t="s">
        <v>1613</v>
      </c>
      <c r="S142" s="434" t="s">
        <v>1588</v>
      </c>
      <c r="T142" s="434" t="s">
        <v>1590</v>
      </c>
      <c r="U142" s="462"/>
      <c r="V142" s="462"/>
      <c r="W142" s="462"/>
      <c r="X142" s="462"/>
      <c r="Y142" s="145">
        <f t="shared" si="12"/>
        <v>15.509</v>
      </c>
      <c r="Z142" s="145"/>
      <c r="AA142" s="145"/>
      <c r="AB142" s="370">
        <f t="shared" si="13"/>
        <v>15.509</v>
      </c>
      <c r="AC142" s="370">
        <v>15.509</v>
      </c>
      <c r="AD142" s="145"/>
      <c r="AE142" s="145"/>
      <c r="AF142" s="145">
        <f t="shared" si="14"/>
        <v>0</v>
      </c>
      <c r="AG142" s="145"/>
      <c r="AH142" s="145"/>
      <c r="AI142" s="145">
        <f t="shared" si="15"/>
        <v>0</v>
      </c>
      <c r="AJ142" s="145">
        <v>0</v>
      </c>
      <c r="AK142" s="145"/>
      <c r="AL142" s="145"/>
      <c r="AM142" s="145"/>
      <c r="AN142" s="145"/>
      <c r="AO142" s="145"/>
      <c r="AP142" s="145"/>
      <c r="AQ142" s="370"/>
      <c r="AR142" s="145"/>
      <c r="AS142" s="145"/>
      <c r="AT142" s="145"/>
      <c r="AU142" s="145">
        <f t="shared" si="16"/>
        <v>15.509</v>
      </c>
      <c r="AV142" s="145"/>
      <c r="AW142" s="145"/>
      <c r="AX142" s="145">
        <f t="shared" si="17"/>
        <v>15.509</v>
      </c>
      <c r="AY142" s="145">
        <v>15.509</v>
      </c>
      <c r="AZ142" s="145"/>
      <c r="BA142" s="145"/>
      <c r="BB142" s="145"/>
      <c r="BC142" s="145"/>
      <c r="BD142" s="145"/>
      <c r="BE142" s="145"/>
      <c r="BF142" s="370"/>
      <c r="BG142" s="145"/>
      <c r="BH142" s="145"/>
      <c r="BI142" s="145"/>
      <c r="BJ142" s="145"/>
      <c r="BK142" s="145"/>
      <c r="BL142" s="145"/>
      <c r="BM142" s="370"/>
      <c r="BN142" s="145"/>
      <c r="BO142" s="145"/>
      <c r="BP142" s="145"/>
      <c r="BQ142" s="370"/>
      <c r="BR142" s="433"/>
      <c r="BS142" s="433"/>
      <c r="BT142" s="424"/>
    </row>
    <row r="143" spans="1:72" ht="61.5" outlineLevel="1">
      <c r="A143" s="420">
        <v>9</v>
      </c>
      <c r="B143" s="710" t="s">
        <v>1623</v>
      </c>
      <c r="C143" s="420" t="s">
        <v>1612</v>
      </c>
      <c r="D143" s="434" t="s">
        <v>1590</v>
      </c>
      <c r="E143" s="588" t="s">
        <v>49</v>
      </c>
      <c r="F143" s="588" t="s">
        <v>1495</v>
      </c>
      <c r="G143" s="588">
        <v>8105076</v>
      </c>
      <c r="H143" s="433" t="s">
        <v>1613</v>
      </c>
      <c r="I143" s="745">
        <v>2024</v>
      </c>
      <c r="J143" s="422">
        <v>2024</v>
      </c>
      <c r="K143" s="420" t="s">
        <v>1624</v>
      </c>
      <c r="L143" s="420" t="s">
        <v>1625</v>
      </c>
      <c r="M143" s="448">
        <v>337.5</v>
      </c>
      <c r="N143" s="448"/>
      <c r="O143" s="448"/>
      <c r="P143" s="448">
        <v>337.5</v>
      </c>
      <c r="Q143" s="434" t="s">
        <v>1626</v>
      </c>
      <c r="R143" s="433" t="s">
        <v>1613</v>
      </c>
      <c r="S143" s="434" t="s">
        <v>1588</v>
      </c>
      <c r="T143" s="434" t="s">
        <v>1590</v>
      </c>
      <c r="U143" s="462"/>
      <c r="V143" s="462"/>
      <c r="W143" s="462"/>
      <c r="X143" s="462"/>
      <c r="Y143" s="145">
        <f t="shared" si="12"/>
        <v>1.3460000000000001</v>
      </c>
      <c r="Z143" s="145"/>
      <c r="AA143" s="145"/>
      <c r="AB143" s="370">
        <f t="shared" si="13"/>
        <v>1.3460000000000001</v>
      </c>
      <c r="AC143" s="370">
        <v>1.3460000000000001</v>
      </c>
      <c r="AD143" s="145"/>
      <c r="AE143" s="145"/>
      <c r="AF143" s="145">
        <f t="shared" si="14"/>
        <v>0</v>
      </c>
      <c r="AG143" s="145"/>
      <c r="AH143" s="145"/>
      <c r="AI143" s="145">
        <f t="shared" si="15"/>
        <v>0</v>
      </c>
      <c r="AJ143" s="145">
        <v>0</v>
      </c>
      <c r="AK143" s="145"/>
      <c r="AL143" s="145"/>
      <c r="AM143" s="145"/>
      <c r="AN143" s="145"/>
      <c r="AO143" s="145"/>
      <c r="AP143" s="145"/>
      <c r="AQ143" s="370"/>
      <c r="AR143" s="145"/>
      <c r="AS143" s="145"/>
      <c r="AT143" s="145"/>
      <c r="AU143" s="145">
        <f t="shared" si="16"/>
        <v>1.3460000000000001</v>
      </c>
      <c r="AV143" s="145"/>
      <c r="AW143" s="145"/>
      <c r="AX143" s="145">
        <f t="shared" si="17"/>
        <v>1.3460000000000001</v>
      </c>
      <c r="AY143" s="145">
        <v>1.3460000000000001</v>
      </c>
      <c r="AZ143" s="145"/>
      <c r="BA143" s="145"/>
      <c r="BB143" s="145"/>
      <c r="BC143" s="145"/>
      <c r="BD143" s="145"/>
      <c r="BE143" s="145"/>
      <c r="BF143" s="370"/>
      <c r="BG143" s="145"/>
      <c r="BH143" s="145"/>
      <c r="BI143" s="145"/>
      <c r="BJ143" s="145"/>
      <c r="BK143" s="145"/>
      <c r="BL143" s="145"/>
      <c r="BM143" s="370"/>
      <c r="BN143" s="145"/>
      <c r="BO143" s="145"/>
      <c r="BP143" s="145"/>
      <c r="BQ143" s="370"/>
      <c r="BR143" s="433"/>
      <c r="BS143" s="433"/>
      <c r="BT143" s="424"/>
    </row>
    <row r="144" spans="1:72" ht="30.75" outlineLevel="1">
      <c r="A144" s="420">
        <v>10</v>
      </c>
      <c r="B144" s="710" t="s">
        <v>1627</v>
      </c>
      <c r="C144" s="420" t="s">
        <v>1612</v>
      </c>
      <c r="D144" s="434" t="s">
        <v>1590</v>
      </c>
      <c r="E144" s="588" t="s">
        <v>49</v>
      </c>
      <c r="F144" s="588" t="s">
        <v>1282</v>
      </c>
      <c r="G144" s="588">
        <v>7996708</v>
      </c>
      <c r="H144" s="433" t="s">
        <v>1613</v>
      </c>
      <c r="I144" s="745">
        <v>2023</v>
      </c>
      <c r="J144" s="422">
        <v>2022</v>
      </c>
      <c r="K144" s="420" t="s">
        <v>1628</v>
      </c>
      <c r="L144" s="420" t="s">
        <v>1629</v>
      </c>
      <c r="M144" s="145">
        <v>2200</v>
      </c>
      <c r="N144" s="448">
        <v>2000</v>
      </c>
      <c r="O144" s="448"/>
      <c r="P144" s="448">
        <v>200</v>
      </c>
      <c r="Q144" s="434" t="s">
        <v>1630</v>
      </c>
      <c r="R144" s="433" t="s">
        <v>1613</v>
      </c>
      <c r="S144" s="434" t="s">
        <v>1588</v>
      </c>
      <c r="T144" s="434" t="s">
        <v>1590</v>
      </c>
      <c r="U144" s="462"/>
      <c r="V144" s="462"/>
      <c r="W144" s="462"/>
      <c r="X144" s="462"/>
      <c r="Y144" s="145">
        <f t="shared" si="12"/>
        <v>12.44</v>
      </c>
      <c r="Z144" s="145"/>
      <c r="AA144" s="145"/>
      <c r="AB144" s="370">
        <f t="shared" si="13"/>
        <v>12.44</v>
      </c>
      <c r="AC144" s="370">
        <v>12.44</v>
      </c>
      <c r="AD144" s="145"/>
      <c r="AE144" s="145"/>
      <c r="AF144" s="145">
        <f t="shared" si="14"/>
        <v>0</v>
      </c>
      <c r="AG144" s="145"/>
      <c r="AH144" s="145"/>
      <c r="AI144" s="145">
        <f t="shared" si="15"/>
        <v>0</v>
      </c>
      <c r="AJ144" s="145">
        <v>0</v>
      </c>
      <c r="AK144" s="145"/>
      <c r="AL144" s="145"/>
      <c r="AM144" s="145"/>
      <c r="AN144" s="145"/>
      <c r="AO144" s="145"/>
      <c r="AP144" s="145"/>
      <c r="AQ144" s="370"/>
      <c r="AR144" s="145"/>
      <c r="AS144" s="145"/>
      <c r="AT144" s="145"/>
      <c r="AU144" s="145">
        <f t="shared" si="16"/>
        <v>12.44</v>
      </c>
      <c r="AV144" s="145"/>
      <c r="AW144" s="145"/>
      <c r="AX144" s="145">
        <f t="shared" si="17"/>
        <v>12.44</v>
      </c>
      <c r="AY144" s="145">
        <v>12.44</v>
      </c>
      <c r="AZ144" s="145"/>
      <c r="BA144" s="145"/>
      <c r="BB144" s="145"/>
      <c r="BC144" s="145"/>
      <c r="BD144" s="145"/>
      <c r="BE144" s="145"/>
      <c r="BF144" s="370"/>
      <c r="BG144" s="145"/>
      <c r="BH144" s="145"/>
      <c r="BI144" s="145"/>
      <c r="BJ144" s="145"/>
      <c r="BK144" s="145"/>
      <c r="BL144" s="145"/>
      <c r="BM144" s="370"/>
      <c r="BN144" s="145"/>
      <c r="BO144" s="145"/>
      <c r="BP144" s="145"/>
      <c r="BQ144" s="370"/>
      <c r="BR144" s="433"/>
      <c r="BS144" s="433"/>
      <c r="BT144" s="424"/>
    </row>
    <row r="145" spans="1:72" ht="30.75" outlineLevel="1">
      <c r="A145" s="420">
        <v>11</v>
      </c>
      <c r="B145" s="710" t="s">
        <v>1631</v>
      </c>
      <c r="C145" s="420" t="s">
        <v>1612</v>
      </c>
      <c r="D145" s="434" t="s">
        <v>1590</v>
      </c>
      <c r="E145" s="588" t="s">
        <v>49</v>
      </c>
      <c r="F145" s="588" t="s">
        <v>1035</v>
      </c>
      <c r="G145" s="588">
        <v>8018775</v>
      </c>
      <c r="H145" s="433" t="s">
        <v>1613</v>
      </c>
      <c r="I145" s="745">
        <v>2023</v>
      </c>
      <c r="J145" s="422">
        <v>2023</v>
      </c>
      <c r="K145" s="420" t="s">
        <v>1632</v>
      </c>
      <c r="L145" s="712" t="s">
        <v>1633</v>
      </c>
      <c r="M145" s="145">
        <v>1980</v>
      </c>
      <c r="N145" s="448">
        <v>1800</v>
      </c>
      <c r="O145" s="448"/>
      <c r="P145" s="448">
        <v>180</v>
      </c>
      <c r="Q145" s="434" t="s">
        <v>1634</v>
      </c>
      <c r="R145" s="433" t="s">
        <v>1613</v>
      </c>
      <c r="S145" s="434" t="s">
        <v>1588</v>
      </c>
      <c r="T145" s="434" t="s">
        <v>1590</v>
      </c>
      <c r="U145" s="462"/>
      <c r="V145" s="462"/>
      <c r="W145" s="462"/>
      <c r="X145" s="462"/>
      <c r="Y145" s="145">
        <f t="shared" si="12"/>
        <v>10.959</v>
      </c>
      <c r="Z145" s="145"/>
      <c r="AA145" s="145"/>
      <c r="AB145" s="370">
        <f t="shared" si="13"/>
        <v>10.959</v>
      </c>
      <c r="AC145" s="370">
        <v>10.959</v>
      </c>
      <c r="AD145" s="145"/>
      <c r="AE145" s="145"/>
      <c r="AF145" s="145">
        <f t="shared" si="14"/>
        <v>0</v>
      </c>
      <c r="AG145" s="145"/>
      <c r="AH145" s="145"/>
      <c r="AI145" s="145">
        <f t="shared" si="15"/>
        <v>0</v>
      </c>
      <c r="AJ145" s="145">
        <v>0</v>
      </c>
      <c r="AK145" s="145"/>
      <c r="AL145" s="145"/>
      <c r="AM145" s="145"/>
      <c r="AN145" s="145"/>
      <c r="AO145" s="145"/>
      <c r="AP145" s="145"/>
      <c r="AQ145" s="370"/>
      <c r="AR145" s="145"/>
      <c r="AS145" s="145"/>
      <c r="AT145" s="145"/>
      <c r="AU145" s="145">
        <f t="shared" si="16"/>
        <v>10.959</v>
      </c>
      <c r="AV145" s="145"/>
      <c r="AW145" s="145"/>
      <c r="AX145" s="145">
        <f t="shared" si="17"/>
        <v>10.959</v>
      </c>
      <c r="AY145" s="145">
        <v>10.959</v>
      </c>
      <c r="AZ145" s="145"/>
      <c r="BA145" s="145"/>
      <c r="BB145" s="145"/>
      <c r="BC145" s="145"/>
      <c r="BD145" s="145"/>
      <c r="BE145" s="145"/>
      <c r="BF145" s="370"/>
      <c r="BG145" s="145"/>
      <c r="BH145" s="145"/>
      <c r="BI145" s="145"/>
      <c r="BJ145" s="145"/>
      <c r="BK145" s="145"/>
      <c r="BL145" s="145"/>
      <c r="BM145" s="370"/>
      <c r="BN145" s="145"/>
      <c r="BO145" s="145"/>
      <c r="BP145" s="145"/>
      <c r="BQ145" s="370"/>
      <c r="BR145" s="433"/>
      <c r="BS145" s="433"/>
      <c r="BT145" s="424"/>
    </row>
    <row r="146" spans="1:72" ht="30.75" outlineLevel="1">
      <c r="A146" s="420">
        <v>12</v>
      </c>
      <c r="B146" s="710" t="s">
        <v>1635</v>
      </c>
      <c r="C146" s="420" t="s">
        <v>1612</v>
      </c>
      <c r="D146" s="434" t="s">
        <v>1590</v>
      </c>
      <c r="E146" s="588" t="s">
        <v>49</v>
      </c>
      <c r="F146" s="588" t="s">
        <v>48</v>
      </c>
      <c r="G146" s="588">
        <v>8039843</v>
      </c>
      <c r="H146" s="433" t="s">
        <v>1613</v>
      </c>
      <c r="I146" s="745">
        <v>2024</v>
      </c>
      <c r="J146" s="422">
        <v>2024</v>
      </c>
      <c r="K146" s="420" t="s">
        <v>1636</v>
      </c>
      <c r="L146" s="438" t="s">
        <v>1637</v>
      </c>
      <c r="M146" s="145">
        <v>1100</v>
      </c>
      <c r="N146" s="448">
        <v>1000</v>
      </c>
      <c r="O146" s="448"/>
      <c r="P146" s="448">
        <v>100</v>
      </c>
      <c r="Q146" s="434" t="s">
        <v>1638</v>
      </c>
      <c r="R146" s="433" t="s">
        <v>1613</v>
      </c>
      <c r="S146" s="434" t="s">
        <v>1588</v>
      </c>
      <c r="T146" s="434" t="s">
        <v>1590</v>
      </c>
      <c r="U146" s="462"/>
      <c r="V146" s="462"/>
      <c r="W146" s="462"/>
      <c r="X146" s="462"/>
      <c r="Y146" s="145">
        <f t="shared" si="12"/>
        <v>6.1050000000000004</v>
      </c>
      <c r="Z146" s="145"/>
      <c r="AA146" s="145"/>
      <c r="AB146" s="370">
        <f t="shared" si="13"/>
        <v>6.1050000000000004</v>
      </c>
      <c r="AC146" s="370">
        <v>6.1050000000000004</v>
      </c>
      <c r="AD146" s="145"/>
      <c r="AE146" s="145"/>
      <c r="AF146" s="145">
        <f t="shared" si="14"/>
        <v>0</v>
      </c>
      <c r="AG146" s="145"/>
      <c r="AH146" s="145"/>
      <c r="AI146" s="145">
        <f t="shared" si="15"/>
        <v>0</v>
      </c>
      <c r="AJ146" s="145">
        <v>0</v>
      </c>
      <c r="AK146" s="145"/>
      <c r="AL146" s="145"/>
      <c r="AM146" s="145"/>
      <c r="AN146" s="145"/>
      <c r="AO146" s="145"/>
      <c r="AP146" s="145"/>
      <c r="AQ146" s="370"/>
      <c r="AR146" s="145"/>
      <c r="AS146" s="145"/>
      <c r="AT146" s="145"/>
      <c r="AU146" s="145">
        <f t="shared" si="16"/>
        <v>6.1050000000000004</v>
      </c>
      <c r="AV146" s="145"/>
      <c r="AW146" s="145"/>
      <c r="AX146" s="145">
        <f t="shared" si="17"/>
        <v>6.1050000000000004</v>
      </c>
      <c r="AY146" s="145">
        <v>6.1050000000000004</v>
      </c>
      <c r="AZ146" s="145"/>
      <c r="BA146" s="145"/>
      <c r="BB146" s="145"/>
      <c r="BC146" s="145"/>
      <c r="BD146" s="145"/>
      <c r="BE146" s="145"/>
      <c r="BF146" s="370"/>
      <c r="BG146" s="145"/>
      <c r="BH146" s="145"/>
      <c r="BI146" s="145"/>
      <c r="BJ146" s="145"/>
      <c r="BK146" s="145"/>
      <c r="BL146" s="145"/>
      <c r="BM146" s="370"/>
      <c r="BN146" s="145"/>
      <c r="BO146" s="145"/>
      <c r="BP146" s="145"/>
      <c r="BQ146" s="370"/>
      <c r="BR146" s="433"/>
      <c r="BS146" s="433"/>
      <c r="BT146" s="424"/>
    </row>
    <row r="147" spans="1:72" ht="30.75" outlineLevel="1">
      <c r="A147" s="420">
        <v>13</v>
      </c>
      <c r="B147" s="710" t="s">
        <v>1639</v>
      </c>
      <c r="C147" s="420" t="s">
        <v>1612</v>
      </c>
      <c r="D147" s="434" t="s">
        <v>1590</v>
      </c>
      <c r="E147" s="588" t="s">
        <v>49</v>
      </c>
      <c r="F147" s="588" t="s">
        <v>1282</v>
      </c>
      <c r="G147" s="588">
        <v>8039844</v>
      </c>
      <c r="H147" s="433" t="s">
        <v>1613</v>
      </c>
      <c r="I147" s="745">
        <v>2024</v>
      </c>
      <c r="J147" s="422">
        <v>2024</v>
      </c>
      <c r="K147" s="420" t="s">
        <v>1636</v>
      </c>
      <c r="L147" s="438" t="s">
        <v>1640</v>
      </c>
      <c r="M147" s="145">
        <v>2090</v>
      </c>
      <c r="N147" s="448">
        <v>1900</v>
      </c>
      <c r="O147" s="448"/>
      <c r="P147" s="448">
        <v>190</v>
      </c>
      <c r="Q147" s="434" t="s">
        <v>1641</v>
      </c>
      <c r="R147" s="433" t="s">
        <v>1613</v>
      </c>
      <c r="S147" s="434" t="s">
        <v>1588</v>
      </c>
      <c r="T147" s="434" t="s">
        <v>1590</v>
      </c>
      <c r="U147" s="462"/>
      <c r="V147" s="462"/>
      <c r="W147" s="462"/>
      <c r="X147" s="462"/>
      <c r="Y147" s="145">
        <f t="shared" si="12"/>
        <v>11.042</v>
      </c>
      <c r="Z147" s="145"/>
      <c r="AA147" s="145"/>
      <c r="AB147" s="370">
        <f t="shared" si="13"/>
        <v>11.042</v>
      </c>
      <c r="AC147" s="370">
        <v>11.042</v>
      </c>
      <c r="AD147" s="145"/>
      <c r="AE147" s="145"/>
      <c r="AF147" s="145">
        <f t="shared" si="14"/>
        <v>0</v>
      </c>
      <c r="AG147" s="145"/>
      <c r="AH147" s="145"/>
      <c r="AI147" s="145">
        <f t="shared" si="15"/>
        <v>0</v>
      </c>
      <c r="AJ147" s="145">
        <v>0</v>
      </c>
      <c r="AK147" s="145"/>
      <c r="AL147" s="145"/>
      <c r="AM147" s="145"/>
      <c r="AN147" s="145"/>
      <c r="AO147" s="145"/>
      <c r="AP147" s="145"/>
      <c r="AQ147" s="370"/>
      <c r="AR147" s="145"/>
      <c r="AS147" s="145"/>
      <c r="AT147" s="145"/>
      <c r="AU147" s="145">
        <f t="shared" si="16"/>
        <v>11.042</v>
      </c>
      <c r="AV147" s="145"/>
      <c r="AW147" s="145"/>
      <c r="AX147" s="145">
        <f t="shared" si="17"/>
        <v>11.042</v>
      </c>
      <c r="AY147" s="145">
        <v>11.042</v>
      </c>
      <c r="AZ147" s="145"/>
      <c r="BA147" s="145"/>
      <c r="BB147" s="145"/>
      <c r="BC147" s="145"/>
      <c r="BD147" s="145"/>
      <c r="BE147" s="145"/>
      <c r="BF147" s="370"/>
      <c r="BG147" s="145"/>
      <c r="BH147" s="145"/>
      <c r="BI147" s="145"/>
      <c r="BJ147" s="145"/>
      <c r="BK147" s="145"/>
      <c r="BL147" s="145"/>
      <c r="BM147" s="370"/>
      <c r="BN147" s="145"/>
      <c r="BO147" s="145"/>
      <c r="BP147" s="145"/>
      <c r="BQ147" s="370"/>
      <c r="BR147" s="433"/>
      <c r="BS147" s="433"/>
      <c r="BT147" s="424"/>
    </row>
    <row r="148" spans="1:72" ht="30.75" outlineLevel="1">
      <c r="A148" s="420">
        <v>14</v>
      </c>
      <c r="B148" s="710" t="s">
        <v>1642</v>
      </c>
      <c r="C148" s="420" t="s">
        <v>1238</v>
      </c>
      <c r="D148" s="434" t="s">
        <v>1590</v>
      </c>
      <c r="E148" s="588" t="s">
        <v>49</v>
      </c>
      <c r="F148" s="588" t="s">
        <v>1035</v>
      </c>
      <c r="G148" s="420">
        <v>7991704</v>
      </c>
      <c r="H148" s="433" t="s">
        <v>1597</v>
      </c>
      <c r="I148" s="745">
        <v>2023</v>
      </c>
      <c r="J148" s="422">
        <v>2022</v>
      </c>
      <c r="K148" s="420" t="s">
        <v>1643</v>
      </c>
      <c r="L148" s="738" t="s">
        <v>1644</v>
      </c>
      <c r="M148" s="145">
        <v>958</v>
      </c>
      <c r="N148" s="448">
        <v>862</v>
      </c>
      <c r="O148" s="448"/>
      <c r="P148" s="448"/>
      <c r="Q148" s="434" t="s">
        <v>1645</v>
      </c>
      <c r="R148" s="433" t="s">
        <v>1597</v>
      </c>
      <c r="S148" s="434" t="s">
        <v>1588</v>
      </c>
      <c r="T148" s="434" t="s">
        <v>1590</v>
      </c>
      <c r="U148" s="462"/>
      <c r="V148" s="462"/>
      <c r="W148" s="462"/>
      <c r="X148" s="462"/>
      <c r="Y148" s="145">
        <f t="shared" si="12"/>
        <v>4.9130000000000003</v>
      </c>
      <c r="Z148" s="145"/>
      <c r="AA148" s="145"/>
      <c r="AB148" s="370">
        <f t="shared" si="13"/>
        <v>4.9130000000000003</v>
      </c>
      <c r="AC148" s="370">
        <v>4.9130000000000003</v>
      </c>
      <c r="AD148" s="145"/>
      <c r="AE148" s="145"/>
      <c r="AF148" s="145">
        <f t="shared" si="14"/>
        <v>0</v>
      </c>
      <c r="AG148" s="145"/>
      <c r="AH148" s="145"/>
      <c r="AI148" s="145">
        <f t="shared" si="15"/>
        <v>0</v>
      </c>
      <c r="AJ148" s="145">
        <v>0</v>
      </c>
      <c r="AK148" s="145"/>
      <c r="AL148" s="145"/>
      <c r="AM148" s="145"/>
      <c r="AN148" s="145"/>
      <c r="AO148" s="145"/>
      <c r="AP148" s="145"/>
      <c r="AQ148" s="370"/>
      <c r="AR148" s="145"/>
      <c r="AS148" s="145"/>
      <c r="AT148" s="145"/>
      <c r="AU148" s="145">
        <f t="shared" si="16"/>
        <v>4.9130000000000003</v>
      </c>
      <c r="AV148" s="145"/>
      <c r="AW148" s="145"/>
      <c r="AX148" s="145">
        <f t="shared" si="17"/>
        <v>4.9130000000000003</v>
      </c>
      <c r="AY148" s="145">
        <v>4.9130000000000003</v>
      </c>
      <c r="AZ148" s="145"/>
      <c r="BA148" s="145"/>
      <c r="BB148" s="145"/>
      <c r="BC148" s="145"/>
      <c r="BD148" s="145"/>
      <c r="BE148" s="145"/>
      <c r="BF148" s="370"/>
      <c r="BG148" s="145"/>
      <c r="BH148" s="145"/>
      <c r="BI148" s="145"/>
      <c r="BJ148" s="145"/>
      <c r="BK148" s="145"/>
      <c r="BL148" s="145"/>
      <c r="BM148" s="370"/>
      <c r="BN148" s="145"/>
      <c r="BO148" s="145"/>
      <c r="BP148" s="145"/>
      <c r="BQ148" s="370"/>
      <c r="BR148" s="433"/>
      <c r="BS148" s="433"/>
      <c r="BT148" s="424"/>
    </row>
    <row r="149" spans="1:72" ht="30.75" outlineLevel="1">
      <c r="A149" s="420">
        <v>15</v>
      </c>
      <c r="B149" s="710" t="s">
        <v>1646</v>
      </c>
      <c r="C149" s="420" t="s">
        <v>1238</v>
      </c>
      <c r="D149" s="434" t="s">
        <v>1590</v>
      </c>
      <c r="E149" s="588" t="s">
        <v>49</v>
      </c>
      <c r="F149" s="588" t="s">
        <v>48</v>
      </c>
      <c r="G149" s="420">
        <v>7979045</v>
      </c>
      <c r="H149" s="433" t="s">
        <v>1597</v>
      </c>
      <c r="I149" s="745" t="s">
        <v>76</v>
      </c>
      <c r="J149" s="422">
        <v>2022</v>
      </c>
      <c r="K149" s="420" t="s">
        <v>1521</v>
      </c>
      <c r="L149" s="438" t="s">
        <v>1647</v>
      </c>
      <c r="M149" s="370">
        <v>1500</v>
      </c>
      <c r="N149" s="448"/>
      <c r="O149" s="448"/>
      <c r="P149" s="448">
        <v>1500</v>
      </c>
      <c r="Q149" s="434" t="s">
        <v>1648</v>
      </c>
      <c r="R149" s="433" t="s">
        <v>1597</v>
      </c>
      <c r="S149" s="434" t="s">
        <v>1588</v>
      </c>
      <c r="T149" s="434" t="s">
        <v>1590</v>
      </c>
      <c r="U149" s="462"/>
      <c r="V149" s="462"/>
      <c r="W149" s="462"/>
      <c r="X149" s="462"/>
      <c r="Y149" s="145">
        <f t="shared" si="12"/>
        <v>8.2829999999999995</v>
      </c>
      <c r="Z149" s="145"/>
      <c r="AA149" s="145"/>
      <c r="AB149" s="370">
        <f t="shared" si="13"/>
        <v>8.2829999999999995</v>
      </c>
      <c r="AC149" s="370">
        <v>8.2829999999999995</v>
      </c>
      <c r="AD149" s="145"/>
      <c r="AE149" s="145"/>
      <c r="AF149" s="145">
        <f t="shared" si="14"/>
        <v>0</v>
      </c>
      <c r="AG149" s="145"/>
      <c r="AH149" s="145"/>
      <c r="AI149" s="145">
        <f t="shared" si="15"/>
        <v>0</v>
      </c>
      <c r="AJ149" s="145">
        <v>0</v>
      </c>
      <c r="AK149" s="145"/>
      <c r="AL149" s="145"/>
      <c r="AM149" s="145"/>
      <c r="AN149" s="145"/>
      <c r="AO149" s="145"/>
      <c r="AP149" s="145"/>
      <c r="AQ149" s="370"/>
      <c r="AR149" s="145"/>
      <c r="AS149" s="145"/>
      <c r="AT149" s="145"/>
      <c r="AU149" s="145">
        <f t="shared" si="16"/>
        <v>8.2829999999999995</v>
      </c>
      <c r="AV149" s="145"/>
      <c r="AW149" s="145"/>
      <c r="AX149" s="145">
        <f t="shared" si="17"/>
        <v>8.2829999999999995</v>
      </c>
      <c r="AY149" s="145">
        <v>8.2829999999999995</v>
      </c>
      <c r="AZ149" s="145"/>
      <c r="BA149" s="145"/>
      <c r="BB149" s="145"/>
      <c r="BC149" s="145"/>
      <c r="BD149" s="145"/>
      <c r="BE149" s="145"/>
      <c r="BF149" s="370"/>
      <c r="BG149" s="145"/>
      <c r="BH149" s="145"/>
      <c r="BI149" s="145"/>
      <c r="BJ149" s="145"/>
      <c r="BK149" s="145"/>
      <c r="BL149" s="145"/>
      <c r="BM149" s="370"/>
      <c r="BN149" s="145"/>
      <c r="BO149" s="145"/>
      <c r="BP149" s="145"/>
      <c r="BQ149" s="370"/>
      <c r="BR149" s="433"/>
      <c r="BS149" s="433"/>
      <c r="BT149" s="424"/>
    </row>
    <row r="150" spans="1:72" ht="30.75" outlineLevel="1">
      <c r="A150" s="420">
        <v>16</v>
      </c>
      <c r="B150" s="710" t="s">
        <v>1649</v>
      </c>
      <c r="C150" s="420" t="s">
        <v>1238</v>
      </c>
      <c r="D150" s="434" t="s">
        <v>1590</v>
      </c>
      <c r="E150" s="588" t="s">
        <v>49</v>
      </c>
      <c r="F150" s="588" t="s">
        <v>1035</v>
      </c>
      <c r="G150" s="746">
        <v>7991705</v>
      </c>
      <c r="H150" s="433" t="s">
        <v>1597</v>
      </c>
      <c r="I150" s="745">
        <v>2023</v>
      </c>
      <c r="J150" s="422">
        <v>2022</v>
      </c>
      <c r="K150" s="420" t="s">
        <v>1643</v>
      </c>
      <c r="L150" s="712" t="s">
        <v>1650</v>
      </c>
      <c r="M150" s="145">
        <v>1065</v>
      </c>
      <c r="N150" s="448">
        <v>968</v>
      </c>
      <c r="O150" s="448"/>
      <c r="P150" s="448">
        <v>97</v>
      </c>
      <c r="Q150" s="434" t="s">
        <v>1651</v>
      </c>
      <c r="R150" s="433" t="s">
        <v>1597</v>
      </c>
      <c r="S150" s="434" t="s">
        <v>1588</v>
      </c>
      <c r="T150" s="434" t="s">
        <v>1590</v>
      </c>
      <c r="U150" s="462"/>
      <c r="V150" s="462"/>
      <c r="W150" s="462"/>
      <c r="X150" s="462"/>
      <c r="Y150" s="145">
        <f t="shared" si="12"/>
        <v>6.0350000000000001</v>
      </c>
      <c r="Z150" s="145"/>
      <c r="AA150" s="145"/>
      <c r="AB150" s="370">
        <f t="shared" si="13"/>
        <v>6.0350000000000001</v>
      </c>
      <c r="AC150" s="370">
        <v>6.0350000000000001</v>
      </c>
      <c r="AD150" s="145"/>
      <c r="AE150" s="145"/>
      <c r="AF150" s="145">
        <f t="shared" si="14"/>
        <v>0</v>
      </c>
      <c r="AG150" s="145"/>
      <c r="AH150" s="145"/>
      <c r="AI150" s="145">
        <f t="shared" si="15"/>
        <v>0</v>
      </c>
      <c r="AJ150" s="145">
        <v>0</v>
      </c>
      <c r="AK150" s="145"/>
      <c r="AL150" s="145"/>
      <c r="AM150" s="145"/>
      <c r="AN150" s="145"/>
      <c r="AO150" s="145"/>
      <c r="AP150" s="145"/>
      <c r="AQ150" s="370"/>
      <c r="AR150" s="145"/>
      <c r="AS150" s="145"/>
      <c r="AT150" s="145"/>
      <c r="AU150" s="145">
        <f t="shared" si="16"/>
        <v>6.0350000000000001</v>
      </c>
      <c r="AV150" s="145"/>
      <c r="AW150" s="145"/>
      <c r="AX150" s="145">
        <f t="shared" si="17"/>
        <v>6.0350000000000001</v>
      </c>
      <c r="AY150" s="145">
        <v>6.0350000000000001</v>
      </c>
      <c r="AZ150" s="145"/>
      <c r="BA150" s="145"/>
      <c r="BB150" s="145"/>
      <c r="BC150" s="145"/>
      <c r="BD150" s="145"/>
      <c r="BE150" s="145"/>
      <c r="BF150" s="370"/>
      <c r="BG150" s="145"/>
      <c r="BH150" s="145"/>
      <c r="BI150" s="145"/>
      <c r="BJ150" s="145"/>
      <c r="BK150" s="145"/>
      <c r="BL150" s="145"/>
      <c r="BM150" s="370"/>
      <c r="BN150" s="145"/>
      <c r="BO150" s="145"/>
      <c r="BP150" s="145"/>
      <c r="BQ150" s="370"/>
      <c r="BR150" s="433"/>
      <c r="BS150" s="433"/>
      <c r="BT150" s="424"/>
    </row>
    <row r="151" spans="1:72" ht="30.75" outlineLevel="1">
      <c r="A151" s="420">
        <v>17</v>
      </c>
      <c r="B151" s="710" t="s">
        <v>1652</v>
      </c>
      <c r="C151" s="420" t="s">
        <v>1238</v>
      </c>
      <c r="D151" s="434" t="s">
        <v>1590</v>
      </c>
      <c r="E151" s="588" t="s">
        <v>49</v>
      </c>
      <c r="F151" s="588" t="s">
        <v>1035</v>
      </c>
      <c r="G151" s="745">
        <v>7991720</v>
      </c>
      <c r="H151" s="433" t="s">
        <v>1597</v>
      </c>
      <c r="I151" s="745">
        <v>2023</v>
      </c>
      <c r="J151" s="422">
        <v>2022</v>
      </c>
      <c r="K151" s="420" t="s">
        <v>1643</v>
      </c>
      <c r="L151" s="712" t="s">
        <v>1653</v>
      </c>
      <c r="M151" s="145">
        <v>1162</v>
      </c>
      <c r="N151" s="448">
        <v>1056</v>
      </c>
      <c r="O151" s="448"/>
      <c r="P151" s="448">
        <v>106</v>
      </c>
      <c r="Q151" s="434" t="s">
        <v>1654</v>
      </c>
      <c r="R151" s="433" t="s">
        <v>1597</v>
      </c>
      <c r="S151" s="434" t="s">
        <v>1588</v>
      </c>
      <c r="T151" s="434" t="s">
        <v>1590</v>
      </c>
      <c r="U151" s="462"/>
      <c r="V151" s="462"/>
      <c r="W151" s="462"/>
      <c r="X151" s="462"/>
      <c r="Y151" s="145">
        <f t="shared" ref="Y151:Y210" si="22">Z151+AA151+AB151</f>
        <v>6.4619999999999997</v>
      </c>
      <c r="Z151" s="145"/>
      <c r="AA151" s="145"/>
      <c r="AB151" s="370">
        <f t="shared" ref="AB151:AB210" si="23">AC151+AD151+AE151</f>
        <v>6.4619999999999997</v>
      </c>
      <c r="AC151" s="370">
        <v>6.4619999999999997</v>
      </c>
      <c r="AD151" s="145"/>
      <c r="AE151" s="145"/>
      <c r="AF151" s="145">
        <f t="shared" ref="AF151:AF210" si="24">AG151+AH151+AI151</f>
        <v>0</v>
      </c>
      <c r="AG151" s="145"/>
      <c r="AH151" s="145"/>
      <c r="AI151" s="145">
        <f t="shared" ref="AI151:AI210" si="25">AJ151+AK151+AL151</f>
        <v>0</v>
      </c>
      <c r="AJ151" s="145">
        <v>0</v>
      </c>
      <c r="AK151" s="145"/>
      <c r="AL151" s="145"/>
      <c r="AM151" s="145"/>
      <c r="AN151" s="145"/>
      <c r="AO151" s="145"/>
      <c r="AP151" s="145"/>
      <c r="AQ151" s="370"/>
      <c r="AR151" s="145"/>
      <c r="AS151" s="145"/>
      <c r="AT151" s="145"/>
      <c r="AU151" s="145">
        <f t="shared" ref="AU151:AU210" si="26">AV151+AW151+AX151</f>
        <v>6.4619999999999997</v>
      </c>
      <c r="AV151" s="145"/>
      <c r="AW151" s="145"/>
      <c r="AX151" s="145">
        <f t="shared" ref="AX151:AX210" si="27">AY151+AZ151+BA151</f>
        <v>6.4619999999999997</v>
      </c>
      <c r="AY151" s="145">
        <v>6.4619999999999997</v>
      </c>
      <c r="AZ151" s="145"/>
      <c r="BA151" s="145"/>
      <c r="BB151" s="145"/>
      <c r="BC151" s="145"/>
      <c r="BD151" s="145"/>
      <c r="BE151" s="145"/>
      <c r="BF151" s="370"/>
      <c r="BG151" s="145"/>
      <c r="BH151" s="145"/>
      <c r="BI151" s="145"/>
      <c r="BJ151" s="145"/>
      <c r="BK151" s="145"/>
      <c r="BL151" s="145"/>
      <c r="BM151" s="370"/>
      <c r="BN151" s="145"/>
      <c r="BO151" s="145"/>
      <c r="BP151" s="145"/>
      <c r="BQ151" s="370"/>
      <c r="BR151" s="433"/>
      <c r="BS151" s="433"/>
      <c r="BT151" s="424"/>
    </row>
    <row r="152" spans="1:72" ht="30" outlineLevel="1">
      <c r="A152" s="553" t="s">
        <v>45</v>
      </c>
      <c r="B152" s="715" t="s">
        <v>1327</v>
      </c>
      <c r="C152" s="418"/>
      <c r="D152" s="454"/>
      <c r="E152" s="418"/>
      <c r="F152" s="418"/>
      <c r="G152" s="418"/>
      <c r="H152" s="454"/>
      <c r="I152" s="418"/>
      <c r="J152" s="418"/>
      <c r="K152" s="418"/>
      <c r="L152" s="418"/>
      <c r="M152" s="429">
        <f>M153+M154</f>
        <v>2144</v>
      </c>
      <c r="N152" s="429">
        <f t="shared" ref="N152:BR152" si="28">N153+N154</f>
        <v>1637</v>
      </c>
      <c r="O152" s="429">
        <f t="shared" si="28"/>
        <v>0</v>
      </c>
      <c r="P152" s="429">
        <f t="shared" si="28"/>
        <v>507</v>
      </c>
      <c r="Q152" s="454">
        <f t="shared" si="28"/>
        <v>0</v>
      </c>
      <c r="R152" s="454" t="e">
        <f t="shared" si="28"/>
        <v>#VALUE!</v>
      </c>
      <c r="S152" s="454" t="e">
        <f t="shared" si="28"/>
        <v>#VALUE!</v>
      </c>
      <c r="T152" s="454" t="e">
        <f t="shared" si="28"/>
        <v>#VALUE!</v>
      </c>
      <c r="U152" s="429">
        <f t="shared" si="28"/>
        <v>0</v>
      </c>
      <c r="V152" s="429">
        <f t="shared" si="28"/>
        <v>0</v>
      </c>
      <c r="W152" s="429">
        <f t="shared" si="28"/>
        <v>0</v>
      </c>
      <c r="X152" s="429">
        <f t="shared" si="28"/>
        <v>0</v>
      </c>
      <c r="Y152" s="429">
        <f t="shared" si="28"/>
        <v>70</v>
      </c>
      <c r="Z152" s="429">
        <f t="shared" si="28"/>
        <v>0</v>
      </c>
      <c r="AA152" s="429">
        <f t="shared" si="28"/>
        <v>0</v>
      </c>
      <c r="AB152" s="429">
        <f t="shared" si="28"/>
        <v>70</v>
      </c>
      <c r="AC152" s="429">
        <f t="shared" si="28"/>
        <v>0</v>
      </c>
      <c r="AD152" s="429">
        <f t="shared" si="28"/>
        <v>70</v>
      </c>
      <c r="AE152" s="429">
        <f t="shared" si="28"/>
        <v>0</v>
      </c>
      <c r="AF152" s="429">
        <f t="shared" si="28"/>
        <v>70</v>
      </c>
      <c r="AG152" s="429">
        <f t="shared" si="28"/>
        <v>0</v>
      </c>
      <c r="AH152" s="429">
        <f t="shared" si="28"/>
        <v>0</v>
      </c>
      <c r="AI152" s="429">
        <f t="shared" si="28"/>
        <v>70</v>
      </c>
      <c r="AJ152" s="429">
        <f t="shared" si="28"/>
        <v>0</v>
      </c>
      <c r="AK152" s="429">
        <f t="shared" si="28"/>
        <v>70</v>
      </c>
      <c r="AL152" s="429">
        <f t="shared" si="28"/>
        <v>0</v>
      </c>
      <c r="AM152" s="429">
        <f t="shared" si="28"/>
        <v>0</v>
      </c>
      <c r="AN152" s="429">
        <f t="shared" si="28"/>
        <v>0</v>
      </c>
      <c r="AO152" s="429">
        <f t="shared" si="28"/>
        <v>0</v>
      </c>
      <c r="AP152" s="429">
        <f t="shared" si="28"/>
        <v>0</v>
      </c>
      <c r="AQ152" s="429">
        <f t="shared" si="28"/>
        <v>0</v>
      </c>
      <c r="AR152" s="429">
        <f t="shared" si="28"/>
        <v>0</v>
      </c>
      <c r="AS152" s="429">
        <f t="shared" si="28"/>
        <v>0</v>
      </c>
      <c r="AT152" s="429">
        <f t="shared" si="28"/>
        <v>0</v>
      </c>
      <c r="AU152" s="429">
        <f t="shared" si="28"/>
        <v>0</v>
      </c>
      <c r="AV152" s="429">
        <f t="shared" si="28"/>
        <v>0</v>
      </c>
      <c r="AW152" s="429">
        <f t="shared" si="28"/>
        <v>0</v>
      </c>
      <c r="AX152" s="429">
        <f t="shared" si="28"/>
        <v>0</v>
      </c>
      <c r="AY152" s="429">
        <f t="shared" si="28"/>
        <v>0</v>
      </c>
      <c r="AZ152" s="429">
        <f t="shared" si="28"/>
        <v>0</v>
      </c>
      <c r="BA152" s="429">
        <f t="shared" si="28"/>
        <v>0</v>
      </c>
      <c r="BB152" s="454">
        <f t="shared" si="28"/>
        <v>0</v>
      </c>
      <c r="BC152" s="454">
        <f t="shared" si="28"/>
        <v>0</v>
      </c>
      <c r="BD152" s="454">
        <f t="shared" si="28"/>
        <v>0</v>
      </c>
      <c r="BE152" s="454">
        <f t="shared" si="28"/>
        <v>0</v>
      </c>
      <c r="BF152" s="454">
        <f t="shared" si="28"/>
        <v>0</v>
      </c>
      <c r="BG152" s="454">
        <f t="shared" si="28"/>
        <v>0</v>
      </c>
      <c r="BH152" s="454">
        <f t="shared" si="28"/>
        <v>0</v>
      </c>
      <c r="BI152" s="454">
        <f t="shared" si="28"/>
        <v>0</v>
      </c>
      <c r="BJ152" s="454">
        <f t="shared" si="28"/>
        <v>0</v>
      </c>
      <c r="BK152" s="454">
        <f t="shared" si="28"/>
        <v>0</v>
      </c>
      <c r="BL152" s="454">
        <f t="shared" si="28"/>
        <v>0</v>
      </c>
      <c r="BM152" s="454">
        <f t="shared" si="28"/>
        <v>0</v>
      </c>
      <c r="BN152" s="454">
        <f t="shared" si="28"/>
        <v>0</v>
      </c>
      <c r="BO152" s="454">
        <f t="shared" si="28"/>
        <v>0</v>
      </c>
      <c r="BP152" s="454">
        <f t="shared" si="28"/>
        <v>0</v>
      </c>
      <c r="BQ152" s="454">
        <f t="shared" si="28"/>
        <v>0</v>
      </c>
      <c r="BR152" s="454">
        <f t="shared" si="28"/>
        <v>0</v>
      </c>
      <c r="BS152" s="454"/>
      <c r="BT152" s="454"/>
    </row>
    <row r="153" spans="1:72" ht="30.75" outlineLevel="1">
      <c r="A153" s="438">
        <v>1</v>
      </c>
      <c r="B153" s="739" t="s">
        <v>1655</v>
      </c>
      <c r="C153" s="420" t="s">
        <v>1656</v>
      </c>
      <c r="D153" s="434" t="s">
        <v>1590</v>
      </c>
      <c r="E153" s="588" t="s">
        <v>49</v>
      </c>
      <c r="F153" s="588" t="s">
        <v>48</v>
      </c>
      <c r="G153" s="738" t="s">
        <v>1657</v>
      </c>
      <c r="H153" s="712" t="s">
        <v>1597</v>
      </c>
      <c r="I153" s="422">
        <v>2025</v>
      </c>
      <c r="J153" s="424">
        <v>2025</v>
      </c>
      <c r="K153" s="588" t="s">
        <v>1340</v>
      </c>
      <c r="L153" s="420" t="s">
        <v>1658</v>
      </c>
      <c r="M153" s="373">
        <v>948</v>
      </c>
      <c r="N153" s="448">
        <v>862</v>
      </c>
      <c r="O153" s="374"/>
      <c r="P153" s="373">
        <v>86</v>
      </c>
      <c r="Q153" s="454"/>
      <c r="R153" s="712" t="s">
        <v>1597</v>
      </c>
      <c r="S153" s="434" t="s">
        <v>1588</v>
      </c>
      <c r="T153" s="434" t="s">
        <v>1590</v>
      </c>
      <c r="U153" s="429"/>
      <c r="V153" s="429"/>
      <c r="W153" s="429"/>
      <c r="X153" s="429"/>
      <c r="Y153" s="145">
        <f t="shared" si="22"/>
        <v>20</v>
      </c>
      <c r="Z153" s="375"/>
      <c r="AA153" s="375"/>
      <c r="AB153" s="370">
        <f t="shared" si="23"/>
        <v>20</v>
      </c>
      <c r="AC153" s="370">
        <v>0</v>
      </c>
      <c r="AD153" s="145">
        <v>20</v>
      </c>
      <c r="AE153" s="375"/>
      <c r="AF153" s="145">
        <f t="shared" si="24"/>
        <v>20</v>
      </c>
      <c r="AG153" s="375"/>
      <c r="AH153" s="375"/>
      <c r="AI153" s="145">
        <f t="shared" si="25"/>
        <v>20</v>
      </c>
      <c r="AJ153" s="145">
        <v>0</v>
      </c>
      <c r="AK153" s="145">
        <v>20</v>
      </c>
      <c r="AL153" s="375"/>
      <c r="AM153" s="375"/>
      <c r="AN153" s="375"/>
      <c r="AO153" s="375"/>
      <c r="AP153" s="375"/>
      <c r="AQ153" s="375"/>
      <c r="AR153" s="375"/>
      <c r="AS153" s="376"/>
      <c r="AT153" s="375"/>
      <c r="AU153" s="145">
        <f t="shared" si="26"/>
        <v>0</v>
      </c>
      <c r="AV153" s="375"/>
      <c r="AW153" s="375"/>
      <c r="AX153" s="145">
        <f t="shared" si="27"/>
        <v>0</v>
      </c>
      <c r="AY153" s="145">
        <v>0</v>
      </c>
      <c r="AZ153" s="375"/>
      <c r="BA153" s="375"/>
      <c r="BB153" s="375"/>
      <c r="BC153" s="375"/>
      <c r="BD153" s="375"/>
      <c r="BE153" s="376"/>
      <c r="BF153" s="376"/>
      <c r="BG153" s="376"/>
      <c r="BH153" s="376"/>
      <c r="BI153" s="376"/>
      <c r="BJ153" s="376"/>
      <c r="BK153" s="376"/>
      <c r="BL153" s="376"/>
      <c r="BM153" s="376"/>
      <c r="BN153" s="376"/>
      <c r="BO153" s="376"/>
      <c r="BP153" s="376"/>
      <c r="BQ153" s="376"/>
      <c r="BR153" s="504"/>
      <c r="BS153" s="504"/>
      <c r="BT153" s="552"/>
    </row>
    <row r="154" spans="1:72" ht="30.75" outlineLevel="1">
      <c r="A154" s="438">
        <v>2</v>
      </c>
      <c r="B154" s="739" t="s">
        <v>1659</v>
      </c>
      <c r="C154" s="420" t="s">
        <v>1660</v>
      </c>
      <c r="D154" s="434" t="s">
        <v>1590</v>
      </c>
      <c r="E154" s="588" t="s">
        <v>49</v>
      </c>
      <c r="F154" s="588" t="s">
        <v>55</v>
      </c>
      <c r="G154" s="738" t="s">
        <v>1661</v>
      </c>
      <c r="H154" s="712" t="s">
        <v>1613</v>
      </c>
      <c r="I154" s="422">
        <v>2025</v>
      </c>
      <c r="J154" s="424">
        <v>2025</v>
      </c>
      <c r="K154" s="588" t="s">
        <v>1351</v>
      </c>
      <c r="L154" s="420" t="s">
        <v>1662</v>
      </c>
      <c r="M154" s="373">
        <v>1196</v>
      </c>
      <c r="N154" s="448">
        <v>775</v>
      </c>
      <c r="O154" s="374"/>
      <c r="P154" s="373">
        <v>421</v>
      </c>
      <c r="Q154" s="454"/>
      <c r="R154" s="712" t="s">
        <v>1613</v>
      </c>
      <c r="S154" s="434" t="s">
        <v>1588</v>
      </c>
      <c r="T154" s="434" t="s">
        <v>1590</v>
      </c>
      <c r="U154" s="429"/>
      <c r="V154" s="429"/>
      <c r="W154" s="429"/>
      <c r="X154" s="429"/>
      <c r="Y154" s="145">
        <f t="shared" si="22"/>
        <v>50</v>
      </c>
      <c r="Z154" s="375"/>
      <c r="AA154" s="375"/>
      <c r="AB154" s="370">
        <f t="shared" si="23"/>
        <v>50</v>
      </c>
      <c r="AC154" s="370">
        <v>0</v>
      </c>
      <c r="AD154" s="145">
        <v>50</v>
      </c>
      <c r="AE154" s="375"/>
      <c r="AF154" s="145">
        <f t="shared" si="24"/>
        <v>50</v>
      </c>
      <c r="AG154" s="375"/>
      <c r="AH154" s="375"/>
      <c r="AI154" s="145">
        <f t="shared" si="25"/>
        <v>50</v>
      </c>
      <c r="AJ154" s="145">
        <v>0</v>
      </c>
      <c r="AK154" s="145">
        <v>50</v>
      </c>
      <c r="AL154" s="375"/>
      <c r="AM154" s="375"/>
      <c r="AN154" s="375"/>
      <c r="AO154" s="375"/>
      <c r="AP154" s="375"/>
      <c r="AQ154" s="375"/>
      <c r="AR154" s="375"/>
      <c r="AS154" s="376"/>
      <c r="AT154" s="375"/>
      <c r="AU154" s="145">
        <f t="shared" si="26"/>
        <v>0</v>
      </c>
      <c r="AV154" s="375"/>
      <c r="AW154" s="375"/>
      <c r="AX154" s="145">
        <f t="shared" si="27"/>
        <v>0</v>
      </c>
      <c r="AY154" s="145">
        <v>0</v>
      </c>
      <c r="AZ154" s="375"/>
      <c r="BA154" s="375"/>
      <c r="BB154" s="375"/>
      <c r="BC154" s="375"/>
      <c r="BD154" s="375"/>
      <c r="BE154" s="376"/>
      <c r="BF154" s="376"/>
      <c r="BG154" s="376"/>
      <c r="BH154" s="376"/>
      <c r="BI154" s="376"/>
      <c r="BJ154" s="376"/>
      <c r="BK154" s="376"/>
      <c r="BL154" s="376"/>
      <c r="BM154" s="376"/>
      <c r="BN154" s="376"/>
      <c r="BO154" s="376"/>
      <c r="BP154" s="376"/>
      <c r="BQ154" s="376"/>
      <c r="BR154" s="504"/>
      <c r="BS154" s="504"/>
      <c r="BT154" s="552"/>
    </row>
    <row r="155" spans="1:72" ht="36.75" customHeight="1" outlineLevel="1">
      <c r="A155" s="553" t="s">
        <v>45</v>
      </c>
      <c r="B155" s="715" t="s">
        <v>51</v>
      </c>
      <c r="C155" s="418"/>
      <c r="D155" s="454"/>
      <c r="E155" s="418"/>
      <c r="F155" s="418"/>
      <c r="G155" s="418"/>
      <c r="H155" s="454"/>
      <c r="I155" s="418"/>
      <c r="J155" s="418"/>
      <c r="K155" s="418"/>
      <c r="L155" s="418"/>
      <c r="M155" s="429">
        <f>SUM(M156:M181)</f>
        <v>44454.007599999997</v>
      </c>
      <c r="N155" s="429">
        <f t="shared" ref="N155:BR155" si="29">SUM(N156:N181)</f>
        <v>0</v>
      </c>
      <c r="O155" s="429">
        <f t="shared" si="29"/>
        <v>0</v>
      </c>
      <c r="P155" s="429">
        <f t="shared" si="29"/>
        <v>35739.612000000008</v>
      </c>
      <c r="Q155" s="454">
        <f t="shared" si="29"/>
        <v>0</v>
      </c>
      <c r="R155" s="454">
        <f t="shared" si="29"/>
        <v>0</v>
      </c>
      <c r="S155" s="454">
        <f t="shared" si="29"/>
        <v>0</v>
      </c>
      <c r="T155" s="454">
        <f t="shared" si="29"/>
        <v>0</v>
      </c>
      <c r="U155" s="429">
        <f t="shared" si="29"/>
        <v>0</v>
      </c>
      <c r="V155" s="429">
        <f t="shared" si="29"/>
        <v>0</v>
      </c>
      <c r="W155" s="429">
        <f t="shared" si="29"/>
        <v>0</v>
      </c>
      <c r="X155" s="429">
        <f t="shared" si="29"/>
        <v>0</v>
      </c>
      <c r="Y155" s="429">
        <f t="shared" si="29"/>
        <v>30626.429</v>
      </c>
      <c r="Z155" s="429">
        <f t="shared" si="29"/>
        <v>0</v>
      </c>
      <c r="AA155" s="429">
        <f t="shared" si="29"/>
        <v>0</v>
      </c>
      <c r="AB155" s="429">
        <f t="shared" si="29"/>
        <v>30626.429</v>
      </c>
      <c r="AC155" s="429">
        <f t="shared" si="29"/>
        <v>5169.5</v>
      </c>
      <c r="AD155" s="429">
        <f t="shared" si="29"/>
        <v>4951.9290000000001</v>
      </c>
      <c r="AE155" s="429">
        <f t="shared" si="29"/>
        <v>20505</v>
      </c>
      <c r="AF155" s="429">
        <f t="shared" si="29"/>
        <v>29209.429</v>
      </c>
      <c r="AG155" s="429">
        <f t="shared" si="29"/>
        <v>0</v>
      </c>
      <c r="AH155" s="429">
        <f t="shared" si="29"/>
        <v>0</v>
      </c>
      <c r="AI155" s="429">
        <f t="shared" si="29"/>
        <v>29209.429</v>
      </c>
      <c r="AJ155" s="429">
        <f t="shared" si="29"/>
        <v>3415</v>
      </c>
      <c r="AK155" s="429">
        <f t="shared" si="29"/>
        <v>4951.9290000000001</v>
      </c>
      <c r="AL155" s="429">
        <f t="shared" si="29"/>
        <v>20842.5</v>
      </c>
      <c r="AM155" s="429">
        <f t="shared" si="29"/>
        <v>8896.4943519999997</v>
      </c>
      <c r="AN155" s="429">
        <f t="shared" si="29"/>
        <v>0</v>
      </c>
      <c r="AO155" s="429">
        <f t="shared" si="29"/>
        <v>323.346902</v>
      </c>
      <c r="AP155" s="429">
        <f t="shared" si="29"/>
        <v>8573.1474500000004</v>
      </c>
      <c r="AQ155" s="429">
        <f t="shared" si="29"/>
        <v>4414.58</v>
      </c>
      <c r="AR155" s="429">
        <f t="shared" si="29"/>
        <v>0</v>
      </c>
      <c r="AS155" s="429">
        <f t="shared" si="29"/>
        <v>4158.5674499999996</v>
      </c>
      <c r="AT155" s="429">
        <f t="shared" si="29"/>
        <v>323.346902</v>
      </c>
      <c r="AU155" s="429">
        <f t="shared" si="29"/>
        <v>1360</v>
      </c>
      <c r="AV155" s="429">
        <f t="shared" si="29"/>
        <v>0</v>
      </c>
      <c r="AW155" s="429">
        <f t="shared" si="29"/>
        <v>0</v>
      </c>
      <c r="AX155" s="429">
        <f t="shared" si="29"/>
        <v>1360</v>
      </c>
      <c r="AY155" s="429">
        <f t="shared" si="29"/>
        <v>1360</v>
      </c>
      <c r="AZ155" s="429">
        <f t="shared" si="29"/>
        <v>0</v>
      </c>
      <c r="BA155" s="429">
        <f t="shared" si="29"/>
        <v>0</v>
      </c>
      <c r="BB155" s="454">
        <f t="shared" si="29"/>
        <v>1865.58</v>
      </c>
      <c r="BC155" s="454">
        <f t="shared" si="29"/>
        <v>0</v>
      </c>
      <c r="BD155" s="454">
        <f t="shared" si="29"/>
        <v>0</v>
      </c>
      <c r="BE155" s="454">
        <f t="shared" si="29"/>
        <v>1865.58</v>
      </c>
      <c r="BF155" s="454">
        <f t="shared" si="29"/>
        <v>1865.58</v>
      </c>
      <c r="BG155" s="454">
        <f t="shared" si="29"/>
        <v>0</v>
      </c>
      <c r="BH155" s="454">
        <f t="shared" si="29"/>
        <v>0</v>
      </c>
      <c r="BI155" s="454">
        <f t="shared" si="29"/>
        <v>0</v>
      </c>
      <c r="BJ155" s="454">
        <f t="shared" si="29"/>
        <v>0</v>
      </c>
      <c r="BK155" s="454">
        <f t="shared" si="29"/>
        <v>0</v>
      </c>
      <c r="BL155" s="454">
        <f t="shared" si="29"/>
        <v>0</v>
      </c>
      <c r="BM155" s="454">
        <f t="shared" si="29"/>
        <v>0</v>
      </c>
      <c r="BN155" s="454">
        <f t="shared" si="29"/>
        <v>0</v>
      </c>
      <c r="BO155" s="454">
        <f t="shared" si="29"/>
        <v>0</v>
      </c>
      <c r="BP155" s="454">
        <f t="shared" si="29"/>
        <v>0</v>
      </c>
      <c r="BQ155" s="454">
        <f t="shared" si="29"/>
        <v>0</v>
      </c>
      <c r="BR155" s="454">
        <f t="shared" si="29"/>
        <v>0</v>
      </c>
      <c r="BS155" s="454"/>
      <c r="BT155" s="454"/>
    </row>
    <row r="156" spans="1:72" ht="30.75" outlineLevel="1">
      <c r="A156" s="438">
        <v>1</v>
      </c>
      <c r="B156" s="710" t="s">
        <v>1663</v>
      </c>
      <c r="C156" s="420" t="s">
        <v>1238</v>
      </c>
      <c r="D156" s="434" t="s">
        <v>1590</v>
      </c>
      <c r="E156" s="588" t="s">
        <v>49</v>
      </c>
      <c r="F156" s="588" t="s">
        <v>105</v>
      </c>
      <c r="G156" s="747">
        <v>7930067</v>
      </c>
      <c r="H156" s="712" t="s">
        <v>1592</v>
      </c>
      <c r="I156" s="422">
        <v>2021</v>
      </c>
      <c r="J156" s="424">
        <v>2021</v>
      </c>
      <c r="K156" s="420" t="s">
        <v>1234</v>
      </c>
      <c r="L156" s="438" t="s">
        <v>1664</v>
      </c>
      <c r="M156" s="368">
        <v>900</v>
      </c>
      <c r="N156" s="448"/>
      <c r="O156" s="448"/>
      <c r="P156" s="368">
        <v>900</v>
      </c>
      <c r="Q156" s="434" t="s">
        <v>1665</v>
      </c>
      <c r="R156" s="712" t="s">
        <v>1592</v>
      </c>
      <c r="S156" s="434" t="s">
        <v>1588</v>
      </c>
      <c r="T156" s="434" t="s">
        <v>1590</v>
      </c>
      <c r="U156" s="462"/>
      <c r="V156" s="462"/>
      <c r="W156" s="462"/>
      <c r="X156" s="462"/>
      <c r="Y156" s="145">
        <f t="shared" si="22"/>
        <v>878.85900000000004</v>
      </c>
      <c r="Z156" s="145"/>
      <c r="AA156" s="145"/>
      <c r="AB156" s="370">
        <f t="shared" si="23"/>
        <v>878.85900000000004</v>
      </c>
      <c r="AC156" s="370">
        <v>0</v>
      </c>
      <c r="AD156" s="370">
        <v>878.85900000000004</v>
      </c>
      <c r="AE156" s="145"/>
      <c r="AF156" s="145">
        <f t="shared" si="24"/>
        <v>878.85900000000004</v>
      </c>
      <c r="AG156" s="145"/>
      <c r="AH156" s="145"/>
      <c r="AI156" s="145">
        <f t="shared" si="25"/>
        <v>878.85900000000004</v>
      </c>
      <c r="AJ156" s="145">
        <v>0</v>
      </c>
      <c r="AK156" s="145">
        <v>878.85900000000004</v>
      </c>
      <c r="AL156" s="145"/>
      <c r="AM156" s="145">
        <v>2979.2249999999999</v>
      </c>
      <c r="AN156" s="145"/>
      <c r="AO156" s="145"/>
      <c r="AP156" s="145">
        <v>2979.2249999999999</v>
      </c>
      <c r="AQ156" s="145"/>
      <c r="AR156" s="145"/>
      <c r="AS156" s="145">
        <v>2979.2249999999999</v>
      </c>
      <c r="AT156" s="145"/>
      <c r="AU156" s="145">
        <f t="shared" si="26"/>
        <v>0</v>
      </c>
      <c r="AV156" s="145"/>
      <c r="AW156" s="145"/>
      <c r="AX156" s="145">
        <f t="shared" si="27"/>
        <v>0</v>
      </c>
      <c r="AY156" s="145">
        <v>0</v>
      </c>
      <c r="AZ156" s="370"/>
      <c r="BA156" s="145"/>
      <c r="BB156" s="145"/>
      <c r="BC156" s="145"/>
      <c r="BD156" s="145"/>
      <c r="BE156" s="370"/>
      <c r="BF156" s="370"/>
      <c r="BG156" s="370"/>
      <c r="BH156" s="370"/>
      <c r="BI156" s="370"/>
      <c r="BJ156" s="370"/>
      <c r="BK156" s="370"/>
      <c r="BL156" s="370"/>
      <c r="BM156" s="370"/>
      <c r="BN156" s="370"/>
      <c r="BO156" s="370"/>
      <c r="BP156" s="370"/>
      <c r="BQ156" s="370"/>
      <c r="BR156" s="716">
        <v>0</v>
      </c>
      <c r="BS156" s="716"/>
      <c r="BT156" s="424"/>
    </row>
    <row r="157" spans="1:72" ht="30.75" outlineLevel="1">
      <c r="A157" s="438">
        <v>2</v>
      </c>
      <c r="B157" s="710" t="s">
        <v>1666</v>
      </c>
      <c r="C157" s="420" t="s">
        <v>1238</v>
      </c>
      <c r="D157" s="434" t="s">
        <v>1590</v>
      </c>
      <c r="E157" s="588" t="s">
        <v>49</v>
      </c>
      <c r="F157" s="588" t="s">
        <v>105</v>
      </c>
      <c r="G157" s="422">
        <v>7930058</v>
      </c>
      <c r="H157" s="712" t="s">
        <v>1613</v>
      </c>
      <c r="I157" s="422">
        <v>2021</v>
      </c>
      <c r="J157" s="424">
        <v>2021</v>
      </c>
      <c r="K157" s="420" t="s">
        <v>1375</v>
      </c>
      <c r="L157" s="438" t="s">
        <v>1667</v>
      </c>
      <c r="M157" s="368">
        <v>600</v>
      </c>
      <c r="N157" s="448"/>
      <c r="O157" s="448"/>
      <c r="P157" s="368">
        <v>600</v>
      </c>
      <c r="Q157" s="434" t="s">
        <v>1668</v>
      </c>
      <c r="R157" s="712" t="s">
        <v>1613</v>
      </c>
      <c r="S157" s="434" t="s">
        <v>1588</v>
      </c>
      <c r="T157" s="434" t="s">
        <v>1590</v>
      </c>
      <c r="U157" s="462"/>
      <c r="V157" s="462"/>
      <c r="W157" s="462"/>
      <c r="X157" s="462"/>
      <c r="Y157" s="145">
        <f t="shared" si="22"/>
        <v>600</v>
      </c>
      <c r="Z157" s="145"/>
      <c r="AA157" s="145"/>
      <c r="AB157" s="370">
        <f t="shared" si="23"/>
        <v>600</v>
      </c>
      <c r="AC157" s="370">
        <v>0</v>
      </c>
      <c r="AD157" s="370">
        <v>600</v>
      </c>
      <c r="AE157" s="145"/>
      <c r="AF157" s="145">
        <f t="shared" si="24"/>
        <v>600</v>
      </c>
      <c r="AG157" s="370"/>
      <c r="AH157" s="370"/>
      <c r="AI157" s="145">
        <f t="shared" si="25"/>
        <v>600</v>
      </c>
      <c r="AJ157" s="145">
        <v>0</v>
      </c>
      <c r="AK157" s="145">
        <v>600</v>
      </c>
      <c r="AL157" s="370"/>
      <c r="AM157" s="370">
        <v>0</v>
      </c>
      <c r="AN157" s="370"/>
      <c r="AO157" s="370"/>
      <c r="AP157" s="370">
        <v>0</v>
      </c>
      <c r="AQ157" s="370"/>
      <c r="AR157" s="370"/>
      <c r="AS157" s="370">
        <v>0</v>
      </c>
      <c r="AT157" s="370"/>
      <c r="AU157" s="145">
        <f t="shared" si="26"/>
        <v>0</v>
      </c>
      <c r="AV157" s="145"/>
      <c r="AW157" s="145"/>
      <c r="AX157" s="145">
        <f t="shared" si="27"/>
        <v>0</v>
      </c>
      <c r="AY157" s="145">
        <v>0</v>
      </c>
      <c r="AZ157" s="371"/>
      <c r="BA157" s="145"/>
      <c r="BB157" s="145"/>
      <c r="BC157" s="145"/>
      <c r="BD157" s="145"/>
      <c r="BE157" s="370"/>
      <c r="BF157" s="145"/>
      <c r="BG157" s="145"/>
      <c r="BH157" s="145"/>
      <c r="BI157" s="145"/>
      <c r="BJ157" s="370"/>
      <c r="BK157" s="370"/>
      <c r="BL157" s="370"/>
      <c r="BM157" s="370"/>
      <c r="BN157" s="370"/>
      <c r="BO157" s="370"/>
      <c r="BP157" s="370"/>
      <c r="BQ157" s="145"/>
      <c r="BR157" s="716">
        <v>0</v>
      </c>
      <c r="BS157" s="716"/>
      <c r="BT157" s="424"/>
    </row>
    <row r="158" spans="1:72" ht="30.75" outlineLevel="1">
      <c r="A158" s="438">
        <v>3</v>
      </c>
      <c r="B158" s="710" t="s">
        <v>1669</v>
      </c>
      <c r="C158" s="420" t="s">
        <v>1238</v>
      </c>
      <c r="D158" s="434" t="s">
        <v>1590</v>
      </c>
      <c r="E158" s="735" t="s">
        <v>49</v>
      </c>
      <c r="F158" s="588" t="s">
        <v>105</v>
      </c>
      <c r="G158" s="422">
        <v>7956490</v>
      </c>
      <c r="H158" s="712" t="s">
        <v>1613</v>
      </c>
      <c r="I158" s="422" t="s">
        <v>76</v>
      </c>
      <c r="J158" s="424">
        <v>2022</v>
      </c>
      <c r="K158" s="420" t="s">
        <v>1446</v>
      </c>
      <c r="L158" s="438" t="s">
        <v>1670</v>
      </c>
      <c r="M158" s="368">
        <v>1675</v>
      </c>
      <c r="N158" s="448"/>
      <c r="O158" s="448"/>
      <c r="P158" s="371">
        <v>1675</v>
      </c>
      <c r="Q158" s="434" t="s">
        <v>1671</v>
      </c>
      <c r="R158" s="712" t="s">
        <v>1613</v>
      </c>
      <c r="S158" s="434" t="s">
        <v>1588</v>
      </c>
      <c r="T158" s="434" t="s">
        <v>1590</v>
      </c>
      <c r="U158" s="462"/>
      <c r="V158" s="462"/>
      <c r="W158" s="462"/>
      <c r="X158" s="462"/>
      <c r="Y158" s="145">
        <f t="shared" si="22"/>
        <v>1675</v>
      </c>
      <c r="Z158" s="145"/>
      <c r="AA158" s="145"/>
      <c r="AB158" s="370">
        <f t="shared" si="23"/>
        <v>1675</v>
      </c>
      <c r="AC158" s="370">
        <v>0</v>
      </c>
      <c r="AD158" s="145">
        <v>1675</v>
      </c>
      <c r="AE158" s="145"/>
      <c r="AF158" s="145">
        <f t="shared" si="24"/>
        <v>1675</v>
      </c>
      <c r="AG158" s="145"/>
      <c r="AH158" s="145"/>
      <c r="AI158" s="145">
        <f t="shared" si="25"/>
        <v>1675</v>
      </c>
      <c r="AJ158" s="145">
        <v>0</v>
      </c>
      <c r="AK158" s="145">
        <v>1675</v>
      </c>
      <c r="AL158" s="145"/>
      <c r="AM158" s="145">
        <v>1179.3424499999999</v>
      </c>
      <c r="AN158" s="145"/>
      <c r="AO158" s="145"/>
      <c r="AP158" s="145">
        <v>1179.3424499999999</v>
      </c>
      <c r="AQ158" s="145"/>
      <c r="AR158" s="145"/>
      <c r="AS158" s="145">
        <v>1179.3424499999999</v>
      </c>
      <c r="AT158" s="145"/>
      <c r="AU158" s="145">
        <f t="shared" si="26"/>
        <v>0</v>
      </c>
      <c r="AV158" s="145"/>
      <c r="AW158" s="145"/>
      <c r="AX158" s="145">
        <f t="shared" si="27"/>
        <v>0</v>
      </c>
      <c r="AY158" s="145">
        <v>0</v>
      </c>
      <c r="AZ158" s="734"/>
      <c r="BA158" s="145"/>
      <c r="BB158" s="145"/>
      <c r="BC158" s="145"/>
      <c r="BD158" s="145"/>
      <c r="BE158" s="370"/>
      <c r="BF158" s="370"/>
      <c r="BG158" s="370"/>
      <c r="BH158" s="370"/>
      <c r="BI158" s="370"/>
      <c r="BJ158" s="370"/>
      <c r="BK158" s="370"/>
      <c r="BL158" s="370"/>
      <c r="BM158" s="145"/>
      <c r="BN158" s="370"/>
      <c r="BO158" s="370"/>
      <c r="BP158" s="370"/>
      <c r="BQ158" s="145"/>
      <c r="BR158" s="716">
        <v>0</v>
      </c>
      <c r="BS158" s="716"/>
      <c r="BT158" s="424"/>
    </row>
    <row r="159" spans="1:72" ht="30.75" outlineLevel="1">
      <c r="A159" s="438">
        <v>4</v>
      </c>
      <c r="B159" s="710" t="s">
        <v>1672</v>
      </c>
      <c r="C159" s="420" t="s">
        <v>1238</v>
      </c>
      <c r="D159" s="434" t="s">
        <v>1590</v>
      </c>
      <c r="E159" s="735" t="s">
        <v>49</v>
      </c>
      <c r="F159" s="588" t="s">
        <v>105</v>
      </c>
      <c r="G159" s="422">
        <v>7956487</v>
      </c>
      <c r="H159" s="434" t="s">
        <v>1597</v>
      </c>
      <c r="I159" s="422" t="s">
        <v>76</v>
      </c>
      <c r="J159" s="424">
        <v>2022</v>
      </c>
      <c r="K159" s="420" t="s">
        <v>1446</v>
      </c>
      <c r="L159" s="438" t="s">
        <v>1673</v>
      </c>
      <c r="M159" s="368">
        <v>1675</v>
      </c>
      <c r="N159" s="448"/>
      <c r="O159" s="448"/>
      <c r="P159" s="371">
        <v>1675</v>
      </c>
      <c r="Q159" s="434" t="s">
        <v>1674</v>
      </c>
      <c r="R159" s="434" t="s">
        <v>1597</v>
      </c>
      <c r="S159" s="434" t="s">
        <v>1588</v>
      </c>
      <c r="T159" s="434" t="s">
        <v>1590</v>
      </c>
      <c r="U159" s="462"/>
      <c r="V159" s="462"/>
      <c r="W159" s="462"/>
      <c r="X159" s="462"/>
      <c r="Y159" s="145">
        <f t="shared" si="22"/>
        <v>1675</v>
      </c>
      <c r="Z159" s="145"/>
      <c r="AA159" s="145"/>
      <c r="AB159" s="370">
        <f t="shared" si="23"/>
        <v>1675</v>
      </c>
      <c r="AC159" s="370">
        <v>0</v>
      </c>
      <c r="AD159" s="145">
        <v>1675</v>
      </c>
      <c r="AE159" s="145"/>
      <c r="AF159" s="145">
        <f t="shared" si="24"/>
        <v>1675</v>
      </c>
      <c r="AG159" s="145"/>
      <c r="AH159" s="145"/>
      <c r="AI159" s="145">
        <f t="shared" si="25"/>
        <v>1675</v>
      </c>
      <c r="AJ159" s="145">
        <v>0</v>
      </c>
      <c r="AK159" s="145">
        <v>1675</v>
      </c>
      <c r="AL159" s="145"/>
      <c r="AM159" s="145"/>
      <c r="AN159" s="145"/>
      <c r="AO159" s="145"/>
      <c r="AP159" s="145"/>
      <c r="AQ159" s="145"/>
      <c r="AR159" s="145"/>
      <c r="AS159" s="145"/>
      <c r="AT159" s="145"/>
      <c r="AU159" s="145">
        <f t="shared" si="26"/>
        <v>0</v>
      </c>
      <c r="AV159" s="145"/>
      <c r="AW159" s="145"/>
      <c r="AX159" s="145">
        <f t="shared" si="27"/>
        <v>0</v>
      </c>
      <c r="AY159" s="145">
        <v>0</v>
      </c>
      <c r="AZ159" s="734"/>
      <c r="BA159" s="145"/>
      <c r="BB159" s="145"/>
      <c r="BC159" s="145"/>
      <c r="BD159" s="145"/>
      <c r="BE159" s="370"/>
      <c r="BF159" s="370"/>
      <c r="BG159" s="370"/>
      <c r="BH159" s="734"/>
      <c r="BI159" s="370"/>
      <c r="BJ159" s="370"/>
      <c r="BK159" s="370"/>
      <c r="BL159" s="370"/>
      <c r="BM159" s="734"/>
      <c r="BN159" s="370"/>
      <c r="BO159" s="370"/>
      <c r="BP159" s="370"/>
      <c r="BQ159" s="734"/>
      <c r="BR159" s="716">
        <v>0</v>
      </c>
      <c r="BS159" s="716"/>
      <c r="BT159" s="424"/>
    </row>
    <row r="160" spans="1:72" ht="30.75" outlineLevel="1">
      <c r="A160" s="438">
        <v>5</v>
      </c>
      <c r="B160" s="710" t="s">
        <v>1606</v>
      </c>
      <c r="C160" s="420" t="s">
        <v>1238</v>
      </c>
      <c r="D160" s="434" t="s">
        <v>1590</v>
      </c>
      <c r="E160" s="588" t="s">
        <v>49</v>
      </c>
      <c r="F160" s="588" t="s">
        <v>105</v>
      </c>
      <c r="G160" s="588" t="s">
        <v>1607</v>
      </c>
      <c r="H160" s="712" t="s">
        <v>1592</v>
      </c>
      <c r="I160" s="712" t="s">
        <v>1675</v>
      </c>
      <c r="J160" s="424">
        <v>2023</v>
      </c>
      <c r="K160" s="420" t="s">
        <v>1676</v>
      </c>
      <c r="L160" s="420" t="s">
        <v>1609</v>
      </c>
      <c r="M160" s="368">
        <v>450</v>
      </c>
      <c r="N160" s="448"/>
      <c r="O160" s="448"/>
      <c r="P160" s="368">
        <v>450</v>
      </c>
      <c r="Q160" s="434" t="s">
        <v>1610</v>
      </c>
      <c r="R160" s="712" t="s">
        <v>1592</v>
      </c>
      <c r="S160" s="434" t="s">
        <v>1588</v>
      </c>
      <c r="T160" s="434" t="s">
        <v>1590</v>
      </c>
      <c r="U160" s="462"/>
      <c r="V160" s="462"/>
      <c r="W160" s="462"/>
      <c r="X160" s="462"/>
      <c r="Y160" s="145">
        <f t="shared" si="22"/>
        <v>450</v>
      </c>
      <c r="Z160" s="145"/>
      <c r="AA160" s="145"/>
      <c r="AB160" s="370">
        <f t="shared" si="23"/>
        <v>450</v>
      </c>
      <c r="AC160" s="370">
        <v>450</v>
      </c>
      <c r="AD160" s="145"/>
      <c r="AE160" s="145"/>
      <c r="AF160" s="145">
        <f t="shared" si="24"/>
        <v>400</v>
      </c>
      <c r="AG160" s="145"/>
      <c r="AH160" s="145"/>
      <c r="AI160" s="145">
        <f t="shared" si="25"/>
        <v>400</v>
      </c>
      <c r="AJ160" s="145">
        <v>400</v>
      </c>
      <c r="AK160" s="145"/>
      <c r="AL160" s="145"/>
      <c r="AM160" s="145"/>
      <c r="AN160" s="145"/>
      <c r="AO160" s="145"/>
      <c r="AP160" s="145"/>
      <c r="AQ160" s="145"/>
      <c r="AR160" s="370"/>
      <c r="AS160" s="370"/>
      <c r="AT160" s="370"/>
      <c r="AU160" s="145">
        <f t="shared" si="26"/>
        <v>0</v>
      </c>
      <c r="AV160" s="145"/>
      <c r="AW160" s="145"/>
      <c r="AX160" s="145">
        <f t="shared" si="27"/>
        <v>0</v>
      </c>
      <c r="AY160" s="145">
        <v>0</v>
      </c>
      <c r="AZ160" s="145"/>
      <c r="BA160" s="145"/>
      <c r="BB160" s="145"/>
      <c r="BC160" s="145"/>
      <c r="BD160" s="145"/>
      <c r="BE160" s="145"/>
      <c r="BF160" s="145"/>
      <c r="BG160" s="370"/>
      <c r="BH160" s="370"/>
      <c r="BI160" s="370"/>
      <c r="BJ160" s="370"/>
      <c r="BK160" s="370"/>
      <c r="BL160" s="370"/>
      <c r="BM160" s="145"/>
      <c r="BN160" s="370"/>
      <c r="BO160" s="370"/>
      <c r="BP160" s="370"/>
      <c r="BQ160" s="145"/>
      <c r="BR160" s="716"/>
      <c r="BS160" s="716"/>
      <c r="BT160" s="424"/>
    </row>
    <row r="161" spans="1:72" ht="36" customHeight="1" outlineLevel="1">
      <c r="A161" s="438">
        <v>6</v>
      </c>
      <c r="B161" s="710" t="s">
        <v>1677</v>
      </c>
      <c r="C161" s="420" t="s">
        <v>1238</v>
      </c>
      <c r="D161" s="434" t="s">
        <v>1590</v>
      </c>
      <c r="E161" s="588" t="s">
        <v>49</v>
      </c>
      <c r="F161" s="588" t="s">
        <v>105</v>
      </c>
      <c r="G161" s="588">
        <v>8039851</v>
      </c>
      <c r="H161" s="712" t="s">
        <v>1613</v>
      </c>
      <c r="I161" s="712" t="s">
        <v>84</v>
      </c>
      <c r="J161" s="424">
        <v>2024</v>
      </c>
      <c r="K161" s="420" t="s">
        <v>1678</v>
      </c>
      <c r="L161" s="420" t="s">
        <v>1679</v>
      </c>
      <c r="M161" s="368">
        <v>1360</v>
      </c>
      <c r="N161" s="448"/>
      <c r="O161" s="448"/>
      <c r="P161" s="368">
        <v>1360</v>
      </c>
      <c r="Q161" s="434"/>
      <c r="R161" s="712" t="s">
        <v>1613</v>
      </c>
      <c r="S161" s="434" t="s">
        <v>1588</v>
      </c>
      <c r="T161" s="434" t="s">
        <v>1590</v>
      </c>
      <c r="U161" s="462"/>
      <c r="V161" s="462"/>
      <c r="W161" s="462"/>
      <c r="X161" s="462"/>
      <c r="Y161" s="145">
        <f t="shared" si="22"/>
        <v>1390</v>
      </c>
      <c r="Z161" s="145"/>
      <c r="AA161" s="145"/>
      <c r="AB161" s="370">
        <f t="shared" si="23"/>
        <v>1390</v>
      </c>
      <c r="AC161" s="370">
        <v>1360</v>
      </c>
      <c r="AD161" s="145">
        <v>30</v>
      </c>
      <c r="AE161" s="145"/>
      <c r="AF161" s="145">
        <f t="shared" si="24"/>
        <v>30</v>
      </c>
      <c r="AG161" s="145"/>
      <c r="AH161" s="145"/>
      <c r="AI161" s="145">
        <f t="shared" si="25"/>
        <v>30</v>
      </c>
      <c r="AJ161" s="145">
        <v>0</v>
      </c>
      <c r="AK161" s="145">
        <v>30</v>
      </c>
      <c r="AL161" s="145"/>
      <c r="AM161" s="145"/>
      <c r="AN161" s="145"/>
      <c r="AO161" s="145"/>
      <c r="AP161" s="145"/>
      <c r="AQ161" s="145"/>
      <c r="AR161" s="370"/>
      <c r="AS161" s="370"/>
      <c r="AT161" s="370"/>
      <c r="AU161" s="145">
        <f t="shared" si="26"/>
        <v>1360</v>
      </c>
      <c r="AV161" s="145"/>
      <c r="AW161" s="145"/>
      <c r="AX161" s="145">
        <f t="shared" si="27"/>
        <v>1360</v>
      </c>
      <c r="AY161" s="145">
        <v>1360</v>
      </c>
      <c r="AZ161" s="145"/>
      <c r="BA161" s="145"/>
      <c r="BB161" s="145"/>
      <c r="BC161" s="145"/>
      <c r="BD161" s="145"/>
      <c r="BE161" s="145"/>
      <c r="BF161" s="145"/>
      <c r="BG161" s="370"/>
      <c r="BH161" s="370"/>
      <c r="BI161" s="370"/>
      <c r="BJ161" s="370"/>
      <c r="BK161" s="370"/>
      <c r="BL161" s="370"/>
      <c r="BM161" s="145"/>
      <c r="BN161" s="370"/>
      <c r="BO161" s="370"/>
      <c r="BP161" s="370"/>
      <c r="BQ161" s="145"/>
      <c r="BR161" s="716"/>
      <c r="BS161" s="716"/>
      <c r="BT161" s="424"/>
    </row>
    <row r="162" spans="1:72" ht="36" customHeight="1" outlineLevel="1">
      <c r="A162" s="438">
        <v>7</v>
      </c>
      <c r="B162" s="710" t="s">
        <v>1680</v>
      </c>
      <c r="C162" s="420" t="s">
        <v>1238</v>
      </c>
      <c r="D162" s="434" t="s">
        <v>1590</v>
      </c>
      <c r="E162" s="588" t="s">
        <v>49</v>
      </c>
      <c r="F162" s="588" t="s">
        <v>105</v>
      </c>
      <c r="G162" s="588">
        <v>7930056</v>
      </c>
      <c r="H162" s="712" t="s">
        <v>1597</v>
      </c>
      <c r="I162" s="712" t="s">
        <v>76</v>
      </c>
      <c r="J162" s="424">
        <v>2023</v>
      </c>
      <c r="K162" s="420" t="s">
        <v>1375</v>
      </c>
      <c r="L162" s="420" t="s">
        <v>1604</v>
      </c>
      <c r="M162" s="368">
        <v>700</v>
      </c>
      <c r="N162" s="448"/>
      <c r="O162" s="448"/>
      <c r="P162" s="368">
        <v>700</v>
      </c>
      <c r="Q162" s="420" t="s">
        <v>1605</v>
      </c>
      <c r="R162" s="712" t="s">
        <v>1597</v>
      </c>
      <c r="S162" s="434" t="s">
        <v>1588</v>
      </c>
      <c r="T162" s="434" t="s">
        <v>1590</v>
      </c>
      <c r="U162" s="462"/>
      <c r="V162" s="462"/>
      <c r="W162" s="462"/>
      <c r="X162" s="462"/>
      <c r="Y162" s="145">
        <f t="shared" si="22"/>
        <v>739.27099999999996</v>
      </c>
      <c r="Z162" s="145"/>
      <c r="AA162" s="145"/>
      <c r="AB162" s="370">
        <f t="shared" si="23"/>
        <v>739.27099999999996</v>
      </c>
      <c r="AC162" s="370">
        <v>700</v>
      </c>
      <c r="AD162" s="145">
        <v>39.271000000000001</v>
      </c>
      <c r="AE162" s="145"/>
      <c r="AF162" s="145">
        <f t="shared" si="24"/>
        <v>739.27099999999996</v>
      </c>
      <c r="AG162" s="145"/>
      <c r="AH162" s="145"/>
      <c r="AI162" s="145">
        <f t="shared" si="25"/>
        <v>739.27099999999996</v>
      </c>
      <c r="AJ162" s="145">
        <v>700</v>
      </c>
      <c r="AK162" s="145">
        <v>39.271000000000001</v>
      </c>
      <c r="AL162" s="145"/>
      <c r="AM162" s="145"/>
      <c r="AN162" s="145"/>
      <c r="AO162" s="145"/>
      <c r="AP162" s="145"/>
      <c r="AQ162" s="145"/>
      <c r="AR162" s="145"/>
      <c r="AS162" s="145"/>
      <c r="AT162" s="145"/>
      <c r="AU162" s="145">
        <f t="shared" si="26"/>
        <v>0</v>
      </c>
      <c r="AV162" s="145"/>
      <c r="AW162" s="145"/>
      <c r="AX162" s="145">
        <f t="shared" si="27"/>
        <v>0</v>
      </c>
      <c r="AY162" s="145">
        <v>0</v>
      </c>
      <c r="AZ162" s="145"/>
      <c r="BA162" s="145"/>
      <c r="BB162" s="145"/>
      <c r="BC162" s="145"/>
      <c r="BD162" s="145"/>
      <c r="BE162" s="370"/>
      <c r="BF162" s="370"/>
      <c r="BG162" s="370"/>
      <c r="BH162" s="370"/>
      <c r="BI162" s="370"/>
      <c r="BJ162" s="370"/>
      <c r="BK162" s="370"/>
      <c r="BL162" s="370"/>
      <c r="BM162" s="145"/>
      <c r="BN162" s="370"/>
      <c r="BO162" s="370"/>
      <c r="BP162" s="370"/>
      <c r="BQ162" s="145"/>
      <c r="BR162" s="716"/>
      <c r="BS162" s="716"/>
      <c r="BT162" s="424"/>
    </row>
    <row r="163" spans="1:72" ht="30.75" outlineLevel="1">
      <c r="A163" s="438">
        <v>8</v>
      </c>
      <c r="B163" s="710" t="s">
        <v>1681</v>
      </c>
      <c r="C163" s="420" t="s">
        <v>1238</v>
      </c>
      <c r="D163" s="434" t="s">
        <v>1590</v>
      </c>
      <c r="E163" s="588" t="s">
        <v>49</v>
      </c>
      <c r="F163" s="588" t="s">
        <v>105</v>
      </c>
      <c r="G163" s="736">
        <v>7900052</v>
      </c>
      <c r="H163" s="712" t="s">
        <v>1592</v>
      </c>
      <c r="I163" s="712" t="s">
        <v>76</v>
      </c>
      <c r="J163" s="424">
        <v>2023</v>
      </c>
      <c r="K163" s="420" t="s">
        <v>1375</v>
      </c>
      <c r="L163" s="420" t="s">
        <v>1487</v>
      </c>
      <c r="M163" s="368">
        <v>850</v>
      </c>
      <c r="N163" s="448"/>
      <c r="O163" s="448"/>
      <c r="P163" s="368">
        <v>850</v>
      </c>
      <c r="Q163" s="434" t="s">
        <v>1682</v>
      </c>
      <c r="R163" s="712" t="s">
        <v>1592</v>
      </c>
      <c r="S163" s="434" t="s">
        <v>1588</v>
      </c>
      <c r="T163" s="434" t="s">
        <v>1590</v>
      </c>
      <c r="U163" s="462"/>
      <c r="V163" s="462"/>
      <c r="W163" s="462"/>
      <c r="X163" s="462"/>
      <c r="Y163" s="145">
        <f t="shared" si="22"/>
        <v>849</v>
      </c>
      <c r="Z163" s="145"/>
      <c r="AA163" s="145"/>
      <c r="AB163" s="370">
        <f t="shared" si="23"/>
        <v>849</v>
      </c>
      <c r="AC163" s="370">
        <v>849</v>
      </c>
      <c r="AD163" s="145"/>
      <c r="AE163" s="145"/>
      <c r="AF163" s="145">
        <f t="shared" si="24"/>
        <v>849</v>
      </c>
      <c r="AG163" s="145"/>
      <c r="AH163" s="145"/>
      <c r="AI163" s="145">
        <f t="shared" si="25"/>
        <v>849</v>
      </c>
      <c r="AJ163" s="145">
        <v>849</v>
      </c>
      <c r="AK163" s="145"/>
      <c r="AL163" s="145"/>
      <c r="AM163" s="145">
        <v>849</v>
      </c>
      <c r="AN163" s="145"/>
      <c r="AO163" s="145"/>
      <c r="AP163" s="145">
        <v>849</v>
      </c>
      <c r="AQ163" s="145">
        <v>849</v>
      </c>
      <c r="AR163" s="145"/>
      <c r="AS163" s="145"/>
      <c r="AT163" s="145"/>
      <c r="AU163" s="145">
        <f t="shared" si="26"/>
        <v>0</v>
      </c>
      <c r="AV163" s="145"/>
      <c r="AW163" s="145"/>
      <c r="AX163" s="145">
        <f t="shared" si="27"/>
        <v>0</v>
      </c>
      <c r="AY163" s="145">
        <v>0</v>
      </c>
      <c r="AZ163" s="145"/>
      <c r="BA163" s="145"/>
      <c r="BB163" s="145"/>
      <c r="BC163" s="145"/>
      <c r="BD163" s="145"/>
      <c r="BE163" s="370"/>
      <c r="BF163" s="370"/>
      <c r="BG163" s="370"/>
      <c r="BH163" s="370"/>
      <c r="BI163" s="370"/>
      <c r="BJ163" s="370"/>
      <c r="BK163" s="370"/>
      <c r="BL163" s="370"/>
      <c r="BM163" s="145"/>
      <c r="BN163" s="370"/>
      <c r="BO163" s="370"/>
      <c r="BP163" s="370"/>
      <c r="BQ163" s="145"/>
      <c r="BR163" s="716"/>
      <c r="BS163" s="716"/>
      <c r="BT163" s="424"/>
    </row>
    <row r="164" spans="1:72" ht="30.75" outlineLevel="1">
      <c r="A164" s="438">
        <v>9</v>
      </c>
      <c r="B164" s="710" t="s">
        <v>1683</v>
      </c>
      <c r="C164" s="420" t="s">
        <v>1238</v>
      </c>
      <c r="D164" s="434" t="s">
        <v>1590</v>
      </c>
      <c r="E164" s="588" t="s">
        <v>49</v>
      </c>
      <c r="F164" s="588" t="s">
        <v>105</v>
      </c>
      <c r="G164" s="736">
        <v>7900051</v>
      </c>
      <c r="H164" s="712" t="s">
        <v>1592</v>
      </c>
      <c r="I164" s="712" t="s">
        <v>56</v>
      </c>
      <c r="J164" s="424">
        <v>2023</v>
      </c>
      <c r="K164" s="420" t="s">
        <v>1375</v>
      </c>
      <c r="L164" s="420" t="s">
        <v>1492</v>
      </c>
      <c r="M164" s="368">
        <v>809</v>
      </c>
      <c r="N164" s="448"/>
      <c r="O164" s="448"/>
      <c r="P164" s="368">
        <v>809</v>
      </c>
      <c r="Q164" s="434" t="s">
        <v>1684</v>
      </c>
      <c r="R164" s="712" t="s">
        <v>1592</v>
      </c>
      <c r="S164" s="434" t="s">
        <v>1588</v>
      </c>
      <c r="T164" s="434" t="s">
        <v>1590</v>
      </c>
      <c r="U164" s="462"/>
      <c r="V164" s="462"/>
      <c r="W164" s="462"/>
      <c r="X164" s="462"/>
      <c r="Y164" s="145">
        <f t="shared" si="22"/>
        <v>773</v>
      </c>
      <c r="Z164" s="145"/>
      <c r="AA164" s="145"/>
      <c r="AB164" s="370">
        <f t="shared" si="23"/>
        <v>773</v>
      </c>
      <c r="AC164" s="370">
        <v>773</v>
      </c>
      <c r="AD164" s="145"/>
      <c r="AE164" s="145"/>
      <c r="AF164" s="145">
        <f t="shared" si="24"/>
        <v>773</v>
      </c>
      <c r="AG164" s="145"/>
      <c r="AH164" s="145"/>
      <c r="AI164" s="145">
        <f t="shared" si="25"/>
        <v>773</v>
      </c>
      <c r="AJ164" s="145">
        <v>773</v>
      </c>
      <c r="AK164" s="145"/>
      <c r="AL164" s="145"/>
      <c r="AM164" s="145">
        <v>3565.58</v>
      </c>
      <c r="AN164" s="145"/>
      <c r="AO164" s="145"/>
      <c r="AP164" s="145">
        <v>3565.58</v>
      </c>
      <c r="AQ164" s="145">
        <v>3565.58</v>
      </c>
      <c r="AR164" s="145"/>
      <c r="AS164" s="145"/>
      <c r="AT164" s="145"/>
      <c r="AU164" s="145">
        <f t="shared" si="26"/>
        <v>0</v>
      </c>
      <c r="AV164" s="145"/>
      <c r="AW164" s="145"/>
      <c r="AX164" s="145">
        <f t="shared" si="27"/>
        <v>0</v>
      </c>
      <c r="AY164" s="145">
        <v>0</v>
      </c>
      <c r="AZ164" s="145"/>
      <c r="BA164" s="145"/>
      <c r="BB164" s="145">
        <v>1865.58</v>
      </c>
      <c r="BC164" s="145"/>
      <c r="BD164" s="145"/>
      <c r="BE164" s="370">
        <v>1865.58</v>
      </c>
      <c r="BF164" s="370">
        <v>1865.58</v>
      </c>
      <c r="BG164" s="370"/>
      <c r="BH164" s="370"/>
      <c r="BI164" s="370"/>
      <c r="BJ164" s="370"/>
      <c r="BK164" s="370"/>
      <c r="BL164" s="370"/>
      <c r="BM164" s="145"/>
      <c r="BN164" s="370"/>
      <c r="BO164" s="370"/>
      <c r="BP164" s="370"/>
      <c r="BQ164" s="145"/>
      <c r="BR164" s="716"/>
      <c r="BS164" s="716"/>
      <c r="BT164" s="424"/>
    </row>
    <row r="165" spans="1:72" ht="30.75" outlineLevel="1">
      <c r="A165" s="438">
        <v>10</v>
      </c>
      <c r="B165" s="710" t="s">
        <v>1685</v>
      </c>
      <c r="C165" s="420" t="s">
        <v>1238</v>
      </c>
      <c r="D165" s="434" t="s">
        <v>1590</v>
      </c>
      <c r="E165" s="588" t="s">
        <v>49</v>
      </c>
      <c r="F165" s="588" t="s">
        <v>105</v>
      </c>
      <c r="G165" s="736">
        <v>7906654</v>
      </c>
      <c r="H165" s="712" t="s">
        <v>1613</v>
      </c>
      <c r="I165" s="712" t="s">
        <v>73</v>
      </c>
      <c r="J165" s="424">
        <v>2021</v>
      </c>
      <c r="K165" s="420" t="s">
        <v>1686</v>
      </c>
      <c r="L165" s="420" t="s">
        <v>1687</v>
      </c>
      <c r="M165" s="368">
        <v>700</v>
      </c>
      <c r="N165" s="448"/>
      <c r="O165" s="448"/>
      <c r="P165" s="368">
        <v>700</v>
      </c>
      <c r="Q165" s="434" t="s">
        <v>1688</v>
      </c>
      <c r="R165" s="712" t="s">
        <v>1613</v>
      </c>
      <c r="S165" s="434" t="s">
        <v>1588</v>
      </c>
      <c r="T165" s="434" t="s">
        <v>1590</v>
      </c>
      <c r="U165" s="462"/>
      <c r="V165" s="462"/>
      <c r="W165" s="462"/>
      <c r="X165" s="462"/>
      <c r="Y165" s="145">
        <f t="shared" si="22"/>
        <v>700</v>
      </c>
      <c r="Z165" s="145"/>
      <c r="AA165" s="145"/>
      <c r="AB165" s="370">
        <f t="shared" si="23"/>
        <v>700</v>
      </c>
      <c r="AC165" s="370">
        <v>700</v>
      </c>
      <c r="AD165" s="145"/>
      <c r="AE165" s="145"/>
      <c r="AF165" s="145">
        <f t="shared" si="24"/>
        <v>693</v>
      </c>
      <c r="AG165" s="145"/>
      <c r="AH165" s="145"/>
      <c r="AI165" s="145">
        <f t="shared" si="25"/>
        <v>693</v>
      </c>
      <c r="AJ165" s="145">
        <v>693</v>
      </c>
      <c r="AK165" s="145"/>
      <c r="AL165" s="145"/>
      <c r="AM165" s="145"/>
      <c r="AN165" s="145"/>
      <c r="AO165" s="145"/>
      <c r="AP165" s="145"/>
      <c r="AQ165" s="145"/>
      <c r="AR165" s="145"/>
      <c r="AS165" s="145"/>
      <c r="AT165" s="145"/>
      <c r="AU165" s="145">
        <f t="shared" si="26"/>
        <v>0</v>
      </c>
      <c r="AV165" s="145"/>
      <c r="AW165" s="145"/>
      <c r="AX165" s="145">
        <f t="shared" si="27"/>
        <v>0</v>
      </c>
      <c r="AY165" s="145">
        <v>0</v>
      </c>
      <c r="AZ165" s="145"/>
      <c r="BA165" s="145"/>
      <c r="BB165" s="145"/>
      <c r="BC165" s="145"/>
      <c r="BD165" s="145"/>
      <c r="BE165" s="370"/>
      <c r="BF165" s="370"/>
      <c r="BG165" s="370"/>
      <c r="BH165" s="370"/>
      <c r="BI165" s="370"/>
      <c r="BJ165" s="370"/>
      <c r="BK165" s="370"/>
      <c r="BL165" s="370"/>
      <c r="BM165" s="145"/>
      <c r="BN165" s="370"/>
      <c r="BO165" s="370"/>
      <c r="BP165" s="370"/>
      <c r="BQ165" s="145"/>
      <c r="BR165" s="716"/>
      <c r="BS165" s="716"/>
      <c r="BT165" s="424"/>
    </row>
    <row r="166" spans="1:72" ht="61.5" outlineLevel="1">
      <c r="A166" s="438">
        <v>11</v>
      </c>
      <c r="B166" s="748" t="s">
        <v>1623</v>
      </c>
      <c r="C166" s="377" t="s">
        <v>1612</v>
      </c>
      <c r="D166" s="377" t="s">
        <v>1590</v>
      </c>
      <c r="E166" s="749" t="s">
        <v>49</v>
      </c>
      <c r="F166" s="588" t="s">
        <v>1495</v>
      </c>
      <c r="G166" s="588">
        <v>8105076</v>
      </c>
      <c r="H166" s="750" t="s">
        <v>1613</v>
      </c>
      <c r="I166" s="745">
        <v>2024</v>
      </c>
      <c r="J166" s="422">
        <v>2024</v>
      </c>
      <c r="K166" s="420" t="s">
        <v>1624</v>
      </c>
      <c r="L166" s="420" t="s">
        <v>1625</v>
      </c>
      <c r="M166" s="448">
        <v>337.5</v>
      </c>
      <c r="N166" s="448"/>
      <c r="O166" s="448"/>
      <c r="P166" s="448">
        <v>337.5</v>
      </c>
      <c r="Q166" s="434" t="s">
        <v>1626</v>
      </c>
      <c r="R166" s="750" t="s">
        <v>1613</v>
      </c>
      <c r="S166" s="377" t="s">
        <v>1588</v>
      </c>
      <c r="T166" s="377" t="s">
        <v>1590</v>
      </c>
      <c r="U166" s="369"/>
      <c r="V166" s="369"/>
      <c r="W166" s="369"/>
      <c r="X166" s="369"/>
      <c r="Y166" s="145">
        <f t="shared" si="22"/>
        <v>337.5</v>
      </c>
      <c r="Z166" s="145"/>
      <c r="AA166" s="145"/>
      <c r="AB166" s="370">
        <f t="shared" si="23"/>
        <v>337.5</v>
      </c>
      <c r="AC166" s="370">
        <v>337.5</v>
      </c>
      <c r="AD166" s="145"/>
      <c r="AE166" s="145"/>
      <c r="AF166" s="145">
        <f t="shared" si="24"/>
        <v>337.5</v>
      </c>
      <c r="AG166" s="145"/>
      <c r="AH166" s="145"/>
      <c r="AI166" s="145">
        <f t="shared" si="25"/>
        <v>337.5</v>
      </c>
      <c r="AJ166" s="145">
        <v>0</v>
      </c>
      <c r="AK166" s="145"/>
      <c r="AL166" s="145">
        <v>337.5</v>
      </c>
      <c r="AM166" s="145">
        <v>323.346902</v>
      </c>
      <c r="AN166" s="145"/>
      <c r="AO166" s="145">
        <v>323.346902</v>
      </c>
      <c r="AP166" s="145"/>
      <c r="AQ166" s="145"/>
      <c r="AR166" s="145"/>
      <c r="AS166" s="145"/>
      <c r="AT166" s="371">
        <v>323.346902</v>
      </c>
      <c r="AU166" s="145">
        <f t="shared" si="26"/>
        <v>0</v>
      </c>
      <c r="AV166" s="145"/>
      <c r="AW166" s="145"/>
      <c r="AX166" s="145">
        <f t="shared" si="27"/>
        <v>0</v>
      </c>
      <c r="AY166" s="145">
        <v>0</v>
      </c>
      <c r="AZ166" s="145"/>
      <c r="BA166" s="145"/>
      <c r="BB166" s="145"/>
      <c r="BC166" s="145"/>
      <c r="BD166" s="145"/>
      <c r="BE166" s="370"/>
      <c r="BF166" s="370"/>
      <c r="BG166" s="370"/>
      <c r="BH166" s="370"/>
      <c r="BI166" s="370"/>
      <c r="BJ166" s="370"/>
      <c r="BK166" s="370"/>
      <c r="BL166" s="370"/>
      <c r="BM166" s="145"/>
      <c r="BN166" s="370"/>
      <c r="BO166" s="370"/>
      <c r="BP166" s="145"/>
      <c r="BQ166" s="370"/>
      <c r="BR166" s="372"/>
      <c r="BS166" s="372"/>
      <c r="BT166" s="372"/>
    </row>
    <row r="167" spans="1:72" ht="30.75" outlineLevel="1">
      <c r="A167" s="438">
        <v>12</v>
      </c>
      <c r="B167" s="710" t="s">
        <v>1689</v>
      </c>
      <c r="C167" s="420" t="s">
        <v>1690</v>
      </c>
      <c r="D167" s="434" t="s">
        <v>1590</v>
      </c>
      <c r="E167" s="588" t="s">
        <v>49</v>
      </c>
      <c r="F167" s="588" t="s">
        <v>48</v>
      </c>
      <c r="G167" s="588">
        <v>7968730</v>
      </c>
      <c r="H167" s="712" t="s">
        <v>1613</v>
      </c>
      <c r="I167" s="438" t="s">
        <v>76</v>
      </c>
      <c r="J167" s="424">
        <v>2022</v>
      </c>
      <c r="K167" s="421" t="s">
        <v>1691</v>
      </c>
      <c r="L167" s="736" t="s">
        <v>1692</v>
      </c>
      <c r="M167" s="368">
        <v>9361</v>
      </c>
      <c r="N167" s="448"/>
      <c r="O167" s="448"/>
      <c r="P167" s="373">
        <v>9361</v>
      </c>
      <c r="Q167" s="712" t="s">
        <v>1693</v>
      </c>
      <c r="R167" s="712" t="s">
        <v>1613</v>
      </c>
      <c r="S167" s="434" t="s">
        <v>1694</v>
      </c>
      <c r="T167" s="434" t="s">
        <v>1590</v>
      </c>
      <c r="U167" s="369"/>
      <c r="V167" s="369"/>
      <c r="W167" s="369"/>
      <c r="X167" s="369"/>
      <c r="Y167" s="145">
        <f t="shared" si="22"/>
        <v>4300</v>
      </c>
      <c r="Z167" s="145"/>
      <c r="AA167" s="145"/>
      <c r="AB167" s="370">
        <f t="shared" si="23"/>
        <v>4300</v>
      </c>
      <c r="AC167" s="370">
        <v>0</v>
      </c>
      <c r="AD167" s="145"/>
      <c r="AE167" s="145">
        <v>4300</v>
      </c>
      <c r="AF167" s="145">
        <f t="shared" si="24"/>
        <v>4300</v>
      </c>
      <c r="AG167" s="145"/>
      <c r="AH167" s="145"/>
      <c r="AI167" s="145">
        <f t="shared" si="25"/>
        <v>4300</v>
      </c>
      <c r="AJ167" s="145">
        <v>0</v>
      </c>
      <c r="AK167" s="145"/>
      <c r="AL167" s="145">
        <v>4300</v>
      </c>
      <c r="AM167" s="145"/>
      <c r="AN167" s="145"/>
      <c r="AO167" s="145"/>
      <c r="AP167" s="145"/>
      <c r="AQ167" s="145"/>
      <c r="AR167" s="145"/>
      <c r="AS167" s="145"/>
      <c r="AT167" s="371"/>
      <c r="AU167" s="145">
        <f t="shared" si="26"/>
        <v>0</v>
      </c>
      <c r="AV167" s="145"/>
      <c r="AW167" s="145"/>
      <c r="AX167" s="145">
        <f t="shared" si="27"/>
        <v>0</v>
      </c>
      <c r="AY167" s="145">
        <v>0</v>
      </c>
      <c r="AZ167" s="145"/>
      <c r="BA167" s="145"/>
      <c r="BB167" s="145"/>
      <c r="BC167" s="145"/>
      <c r="BD167" s="145"/>
      <c r="BE167" s="370"/>
      <c r="BF167" s="370"/>
      <c r="BG167" s="370"/>
      <c r="BH167" s="370"/>
      <c r="BI167" s="370"/>
      <c r="BJ167" s="370"/>
      <c r="BK167" s="370"/>
      <c r="BL167" s="370"/>
      <c r="BM167" s="145"/>
      <c r="BN167" s="370"/>
      <c r="BO167" s="370"/>
      <c r="BP167" s="145"/>
      <c r="BQ167" s="370"/>
      <c r="BR167" s="372"/>
      <c r="BS167" s="372"/>
      <c r="BT167" s="372"/>
    </row>
    <row r="168" spans="1:72" ht="30.75" outlineLevel="1">
      <c r="A168" s="438">
        <v>13</v>
      </c>
      <c r="B168" s="741" t="s">
        <v>1695</v>
      </c>
      <c r="C168" s="420" t="s">
        <v>1592</v>
      </c>
      <c r="D168" s="434" t="s">
        <v>1590</v>
      </c>
      <c r="E168" s="735" t="s">
        <v>49</v>
      </c>
      <c r="F168" s="431" t="s">
        <v>48</v>
      </c>
      <c r="G168" s="438" t="s">
        <v>1696</v>
      </c>
      <c r="H168" s="742" t="s">
        <v>1592</v>
      </c>
      <c r="I168" s="422">
        <v>2022</v>
      </c>
      <c r="J168" s="422">
        <v>2022</v>
      </c>
      <c r="K168" s="420" t="s">
        <v>1521</v>
      </c>
      <c r="L168" s="420" t="s">
        <v>1697</v>
      </c>
      <c r="M168" s="145">
        <v>800</v>
      </c>
      <c r="N168" s="370"/>
      <c r="O168" s="370"/>
      <c r="P168" s="370">
        <v>800</v>
      </c>
      <c r="Q168" s="420" t="s">
        <v>1698</v>
      </c>
      <c r="R168" s="742" t="s">
        <v>1592</v>
      </c>
      <c r="S168" s="434" t="s">
        <v>1694</v>
      </c>
      <c r="T168" s="434" t="s">
        <v>1590</v>
      </c>
      <c r="U168" s="369"/>
      <c r="V168" s="369"/>
      <c r="W168" s="369"/>
      <c r="X168" s="369"/>
      <c r="Y168" s="145">
        <f t="shared" si="22"/>
        <v>800</v>
      </c>
      <c r="Z168" s="145"/>
      <c r="AA168" s="145"/>
      <c r="AB168" s="370">
        <f t="shared" si="23"/>
        <v>800</v>
      </c>
      <c r="AC168" s="370">
        <v>0</v>
      </c>
      <c r="AD168" s="145"/>
      <c r="AE168" s="370">
        <v>800</v>
      </c>
      <c r="AF168" s="145">
        <f t="shared" si="24"/>
        <v>800</v>
      </c>
      <c r="AG168" s="145"/>
      <c r="AH168" s="145"/>
      <c r="AI168" s="145">
        <f t="shared" si="25"/>
        <v>800</v>
      </c>
      <c r="AJ168" s="145">
        <v>0</v>
      </c>
      <c r="AK168" s="145"/>
      <c r="AL168" s="734">
        <v>800</v>
      </c>
      <c r="AM168" s="145"/>
      <c r="AN168" s="145"/>
      <c r="AO168" s="145"/>
      <c r="AP168" s="145"/>
      <c r="AQ168" s="145"/>
      <c r="AR168" s="145"/>
      <c r="AS168" s="145"/>
      <c r="AT168" s="371"/>
      <c r="AU168" s="145">
        <f t="shared" si="26"/>
        <v>0</v>
      </c>
      <c r="AV168" s="145"/>
      <c r="AW168" s="145"/>
      <c r="AX168" s="145">
        <f t="shared" si="27"/>
        <v>0</v>
      </c>
      <c r="AY168" s="145">
        <v>0</v>
      </c>
      <c r="AZ168" s="145"/>
      <c r="BA168" s="145"/>
      <c r="BB168" s="145"/>
      <c r="BC168" s="145"/>
      <c r="BD168" s="145"/>
      <c r="BE168" s="370"/>
      <c r="BF168" s="370"/>
      <c r="BG168" s="370"/>
      <c r="BH168" s="370"/>
      <c r="BI168" s="370"/>
      <c r="BJ168" s="370"/>
      <c r="BK168" s="370"/>
      <c r="BL168" s="370"/>
      <c r="BM168" s="145"/>
      <c r="BN168" s="370"/>
      <c r="BO168" s="370"/>
      <c r="BP168" s="145"/>
      <c r="BQ168" s="370"/>
      <c r="BR168" s="372"/>
      <c r="BS168" s="372"/>
      <c r="BT168" s="372"/>
    </row>
    <row r="169" spans="1:72" ht="30.75" outlineLevel="1">
      <c r="A169" s="438">
        <v>14</v>
      </c>
      <c r="B169" s="741" t="s">
        <v>1699</v>
      </c>
      <c r="C169" s="420" t="s">
        <v>1592</v>
      </c>
      <c r="D169" s="434" t="s">
        <v>1590</v>
      </c>
      <c r="E169" s="735" t="s">
        <v>49</v>
      </c>
      <c r="F169" s="431" t="s">
        <v>1282</v>
      </c>
      <c r="G169" s="438" t="s">
        <v>1700</v>
      </c>
      <c r="H169" s="742" t="s">
        <v>1592</v>
      </c>
      <c r="I169" s="422">
        <v>2022</v>
      </c>
      <c r="J169" s="422">
        <v>2022</v>
      </c>
      <c r="K169" s="420" t="s">
        <v>1521</v>
      </c>
      <c r="L169" s="438" t="s">
        <v>1701</v>
      </c>
      <c r="M169" s="145">
        <v>1000</v>
      </c>
      <c r="N169" s="370"/>
      <c r="O169" s="370"/>
      <c r="P169" s="370">
        <v>1000</v>
      </c>
      <c r="Q169" s="420" t="s">
        <v>1702</v>
      </c>
      <c r="R169" s="742" t="s">
        <v>1592</v>
      </c>
      <c r="S169" s="434" t="s">
        <v>1694</v>
      </c>
      <c r="T169" s="434" t="s">
        <v>1590</v>
      </c>
      <c r="U169" s="369"/>
      <c r="V169" s="369"/>
      <c r="W169" s="369"/>
      <c r="X169" s="369"/>
      <c r="Y169" s="145">
        <f t="shared" si="22"/>
        <v>1000</v>
      </c>
      <c r="Z169" s="145"/>
      <c r="AA169" s="145"/>
      <c r="AB169" s="370">
        <f t="shared" si="23"/>
        <v>1000</v>
      </c>
      <c r="AC169" s="370">
        <v>0</v>
      </c>
      <c r="AD169" s="145"/>
      <c r="AE169" s="145">
        <v>1000</v>
      </c>
      <c r="AF169" s="145">
        <f t="shared" si="24"/>
        <v>1000</v>
      </c>
      <c r="AG169" s="145"/>
      <c r="AH169" s="145"/>
      <c r="AI169" s="145">
        <f t="shared" si="25"/>
        <v>1000</v>
      </c>
      <c r="AJ169" s="145">
        <v>0</v>
      </c>
      <c r="AK169" s="145"/>
      <c r="AL169" s="734">
        <v>1000</v>
      </c>
      <c r="AM169" s="145"/>
      <c r="AN169" s="145"/>
      <c r="AO169" s="145"/>
      <c r="AP169" s="145"/>
      <c r="AQ169" s="145"/>
      <c r="AR169" s="145"/>
      <c r="AS169" s="145"/>
      <c r="AT169" s="371"/>
      <c r="AU169" s="145">
        <f t="shared" si="26"/>
        <v>0</v>
      </c>
      <c r="AV169" s="145"/>
      <c r="AW169" s="145"/>
      <c r="AX169" s="145">
        <f t="shared" si="27"/>
        <v>0</v>
      </c>
      <c r="AY169" s="145">
        <v>0</v>
      </c>
      <c r="AZ169" s="145"/>
      <c r="BA169" s="145"/>
      <c r="BB169" s="145"/>
      <c r="BC169" s="145"/>
      <c r="BD169" s="145"/>
      <c r="BE169" s="370"/>
      <c r="BF169" s="370"/>
      <c r="BG169" s="370"/>
      <c r="BH169" s="370"/>
      <c r="BI169" s="370"/>
      <c r="BJ169" s="370"/>
      <c r="BK169" s="370"/>
      <c r="BL169" s="370"/>
      <c r="BM169" s="145"/>
      <c r="BN169" s="370"/>
      <c r="BO169" s="370"/>
      <c r="BP169" s="145"/>
      <c r="BQ169" s="370"/>
      <c r="BR169" s="372"/>
      <c r="BS169" s="372"/>
      <c r="BT169" s="372"/>
    </row>
    <row r="170" spans="1:72" ht="30.75" outlineLevel="1">
      <c r="A170" s="438">
        <v>15</v>
      </c>
      <c r="B170" s="741" t="s">
        <v>1703</v>
      </c>
      <c r="C170" s="420" t="s">
        <v>1592</v>
      </c>
      <c r="D170" s="434" t="s">
        <v>1590</v>
      </c>
      <c r="E170" s="735" t="s">
        <v>49</v>
      </c>
      <c r="F170" s="431" t="s">
        <v>1282</v>
      </c>
      <c r="G170" s="438" t="s">
        <v>1704</v>
      </c>
      <c r="H170" s="742" t="s">
        <v>1592</v>
      </c>
      <c r="I170" s="422">
        <v>2022</v>
      </c>
      <c r="J170" s="422">
        <v>2022</v>
      </c>
      <c r="K170" s="420" t="s">
        <v>1521</v>
      </c>
      <c r="L170" s="438" t="s">
        <v>1705</v>
      </c>
      <c r="M170" s="145">
        <v>900</v>
      </c>
      <c r="N170" s="370"/>
      <c r="O170" s="370"/>
      <c r="P170" s="370">
        <v>900</v>
      </c>
      <c r="Q170" s="420" t="s">
        <v>1706</v>
      </c>
      <c r="R170" s="742" t="s">
        <v>1592</v>
      </c>
      <c r="S170" s="434" t="s">
        <v>1694</v>
      </c>
      <c r="T170" s="434" t="s">
        <v>1590</v>
      </c>
      <c r="U170" s="369"/>
      <c r="V170" s="369"/>
      <c r="W170" s="369"/>
      <c r="X170" s="369"/>
      <c r="Y170" s="145">
        <f t="shared" si="22"/>
        <v>900</v>
      </c>
      <c r="Z170" s="145"/>
      <c r="AA170" s="145"/>
      <c r="AB170" s="370">
        <f t="shared" si="23"/>
        <v>900</v>
      </c>
      <c r="AC170" s="370">
        <v>0</v>
      </c>
      <c r="AD170" s="145"/>
      <c r="AE170" s="145">
        <v>900</v>
      </c>
      <c r="AF170" s="145">
        <f t="shared" si="24"/>
        <v>900</v>
      </c>
      <c r="AG170" s="145"/>
      <c r="AH170" s="145"/>
      <c r="AI170" s="145">
        <f t="shared" si="25"/>
        <v>900</v>
      </c>
      <c r="AJ170" s="145">
        <v>0</v>
      </c>
      <c r="AK170" s="145"/>
      <c r="AL170" s="734">
        <v>900</v>
      </c>
      <c r="AM170" s="145"/>
      <c r="AN170" s="145"/>
      <c r="AO170" s="145"/>
      <c r="AP170" s="145"/>
      <c r="AQ170" s="145"/>
      <c r="AR170" s="145"/>
      <c r="AS170" s="145"/>
      <c r="AT170" s="371"/>
      <c r="AU170" s="145">
        <f t="shared" si="26"/>
        <v>0</v>
      </c>
      <c r="AV170" s="145"/>
      <c r="AW170" s="145"/>
      <c r="AX170" s="145">
        <f t="shared" si="27"/>
        <v>0</v>
      </c>
      <c r="AY170" s="145">
        <v>0</v>
      </c>
      <c r="AZ170" s="145"/>
      <c r="BA170" s="145"/>
      <c r="BB170" s="145"/>
      <c r="BC170" s="145"/>
      <c r="BD170" s="145"/>
      <c r="BE170" s="370"/>
      <c r="BF170" s="370"/>
      <c r="BG170" s="370"/>
      <c r="BH170" s="370"/>
      <c r="BI170" s="370"/>
      <c r="BJ170" s="370"/>
      <c r="BK170" s="370"/>
      <c r="BL170" s="370"/>
      <c r="BM170" s="145"/>
      <c r="BN170" s="370"/>
      <c r="BO170" s="370"/>
      <c r="BP170" s="145"/>
      <c r="BQ170" s="370"/>
      <c r="BR170" s="372"/>
      <c r="BS170" s="372"/>
      <c r="BT170" s="372"/>
    </row>
    <row r="171" spans="1:72" ht="30.75" outlineLevel="1">
      <c r="A171" s="438">
        <v>16</v>
      </c>
      <c r="B171" s="741" t="s">
        <v>1707</v>
      </c>
      <c r="C171" s="420" t="s">
        <v>1592</v>
      </c>
      <c r="D171" s="434" t="s">
        <v>1590</v>
      </c>
      <c r="E171" s="735" t="s">
        <v>49</v>
      </c>
      <c r="F171" s="431" t="s">
        <v>48</v>
      </c>
      <c r="G171" s="438" t="s">
        <v>1708</v>
      </c>
      <c r="H171" s="742" t="s">
        <v>1592</v>
      </c>
      <c r="I171" s="420" t="s">
        <v>76</v>
      </c>
      <c r="J171" s="422">
        <v>2022</v>
      </c>
      <c r="K171" s="420" t="s">
        <v>1521</v>
      </c>
      <c r="L171" s="420" t="s">
        <v>1709</v>
      </c>
      <c r="M171" s="145">
        <v>3000</v>
      </c>
      <c r="N171" s="370"/>
      <c r="O171" s="370"/>
      <c r="P171" s="370">
        <v>3000</v>
      </c>
      <c r="Q171" s="420" t="s">
        <v>1710</v>
      </c>
      <c r="R171" s="742" t="s">
        <v>1592</v>
      </c>
      <c r="S171" s="434" t="s">
        <v>1694</v>
      </c>
      <c r="T171" s="434" t="s">
        <v>1590</v>
      </c>
      <c r="U171" s="369"/>
      <c r="V171" s="369"/>
      <c r="W171" s="369"/>
      <c r="X171" s="369"/>
      <c r="Y171" s="145">
        <f t="shared" si="22"/>
        <v>3000</v>
      </c>
      <c r="Z171" s="145"/>
      <c r="AA171" s="145"/>
      <c r="AB171" s="370">
        <f t="shared" si="23"/>
        <v>3000</v>
      </c>
      <c r="AC171" s="370">
        <v>0</v>
      </c>
      <c r="AD171" s="145"/>
      <c r="AE171" s="145">
        <v>3000</v>
      </c>
      <c r="AF171" s="145">
        <f t="shared" si="24"/>
        <v>3000</v>
      </c>
      <c r="AG171" s="145"/>
      <c r="AH171" s="145"/>
      <c r="AI171" s="145">
        <f t="shared" si="25"/>
        <v>3000</v>
      </c>
      <c r="AJ171" s="145">
        <v>0</v>
      </c>
      <c r="AK171" s="145"/>
      <c r="AL171" s="734">
        <v>3000</v>
      </c>
      <c r="AM171" s="145"/>
      <c r="AN171" s="145"/>
      <c r="AO171" s="145"/>
      <c r="AP171" s="145"/>
      <c r="AQ171" s="145"/>
      <c r="AR171" s="145"/>
      <c r="AS171" s="145"/>
      <c r="AT171" s="371"/>
      <c r="AU171" s="145">
        <f t="shared" si="26"/>
        <v>0</v>
      </c>
      <c r="AV171" s="145"/>
      <c r="AW171" s="145"/>
      <c r="AX171" s="145">
        <f t="shared" si="27"/>
        <v>0</v>
      </c>
      <c r="AY171" s="145">
        <v>0</v>
      </c>
      <c r="AZ171" s="145"/>
      <c r="BA171" s="145"/>
      <c r="BB171" s="145"/>
      <c r="BC171" s="145"/>
      <c r="BD171" s="145"/>
      <c r="BE171" s="370"/>
      <c r="BF171" s="370"/>
      <c r="BG171" s="370"/>
      <c r="BH171" s="370"/>
      <c r="BI171" s="370"/>
      <c r="BJ171" s="370"/>
      <c r="BK171" s="370"/>
      <c r="BL171" s="370"/>
      <c r="BM171" s="145"/>
      <c r="BN171" s="370"/>
      <c r="BO171" s="370"/>
      <c r="BP171" s="145"/>
      <c r="BQ171" s="370"/>
      <c r="BR171" s="372"/>
      <c r="BS171" s="372"/>
      <c r="BT171" s="372"/>
    </row>
    <row r="172" spans="1:72" ht="30.75" outlineLevel="1">
      <c r="A172" s="438">
        <v>17</v>
      </c>
      <c r="B172" s="741" t="s">
        <v>1711</v>
      </c>
      <c r="C172" s="420" t="s">
        <v>1613</v>
      </c>
      <c r="D172" s="434" t="s">
        <v>1590</v>
      </c>
      <c r="E172" s="735" t="s">
        <v>49</v>
      </c>
      <c r="F172" s="431" t="s">
        <v>1282</v>
      </c>
      <c r="G172" s="438" t="s">
        <v>1712</v>
      </c>
      <c r="H172" s="742" t="s">
        <v>1613</v>
      </c>
      <c r="I172" s="422">
        <v>2022</v>
      </c>
      <c r="J172" s="422">
        <v>2022</v>
      </c>
      <c r="K172" s="420" t="s">
        <v>1521</v>
      </c>
      <c r="L172" s="438" t="s">
        <v>1713</v>
      </c>
      <c r="M172" s="145">
        <v>1250</v>
      </c>
      <c r="N172" s="370"/>
      <c r="O172" s="370"/>
      <c r="P172" s="370">
        <v>1250</v>
      </c>
      <c r="Q172" s="420" t="s">
        <v>1714</v>
      </c>
      <c r="R172" s="742" t="s">
        <v>1613</v>
      </c>
      <c r="S172" s="434" t="s">
        <v>1694</v>
      </c>
      <c r="T172" s="434" t="s">
        <v>1590</v>
      </c>
      <c r="U172" s="369"/>
      <c r="V172" s="369"/>
      <c r="W172" s="369"/>
      <c r="X172" s="369"/>
      <c r="Y172" s="145">
        <f t="shared" si="22"/>
        <v>1250</v>
      </c>
      <c r="Z172" s="145"/>
      <c r="AA172" s="145"/>
      <c r="AB172" s="370">
        <f t="shared" si="23"/>
        <v>1250</v>
      </c>
      <c r="AC172" s="370">
        <v>0</v>
      </c>
      <c r="AD172" s="145"/>
      <c r="AE172" s="145">
        <v>1250</v>
      </c>
      <c r="AF172" s="145">
        <f t="shared" si="24"/>
        <v>1250</v>
      </c>
      <c r="AG172" s="145"/>
      <c r="AH172" s="145"/>
      <c r="AI172" s="145">
        <f t="shared" si="25"/>
        <v>1250</v>
      </c>
      <c r="AJ172" s="145">
        <v>0</v>
      </c>
      <c r="AK172" s="145"/>
      <c r="AL172" s="370">
        <v>1250</v>
      </c>
      <c r="AM172" s="145"/>
      <c r="AN172" s="145"/>
      <c r="AO172" s="145"/>
      <c r="AP172" s="145"/>
      <c r="AQ172" s="145"/>
      <c r="AR172" s="145"/>
      <c r="AS172" s="145"/>
      <c r="AT172" s="371"/>
      <c r="AU172" s="145">
        <f t="shared" si="26"/>
        <v>0</v>
      </c>
      <c r="AV172" s="145"/>
      <c r="AW172" s="145"/>
      <c r="AX172" s="145">
        <f t="shared" si="27"/>
        <v>0</v>
      </c>
      <c r="AY172" s="145">
        <v>0</v>
      </c>
      <c r="AZ172" s="145"/>
      <c r="BA172" s="145"/>
      <c r="BB172" s="145"/>
      <c r="BC172" s="145"/>
      <c r="BD172" s="145"/>
      <c r="BE172" s="370"/>
      <c r="BF172" s="370"/>
      <c r="BG172" s="370"/>
      <c r="BH172" s="370"/>
      <c r="BI172" s="370"/>
      <c r="BJ172" s="370"/>
      <c r="BK172" s="370"/>
      <c r="BL172" s="370"/>
      <c r="BM172" s="145"/>
      <c r="BN172" s="370"/>
      <c r="BO172" s="370"/>
      <c r="BP172" s="145"/>
      <c r="BQ172" s="370"/>
      <c r="BR172" s="372"/>
      <c r="BS172" s="372"/>
      <c r="BT172" s="372"/>
    </row>
    <row r="173" spans="1:72" ht="30.75" outlineLevel="1">
      <c r="A173" s="438">
        <v>18</v>
      </c>
      <c r="B173" s="710" t="s">
        <v>1620</v>
      </c>
      <c r="C173" s="420" t="s">
        <v>1613</v>
      </c>
      <c r="D173" s="434" t="s">
        <v>1590</v>
      </c>
      <c r="E173" s="735" t="s">
        <v>49</v>
      </c>
      <c r="F173" s="431" t="s">
        <v>48</v>
      </c>
      <c r="G173" s="438" t="s">
        <v>1715</v>
      </c>
      <c r="H173" s="742" t="s">
        <v>1613</v>
      </c>
      <c r="I173" s="420" t="s">
        <v>76</v>
      </c>
      <c r="J173" s="422">
        <v>2022</v>
      </c>
      <c r="K173" s="420" t="s">
        <v>1521</v>
      </c>
      <c r="L173" s="438" t="s">
        <v>1716</v>
      </c>
      <c r="M173" s="145">
        <v>2785</v>
      </c>
      <c r="N173" s="370"/>
      <c r="O173" s="370"/>
      <c r="P173" s="370">
        <v>2785</v>
      </c>
      <c r="Q173" s="420" t="s">
        <v>1622</v>
      </c>
      <c r="R173" s="742" t="s">
        <v>1613</v>
      </c>
      <c r="S173" s="434" t="s">
        <v>1694</v>
      </c>
      <c r="T173" s="434" t="s">
        <v>1590</v>
      </c>
      <c r="U173" s="369"/>
      <c r="V173" s="369"/>
      <c r="W173" s="369"/>
      <c r="X173" s="369"/>
      <c r="Y173" s="145">
        <f t="shared" si="22"/>
        <v>2785</v>
      </c>
      <c r="Z173" s="145"/>
      <c r="AA173" s="145"/>
      <c r="AB173" s="370">
        <f t="shared" si="23"/>
        <v>2785</v>
      </c>
      <c r="AC173" s="370">
        <v>0</v>
      </c>
      <c r="AD173" s="145"/>
      <c r="AE173" s="145">
        <v>2785</v>
      </c>
      <c r="AF173" s="145">
        <f t="shared" si="24"/>
        <v>2785</v>
      </c>
      <c r="AG173" s="145"/>
      <c r="AH173" s="145"/>
      <c r="AI173" s="145">
        <f t="shared" si="25"/>
        <v>2785</v>
      </c>
      <c r="AJ173" s="145">
        <v>0</v>
      </c>
      <c r="AK173" s="145"/>
      <c r="AL173" s="370">
        <v>2785</v>
      </c>
      <c r="AM173" s="145"/>
      <c r="AN173" s="145"/>
      <c r="AO173" s="145"/>
      <c r="AP173" s="145"/>
      <c r="AQ173" s="145"/>
      <c r="AR173" s="145"/>
      <c r="AS173" s="145"/>
      <c r="AT173" s="371"/>
      <c r="AU173" s="145">
        <f t="shared" si="26"/>
        <v>0</v>
      </c>
      <c r="AV173" s="145"/>
      <c r="AW173" s="145"/>
      <c r="AX173" s="145">
        <f t="shared" si="27"/>
        <v>0</v>
      </c>
      <c r="AY173" s="145">
        <v>0</v>
      </c>
      <c r="AZ173" s="145"/>
      <c r="BA173" s="145"/>
      <c r="BB173" s="145"/>
      <c r="BC173" s="145"/>
      <c r="BD173" s="145"/>
      <c r="BE173" s="370"/>
      <c r="BF173" s="370"/>
      <c r="BG173" s="370"/>
      <c r="BH173" s="370"/>
      <c r="BI173" s="370"/>
      <c r="BJ173" s="370"/>
      <c r="BK173" s="370"/>
      <c r="BL173" s="370"/>
      <c r="BM173" s="145"/>
      <c r="BN173" s="370"/>
      <c r="BO173" s="370"/>
      <c r="BP173" s="145"/>
      <c r="BQ173" s="370"/>
      <c r="BR173" s="372"/>
      <c r="BS173" s="372"/>
      <c r="BT173" s="372"/>
    </row>
    <row r="174" spans="1:72" ht="30.75" outlineLevel="1">
      <c r="A174" s="438">
        <v>19</v>
      </c>
      <c r="B174" s="710" t="s">
        <v>1717</v>
      </c>
      <c r="C174" s="420" t="s">
        <v>1613</v>
      </c>
      <c r="D174" s="434" t="s">
        <v>1590</v>
      </c>
      <c r="E174" s="735" t="s">
        <v>49</v>
      </c>
      <c r="F174" s="431" t="s">
        <v>48</v>
      </c>
      <c r="G174" s="438" t="s">
        <v>1718</v>
      </c>
      <c r="H174" s="742" t="s">
        <v>1613</v>
      </c>
      <c r="I174" s="420" t="s">
        <v>76</v>
      </c>
      <c r="J174" s="422">
        <v>2022</v>
      </c>
      <c r="K174" s="420" t="s">
        <v>1521</v>
      </c>
      <c r="L174" s="438" t="s">
        <v>1719</v>
      </c>
      <c r="M174" s="145">
        <v>1440</v>
      </c>
      <c r="N174" s="370"/>
      <c r="O174" s="370"/>
      <c r="P174" s="370">
        <v>1440</v>
      </c>
      <c r="Q174" s="420" t="s">
        <v>1619</v>
      </c>
      <c r="R174" s="742" t="s">
        <v>1613</v>
      </c>
      <c r="S174" s="434" t="s">
        <v>1694</v>
      </c>
      <c r="T174" s="434" t="s">
        <v>1590</v>
      </c>
      <c r="U174" s="369"/>
      <c r="V174" s="369"/>
      <c r="W174" s="369"/>
      <c r="X174" s="369"/>
      <c r="Y174" s="145">
        <f t="shared" si="22"/>
        <v>1440</v>
      </c>
      <c r="Z174" s="145"/>
      <c r="AA174" s="145"/>
      <c r="AB174" s="370">
        <f t="shared" si="23"/>
        <v>1440</v>
      </c>
      <c r="AC174" s="370">
        <v>0</v>
      </c>
      <c r="AD174" s="145"/>
      <c r="AE174" s="145">
        <v>1440</v>
      </c>
      <c r="AF174" s="145">
        <f t="shared" si="24"/>
        <v>1440</v>
      </c>
      <c r="AG174" s="145"/>
      <c r="AH174" s="145"/>
      <c r="AI174" s="145">
        <f t="shared" si="25"/>
        <v>1440</v>
      </c>
      <c r="AJ174" s="145">
        <v>0</v>
      </c>
      <c r="AK174" s="145"/>
      <c r="AL174" s="370">
        <v>1440</v>
      </c>
      <c r="AM174" s="145"/>
      <c r="AN174" s="145"/>
      <c r="AO174" s="145"/>
      <c r="AP174" s="145"/>
      <c r="AQ174" s="145"/>
      <c r="AR174" s="145"/>
      <c r="AS174" s="145"/>
      <c r="AT174" s="371"/>
      <c r="AU174" s="145">
        <f t="shared" si="26"/>
        <v>0</v>
      </c>
      <c r="AV174" s="145"/>
      <c r="AW174" s="145"/>
      <c r="AX174" s="145">
        <f t="shared" si="27"/>
        <v>0</v>
      </c>
      <c r="AY174" s="145">
        <v>0</v>
      </c>
      <c r="AZ174" s="145"/>
      <c r="BA174" s="145"/>
      <c r="BB174" s="145"/>
      <c r="BC174" s="145"/>
      <c r="BD174" s="145"/>
      <c r="BE174" s="370"/>
      <c r="BF174" s="370"/>
      <c r="BG174" s="370"/>
      <c r="BH174" s="370"/>
      <c r="BI174" s="370"/>
      <c r="BJ174" s="370"/>
      <c r="BK174" s="370"/>
      <c r="BL174" s="370"/>
      <c r="BM174" s="145"/>
      <c r="BN174" s="370"/>
      <c r="BO174" s="370"/>
      <c r="BP174" s="145"/>
      <c r="BQ174" s="370"/>
      <c r="BR174" s="372"/>
      <c r="BS174" s="372"/>
      <c r="BT174" s="372"/>
    </row>
    <row r="175" spans="1:72" ht="30.75" outlineLevel="1">
      <c r="A175" s="438">
        <v>20</v>
      </c>
      <c r="B175" s="710" t="s">
        <v>1720</v>
      </c>
      <c r="C175" s="420" t="s">
        <v>1597</v>
      </c>
      <c r="D175" s="434" t="s">
        <v>1590</v>
      </c>
      <c r="E175" s="735" t="s">
        <v>49</v>
      </c>
      <c r="F175" s="431" t="s">
        <v>48</v>
      </c>
      <c r="G175" s="438" t="s">
        <v>1721</v>
      </c>
      <c r="H175" s="742" t="s">
        <v>1597</v>
      </c>
      <c r="I175" s="420">
        <v>2022</v>
      </c>
      <c r="J175" s="422">
        <v>2022</v>
      </c>
      <c r="K175" s="420" t="s">
        <v>1722</v>
      </c>
      <c r="L175" s="438" t="s">
        <v>1723</v>
      </c>
      <c r="M175" s="145">
        <v>900</v>
      </c>
      <c r="N175" s="370"/>
      <c r="O175" s="370"/>
      <c r="P175" s="370">
        <v>900</v>
      </c>
      <c r="Q175" s="420"/>
      <c r="R175" s="742" t="s">
        <v>1597</v>
      </c>
      <c r="S175" s="434" t="s">
        <v>1694</v>
      </c>
      <c r="T175" s="434" t="s">
        <v>1590</v>
      </c>
      <c r="U175" s="369"/>
      <c r="V175" s="369"/>
      <c r="W175" s="369"/>
      <c r="X175" s="369"/>
      <c r="Y175" s="145">
        <f t="shared" si="22"/>
        <v>900</v>
      </c>
      <c r="Z175" s="145"/>
      <c r="AA175" s="145"/>
      <c r="AB175" s="370">
        <f t="shared" si="23"/>
        <v>900</v>
      </c>
      <c r="AC175" s="370">
        <v>0</v>
      </c>
      <c r="AD175" s="145"/>
      <c r="AE175" s="145">
        <v>900</v>
      </c>
      <c r="AF175" s="145">
        <f t="shared" si="24"/>
        <v>900</v>
      </c>
      <c r="AG175" s="145"/>
      <c r="AH175" s="145"/>
      <c r="AI175" s="145">
        <f t="shared" si="25"/>
        <v>900</v>
      </c>
      <c r="AJ175" s="145">
        <v>0</v>
      </c>
      <c r="AK175" s="145"/>
      <c r="AL175" s="370">
        <v>900</v>
      </c>
      <c r="AM175" s="145"/>
      <c r="AN175" s="145"/>
      <c r="AO175" s="145"/>
      <c r="AP175" s="145"/>
      <c r="AQ175" s="145"/>
      <c r="AR175" s="145"/>
      <c r="AS175" s="145"/>
      <c r="AT175" s="371"/>
      <c r="AU175" s="145">
        <f t="shared" si="26"/>
        <v>0</v>
      </c>
      <c r="AV175" s="145"/>
      <c r="AW175" s="145"/>
      <c r="AX175" s="145">
        <f t="shared" si="27"/>
        <v>0</v>
      </c>
      <c r="AY175" s="145">
        <v>0</v>
      </c>
      <c r="AZ175" s="145"/>
      <c r="BA175" s="145"/>
      <c r="BB175" s="145"/>
      <c r="BC175" s="145"/>
      <c r="BD175" s="145"/>
      <c r="BE175" s="370"/>
      <c r="BF175" s="370"/>
      <c r="BG175" s="370"/>
      <c r="BH175" s="370"/>
      <c r="BI175" s="370"/>
      <c r="BJ175" s="370"/>
      <c r="BK175" s="370"/>
      <c r="BL175" s="370"/>
      <c r="BM175" s="145"/>
      <c r="BN175" s="370"/>
      <c r="BO175" s="370"/>
      <c r="BP175" s="145"/>
      <c r="BQ175" s="370"/>
      <c r="BR175" s="372"/>
      <c r="BS175" s="372"/>
      <c r="BT175" s="372"/>
    </row>
    <row r="176" spans="1:72" ht="30.75" outlineLevel="1">
      <c r="A176" s="438">
        <v>21</v>
      </c>
      <c r="B176" s="710" t="s">
        <v>1724</v>
      </c>
      <c r="C176" s="420" t="s">
        <v>1597</v>
      </c>
      <c r="D176" s="434" t="s">
        <v>1590</v>
      </c>
      <c r="E176" s="735" t="s">
        <v>49</v>
      </c>
      <c r="F176" s="431" t="s">
        <v>48</v>
      </c>
      <c r="G176" s="438" t="s">
        <v>1725</v>
      </c>
      <c r="H176" s="742" t="s">
        <v>1597</v>
      </c>
      <c r="I176" s="420" t="s">
        <v>76</v>
      </c>
      <c r="J176" s="422">
        <v>2022</v>
      </c>
      <c r="K176" s="420" t="s">
        <v>1722</v>
      </c>
      <c r="L176" s="438" t="s">
        <v>1647</v>
      </c>
      <c r="M176" s="145">
        <v>1500</v>
      </c>
      <c r="N176" s="370"/>
      <c r="O176" s="370"/>
      <c r="P176" s="370">
        <v>1500</v>
      </c>
      <c r="Q176" s="420" t="s">
        <v>1648</v>
      </c>
      <c r="R176" s="742" t="s">
        <v>1597</v>
      </c>
      <c r="S176" s="434" t="s">
        <v>1694</v>
      </c>
      <c r="T176" s="434" t="s">
        <v>1590</v>
      </c>
      <c r="U176" s="369"/>
      <c r="V176" s="369"/>
      <c r="W176" s="369"/>
      <c r="X176" s="369"/>
      <c r="Y176" s="145">
        <f t="shared" si="22"/>
        <v>1500</v>
      </c>
      <c r="Z176" s="145"/>
      <c r="AA176" s="145"/>
      <c r="AB176" s="370">
        <f t="shared" si="23"/>
        <v>1500</v>
      </c>
      <c r="AC176" s="370">
        <v>0</v>
      </c>
      <c r="AD176" s="145"/>
      <c r="AE176" s="145">
        <v>1500</v>
      </c>
      <c r="AF176" s="145">
        <f t="shared" si="24"/>
        <v>1500</v>
      </c>
      <c r="AG176" s="145"/>
      <c r="AH176" s="145"/>
      <c r="AI176" s="145">
        <f t="shared" si="25"/>
        <v>1500</v>
      </c>
      <c r="AJ176" s="145">
        <v>0</v>
      </c>
      <c r="AK176" s="145"/>
      <c r="AL176" s="734">
        <v>1500</v>
      </c>
      <c r="AM176" s="145"/>
      <c r="AN176" s="145"/>
      <c r="AO176" s="145"/>
      <c r="AP176" s="145"/>
      <c r="AQ176" s="145"/>
      <c r="AR176" s="145"/>
      <c r="AS176" s="145"/>
      <c r="AT176" s="371"/>
      <c r="AU176" s="145">
        <f t="shared" si="26"/>
        <v>0</v>
      </c>
      <c r="AV176" s="145"/>
      <c r="AW176" s="145"/>
      <c r="AX176" s="145">
        <f t="shared" si="27"/>
        <v>0</v>
      </c>
      <c r="AY176" s="145">
        <v>0</v>
      </c>
      <c r="AZ176" s="145"/>
      <c r="BA176" s="145"/>
      <c r="BB176" s="145"/>
      <c r="BC176" s="145"/>
      <c r="BD176" s="145"/>
      <c r="BE176" s="370"/>
      <c r="BF176" s="370"/>
      <c r="BG176" s="370"/>
      <c r="BH176" s="370"/>
      <c r="BI176" s="370"/>
      <c r="BJ176" s="370"/>
      <c r="BK176" s="370"/>
      <c r="BL176" s="370"/>
      <c r="BM176" s="145"/>
      <c r="BN176" s="370"/>
      <c r="BO176" s="370"/>
      <c r="BP176" s="145"/>
      <c r="BQ176" s="370"/>
      <c r="BR176" s="372"/>
      <c r="BS176" s="372"/>
      <c r="BT176" s="372"/>
    </row>
    <row r="177" spans="1:72" ht="30.75" outlineLevel="1">
      <c r="A177" s="438">
        <v>22</v>
      </c>
      <c r="B177" s="710" t="s">
        <v>1726</v>
      </c>
      <c r="C177" s="420" t="s">
        <v>1597</v>
      </c>
      <c r="D177" s="434" t="s">
        <v>1590</v>
      </c>
      <c r="E177" s="735" t="s">
        <v>49</v>
      </c>
      <c r="F177" s="431" t="s">
        <v>1282</v>
      </c>
      <c r="G177" s="438" t="s">
        <v>1727</v>
      </c>
      <c r="H177" s="742" t="s">
        <v>1597</v>
      </c>
      <c r="I177" s="420">
        <v>2022</v>
      </c>
      <c r="J177" s="422">
        <v>2022</v>
      </c>
      <c r="K177" s="420" t="s">
        <v>1722</v>
      </c>
      <c r="L177" s="438" t="s">
        <v>1728</v>
      </c>
      <c r="M177" s="145">
        <v>1000</v>
      </c>
      <c r="N177" s="370"/>
      <c r="O177" s="370"/>
      <c r="P177" s="370">
        <v>1000</v>
      </c>
      <c r="Q177" s="420" t="s">
        <v>1729</v>
      </c>
      <c r="R177" s="742" t="s">
        <v>1597</v>
      </c>
      <c r="S177" s="434" t="s">
        <v>1694</v>
      </c>
      <c r="T177" s="434" t="s">
        <v>1590</v>
      </c>
      <c r="U177" s="369"/>
      <c r="V177" s="369"/>
      <c r="W177" s="369"/>
      <c r="X177" s="369"/>
      <c r="Y177" s="145">
        <f t="shared" si="22"/>
        <v>1000</v>
      </c>
      <c r="Z177" s="145"/>
      <c r="AA177" s="145"/>
      <c r="AB177" s="370">
        <f t="shared" si="23"/>
        <v>1000</v>
      </c>
      <c r="AC177" s="370">
        <v>0</v>
      </c>
      <c r="AD177" s="145"/>
      <c r="AE177" s="145">
        <v>1000</v>
      </c>
      <c r="AF177" s="145">
        <f t="shared" si="24"/>
        <v>1000</v>
      </c>
      <c r="AG177" s="145"/>
      <c r="AH177" s="145"/>
      <c r="AI177" s="145">
        <f t="shared" si="25"/>
        <v>1000</v>
      </c>
      <c r="AJ177" s="145">
        <v>0</v>
      </c>
      <c r="AK177" s="145"/>
      <c r="AL177" s="734">
        <v>1000</v>
      </c>
      <c r="AM177" s="145"/>
      <c r="AN177" s="145"/>
      <c r="AO177" s="145"/>
      <c r="AP177" s="145"/>
      <c r="AQ177" s="145"/>
      <c r="AR177" s="145"/>
      <c r="AS177" s="145"/>
      <c r="AT177" s="371"/>
      <c r="AU177" s="145">
        <f t="shared" si="26"/>
        <v>0</v>
      </c>
      <c r="AV177" s="145"/>
      <c r="AW177" s="145"/>
      <c r="AX177" s="145">
        <f t="shared" si="27"/>
        <v>0</v>
      </c>
      <c r="AY177" s="145">
        <v>0</v>
      </c>
      <c r="AZ177" s="145"/>
      <c r="BA177" s="145"/>
      <c r="BB177" s="145"/>
      <c r="BC177" s="145"/>
      <c r="BD177" s="145"/>
      <c r="BE177" s="370"/>
      <c r="BF177" s="370"/>
      <c r="BG177" s="370"/>
      <c r="BH177" s="370"/>
      <c r="BI177" s="370"/>
      <c r="BJ177" s="370"/>
      <c r="BK177" s="370"/>
      <c r="BL177" s="370"/>
      <c r="BM177" s="145"/>
      <c r="BN177" s="370"/>
      <c r="BO177" s="370"/>
      <c r="BP177" s="145"/>
      <c r="BQ177" s="370"/>
      <c r="BR177" s="372"/>
      <c r="BS177" s="372"/>
      <c r="BT177" s="372"/>
    </row>
    <row r="178" spans="1:72" ht="30.75" outlineLevel="1">
      <c r="A178" s="438">
        <v>23</v>
      </c>
      <c r="B178" s="710" t="s">
        <v>1730</v>
      </c>
      <c r="C178" s="420" t="s">
        <v>1597</v>
      </c>
      <c r="D178" s="434" t="s">
        <v>1590</v>
      </c>
      <c r="E178" s="588" t="s">
        <v>49</v>
      </c>
      <c r="F178" s="431" t="s">
        <v>78</v>
      </c>
      <c r="G178" s="438" t="s">
        <v>1731</v>
      </c>
      <c r="H178" s="230" t="s">
        <v>1597</v>
      </c>
      <c r="I178" s="420" t="s">
        <v>76</v>
      </c>
      <c r="J178" s="422">
        <v>2022</v>
      </c>
      <c r="K178" s="420" t="s">
        <v>1538</v>
      </c>
      <c r="L178" s="438" t="s">
        <v>1732</v>
      </c>
      <c r="M178" s="145">
        <v>551.57799999999997</v>
      </c>
      <c r="N178" s="370"/>
      <c r="O178" s="370"/>
      <c r="P178" s="370">
        <v>500</v>
      </c>
      <c r="Q178" s="420" t="s">
        <v>1733</v>
      </c>
      <c r="R178" s="230" t="s">
        <v>1597</v>
      </c>
      <c r="S178" s="434" t="s">
        <v>1694</v>
      </c>
      <c r="T178" s="434" t="s">
        <v>1590</v>
      </c>
      <c r="U178" s="369"/>
      <c r="V178" s="369"/>
      <c r="W178" s="369"/>
      <c r="X178" s="369"/>
      <c r="Y178" s="145">
        <f t="shared" si="22"/>
        <v>500</v>
      </c>
      <c r="Z178" s="370">
        <v>0</v>
      </c>
      <c r="AA178" s="370">
        <v>0</v>
      </c>
      <c r="AB178" s="370">
        <f t="shared" si="23"/>
        <v>500</v>
      </c>
      <c r="AC178" s="370">
        <v>0</v>
      </c>
      <c r="AD178" s="370"/>
      <c r="AE178" s="370">
        <v>500</v>
      </c>
      <c r="AF178" s="145">
        <f t="shared" si="24"/>
        <v>500</v>
      </c>
      <c r="AG178" s="370">
        <v>0</v>
      </c>
      <c r="AH178" s="370"/>
      <c r="AI178" s="145">
        <f t="shared" si="25"/>
        <v>500</v>
      </c>
      <c r="AJ178" s="145">
        <v>0</v>
      </c>
      <c r="AK178" s="370"/>
      <c r="AL178" s="370">
        <v>500</v>
      </c>
      <c r="AM178" s="145"/>
      <c r="AN178" s="145"/>
      <c r="AO178" s="145"/>
      <c r="AP178" s="145"/>
      <c r="AQ178" s="145"/>
      <c r="AR178" s="145"/>
      <c r="AS178" s="145"/>
      <c r="AT178" s="371"/>
      <c r="AU178" s="145">
        <f t="shared" si="26"/>
        <v>0</v>
      </c>
      <c r="AV178" s="145"/>
      <c r="AW178" s="145"/>
      <c r="AX178" s="145">
        <f t="shared" si="27"/>
        <v>0</v>
      </c>
      <c r="AY178" s="145">
        <v>0</v>
      </c>
      <c r="AZ178" s="145"/>
      <c r="BA178" s="145"/>
      <c r="BB178" s="145"/>
      <c r="BC178" s="145"/>
      <c r="BD178" s="145"/>
      <c r="BE178" s="370"/>
      <c r="BF178" s="370"/>
      <c r="BG178" s="370"/>
      <c r="BH178" s="370"/>
      <c r="BI178" s="370"/>
      <c r="BJ178" s="370"/>
      <c r="BK178" s="370"/>
      <c r="BL178" s="370"/>
      <c r="BM178" s="145"/>
      <c r="BN178" s="370"/>
      <c r="BO178" s="370"/>
      <c r="BP178" s="145"/>
      <c r="BQ178" s="370"/>
      <c r="BR178" s="372"/>
      <c r="BS178" s="372"/>
      <c r="BT178" s="372"/>
    </row>
    <row r="179" spans="1:72" ht="30.75" outlineLevel="1">
      <c r="A179" s="438">
        <v>24</v>
      </c>
      <c r="B179" s="710" t="s">
        <v>1734</v>
      </c>
      <c r="C179" s="420" t="s">
        <v>1612</v>
      </c>
      <c r="D179" s="434" t="s">
        <v>1590</v>
      </c>
      <c r="E179" s="588" t="s">
        <v>49</v>
      </c>
      <c r="F179" s="588" t="s">
        <v>1579</v>
      </c>
      <c r="G179" s="422">
        <v>7925268</v>
      </c>
      <c r="H179" s="712" t="s">
        <v>1613</v>
      </c>
      <c r="I179" s="422">
        <v>2021</v>
      </c>
      <c r="J179" s="422">
        <v>2021</v>
      </c>
      <c r="K179" s="420" t="s">
        <v>1580</v>
      </c>
      <c r="L179" s="420" t="s">
        <v>1735</v>
      </c>
      <c r="M179" s="373">
        <v>2376.1296000000002</v>
      </c>
      <c r="N179" s="713"/>
      <c r="O179" s="374"/>
      <c r="P179" s="373">
        <v>379.08</v>
      </c>
      <c r="Q179" s="454"/>
      <c r="R179" s="712" t="s">
        <v>1613</v>
      </c>
      <c r="S179" s="434" t="s">
        <v>1588</v>
      </c>
      <c r="T179" s="434" t="s">
        <v>1590</v>
      </c>
      <c r="U179" s="429"/>
      <c r="V179" s="429"/>
      <c r="W179" s="429"/>
      <c r="X179" s="429"/>
      <c r="Y179" s="145">
        <f t="shared" si="22"/>
        <v>365.9</v>
      </c>
      <c r="Z179" s="375"/>
      <c r="AA179" s="375"/>
      <c r="AB179" s="370">
        <f t="shared" si="23"/>
        <v>365.9</v>
      </c>
      <c r="AC179" s="370">
        <v>0</v>
      </c>
      <c r="AD179" s="145">
        <v>14.9</v>
      </c>
      <c r="AE179" s="145">
        <v>351</v>
      </c>
      <c r="AF179" s="145">
        <f t="shared" si="24"/>
        <v>365.9</v>
      </c>
      <c r="AG179" s="375"/>
      <c r="AH179" s="375"/>
      <c r="AI179" s="145">
        <f t="shared" si="25"/>
        <v>365.9</v>
      </c>
      <c r="AJ179" s="145">
        <v>0</v>
      </c>
      <c r="AK179" s="145">
        <v>14.9</v>
      </c>
      <c r="AL179" s="145">
        <v>351</v>
      </c>
      <c r="AM179" s="375"/>
      <c r="AN179" s="375"/>
      <c r="AO179" s="375"/>
      <c r="AP179" s="375"/>
      <c r="AQ179" s="375"/>
      <c r="AR179" s="375"/>
      <c r="AS179" s="376"/>
      <c r="AT179" s="375"/>
      <c r="AU179" s="145">
        <f t="shared" si="26"/>
        <v>0</v>
      </c>
      <c r="AV179" s="375"/>
      <c r="AW179" s="375"/>
      <c r="AX179" s="145">
        <f t="shared" si="27"/>
        <v>0</v>
      </c>
      <c r="AY179" s="145">
        <v>0</v>
      </c>
      <c r="AZ179" s="375"/>
      <c r="BA179" s="375"/>
      <c r="BB179" s="375"/>
      <c r="BC179" s="375"/>
      <c r="BD179" s="375"/>
      <c r="BE179" s="376"/>
      <c r="BF179" s="376"/>
      <c r="BG179" s="376"/>
      <c r="BH179" s="376"/>
      <c r="BI179" s="376"/>
      <c r="BJ179" s="376"/>
      <c r="BK179" s="376"/>
      <c r="BL179" s="376"/>
      <c r="BM179" s="376"/>
      <c r="BN179" s="376"/>
      <c r="BO179" s="376"/>
      <c r="BP179" s="376"/>
      <c r="BQ179" s="376"/>
      <c r="BR179" s="713"/>
      <c r="BS179" s="713"/>
      <c r="BT179" s="714"/>
    </row>
    <row r="180" spans="1:72" ht="30.75" outlineLevel="1">
      <c r="A180" s="438">
        <v>25</v>
      </c>
      <c r="B180" s="710" t="s">
        <v>1736</v>
      </c>
      <c r="C180" s="420" t="s">
        <v>1656</v>
      </c>
      <c r="D180" s="434" t="s">
        <v>1590</v>
      </c>
      <c r="E180" s="588" t="s">
        <v>49</v>
      </c>
      <c r="F180" s="588" t="s">
        <v>1579</v>
      </c>
      <c r="G180" s="422">
        <v>7930586</v>
      </c>
      <c r="H180" s="712" t="s">
        <v>1597</v>
      </c>
      <c r="I180" s="422">
        <v>2021</v>
      </c>
      <c r="J180" s="422">
        <v>2021</v>
      </c>
      <c r="K180" s="420" t="s">
        <v>1580</v>
      </c>
      <c r="L180" s="420" t="s">
        <v>1737</v>
      </c>
      <c r="M180" s="373">
        <v>2969.1</v>
      </c>
      <c r="N180" s="713"/>
      <c r="O180" s="374"/>
      <c r="P180" s="373">
        <v>342.08800000000002</v>
      </c>
      <c r="Q180" s="454"/>
      <c r="R180" s="712" t="s">
        <v>1597</v>
      </c>
      <c r="S180" s="434" t="s">
        <v>1588</v>
      </c>
      <c r="T180" s="434" t="s">
        <v>1590</v>
      </c>
      <c r="U180" s="429"/>
      <c r="V180" s="429"/>
      <c r="W180" s="429"/>
      <c r="X180" s="429"/>
      <c r="Y180" s="145">
        <f t="shared" si="22"/>
        <v>325.60000000000002</v>
      </c>
      <c r="Z180" s="375"/>
      <c r="AA180" s="375"/>
      <c r="AB180" s="370">
        <f t="shared" si="23"/>
        <v>325.60000000000002</v>
      </c>
      <c r="AC180" s="370">
        <v>0</v>
      </c>
      <c r="AD180" s="145">
        <v>18.600000000000001</v>
      </c>
      <c r="AE180" s="145">
        <v>307</v>
      </c>
      <c r="AF180" s="145">
        <f t="shared" si="24"/>
        <v>325.60000000000002</v>
      </c>
      <c r="AG180" s="375"/>
      <c r="AH180" s="375"/>
      <c r="AI180" s="145">
        <f t="shared" si="25"/>
        <v>325.60000000000002</v>
      </c>
      <c r="AJ180" s="145">
        <v>0</v>
      </c>
      <c r="AK180" s="145">
        <v>18.600000000000001</v>
      </c>
      <c r="AL180" s="145">
        <v>307</v>
      </c>
      <c r="AM180" s="375"/>
      <c r="AN180" s="375"/>
      <c r="AO180" s="375"/>
      <c r="AP180" s="375"/>
      <c r="AQ180" s="375"/>
      <c r="AR180" s="375"/>
      <c r="AS180" s="376"/>
      <c r="AT180" s="375"/>
      <c r="AU180" s="145">
        <f t="shared" si="26"/>
        <v>0</v>
      </c>
      <c r="AV180" s="375"/>
      <c r="AW180" s="375"/>
      <c r="AX180" s="145">
        <f t="shared" si="27"/>
        <v>0</v>
      </c>
      <c r="AY180" s="145">
        <v>0</v>
      </c>
      <c r="AZ180" s="375"/>
      <c r="BA180" s="375"/>
      <c r="BB180" s="375"/>
      <c r="BC180" s="375"/>
      <c r="BD180" s="375"/>
      <c r="BE180" s="376"/>
      <c r="BF180" s="376"/>
      <c r="BG180" s="376"/>
      <c r="BH180" s="376"/>
      <c r="BI180" s="376"/>
      <c r="BJ180" s="376"/>
      <c r="BK180" s="376"/>
      <c r="BL180" s="376"/>
      <c r="BM180" s="376"/>
      <c r="BN180" s="376"/>
      <c r="BO180" s="376"/>
      <c r="BP180" s="376"/>
      <c r="BQ180" s="376"/>
      <c r="BR180" s="713"/>
      <c r="BS180" s="713"/>
      <c r="BT180" s="714"/>
    </row>
    <row r="181" spans="1:72" ht="30.75" outlineLevel="1">
      <c r="A181" s="438">
        <v>26</v>
      </c>
      <c r="B181" s="710" t="s">
        <v>1738</v>
      </c>
      <c r="C181" s="420" t="s">
        <v>1739</v>
      </c>
      <c r="D181" s="434" t="s">
        <v>1590</v>
      </c>
      <c r="E181" s="588" t="s">
        <v>49</v>
      </c>
      <c r="F181" s="588" t="s">
        <v>1579</v>
      </c>
      <c r="G181" s="422">
        <v>7925884</v>
      </c>
      <c r="H181" s="712" t="s">
        <v>1592</v>
      </c>
      <c r="I181" s="422">
        <v>2021</v>
      </c>
      <c r="J181" s="422">
        <v>2021</v>
      </c>
      <c r="K181" s="420" t="s">
        <v>1580</v>
      </c>
      <c r="L181" s="420" t="s">
        <v>1740</v>
      </c>
      <c r="M181" s="373">
        <v>4564.7</v>
      </c>
      <c r="N181" s="713"/>
      <c r="O181" s="374"/>
      <c r="P181" s="373">
        <v>525.94399999999996</v>
      </c>
      <c r="Q181" s="454"/>
      <c r="R181" s="712" t="s">
        <v>1592</v>
      </c>
      <c r="S181" s="434" t="s">
        <v>1588</v>
      </c>
      <c r="T181" s="434" t="s">
        <v>1590</v>
      </c>
      <c r="U181" s="429"/>
      <c r="V181" s="429"/>
      <c r="W181" s="429"/>
      <c r="X181" s="429"/>
      <c r="Y181" s="145">
        <f t="shared" si="22"/>
        <v>492.29899999999998</v>
      </c>
      <c r="Z181" s="375"/>
      <c r="AA181" s="375"/>
      <c r="AB181" s="370">
        <f t="shared" si="23"/>
        <v>492.29899999999998</v>
      </c>
      <c r="AC181" s="370">
        <v>0</v>
      </c>
      <c r="AD181" s="145">
        <v>20.298999999999999</v>
      </c>
      <c r="AE181" s="145">
        <v>472</v>
      </c>
      <c r="AF181" s="145">
        <f t="shared" si="24"/>
        <v>492.29899999999998</v>
      </c>
      <c r="AG181" s="375"/>
      <c r="AH181" s="375"/>
      <c r="AI181" s="145">
        <f t="shared" si="25"/>
        <v>492.29899999999998</v>
      </c>
      <c r="AJ181" s="145">
        <v>0</v>
      </c>
      <c r="AK181" s="145">
        <v>20.298999999999999</v>
      </c>
      <c r="AL181" s="145">
        <v>472</v>
      </c>
      <c r="AM181" s="375"/>
      <c r="AN181" s="375"/>
      <c r="AO181" s="375"/>
      <c r="AP181" s="375"/>
      <c r="AQ181" s="375"/>
      <c r="AR181" s="375"/>
      <c r="AS181" s="376"/>
      <c r="AT181" s="375"/>
      <c r="AU181" s="145">
        <f t="shared" si="26"/>
        <v>0</v>
      </c>
      <c r="AV181" s="375"/>
      <c r="AW181" s="375"/>
      <c r="AX181" s="145">
        <f t="shared" si="27"/>
        <v>0</v>
      </c>
      <c r="AY181" s="145">
        <v>0</v>
      </c>
      <c r="AZ181" s="375"/>
      <c r="BA181" s="375"/>
      <c r="BB181" s="375"/>
      <c r="BC181" s="375"/>
      <c r="BD181" s="375"/>
      <c r="BE181" s="376"/>
      <c r="BF181" s="376"/>
      <c r="BG181" s="376"/>
      <c r="BH181" s="376"/>
      <c r="BI181" s="376"/>
      <c r="BJ181" s="376"/>
      <c r="BK181" s="376"/>
      <c r="BL181" s="376"/>
      <c r="BM181" s="376"/>
      <c r="BN181" s="376"/>
      <c r="BO181" s="376"/>
      <c r="BP181" s="376"/>
      <c r="BQ181" s="376"/>
      <c r="BR181" s="713"/>
      <c r="BS181" s="713"/>
      <c r="BT181" s="714"/>
    </row>
    <row r="182" spans="1:72" ht="32.25" customHeight="1">
      <c r="A182" s="418" t="s">
        <v>14</v>
      </c>
      <c r="B182" s="418" t="s">
        <v>1741</v>
      </c>
      <c r="C182" s="418"/>
      <c r="D182" s="454"/>
      <c r="E182" s="730"/>
      <c r="F182" s="730"/>
      <c r="G182" s="731"/>
      <c r="H182" s="555"/>
      <c r="I182" s="551"/>
      <c r="J182" s="551"/>
      <c r="K182" s="730"/>
      <c r="L182" s="730"/>
      <c r="M182" s="713">
        <f>M183+M206+M211+M241</f>
        <v>145533.30599999998</v>
      </c>
      <c r="N182" s="713">
        <f t="shared" ref="N182:BR182" si="30">N183+N206+N211+N241</f>
        <v>27594</v>
      </c>
      <c r="O182" s="713">
        <f t="shared" si="30"/>
        <v>0</v>
      </c>
      <c r="P182" s="713">
        <f t="shared" si="30"/>
        <v>113972.318</v>
      </c>
      <c r="Q182" s="555"/>
      <c r="R182" s="555"/>
      <c r="S182" s="555"/>
      <c r="T182" s="555"/>
      <c r="U182" s="713">
        <f t="shared" si="30"/>
        <v>0</v>
      </c>
      <c r="V182" s="713">
        <f t="shared" si="30"/>
        <v>0</v>
      </c>
      <c r="W182" s="713">
        <f t="shared" si="30"/>
        <v>0</v>
      </c>
      <c r="X182" s="713">
        <f t="shared" si="30"/>
        <v>0</v>
      </c>
      <c r="Y182" s="713">
        <f t="shared" si="30"/>
        <v>54170.053999999989</v>
      </c>
      <c r="Z182" s="713">
        <f t="shared" si="30"/>
        <v>0</v>
      </c>
      <c r="AA182" s="713">
        <f t="shared" si="30"/>
        <v>0</v>
      </c>
      <c r="AB182" s="713">
        <f t="shared" si="30"/>
        <v>54170.053999999989</v>
      </c>
      <c r="AC182" s="713">
        <f t="shared" si="30"/>
        <v>10852.629000000001</v>
      </c>
      <c r="AD182" s="713">
        <f t="shared" si="30"/>
        <v>25601.424999999999</v>
      </c>
      <c r="AE182" s="713">
        <f t="shared" si="30"/>
        <v>17716</v>
      </c>
      <c r="AF182" s="713">
        <f t="shared" si="30"/>
        <v>52756.454999999987</v>
      </c>
      <c r="AG182" s="713">
        <f t="shared" si="30"/>
        <v>0</v>
      </c>
      <c r="AH182" s="713">
        <f t="shared" si="30"/>
        <v>0</v>
      </c>
      <c r="AI182" s="713">
        <f t="shared" si="30"/>
        <v>52756.454999999987</v>
      </c>
      <c r="AJ182" s="713">
        <f t="shared" si="30"/>
        <v>9101.5300000000007</v>
      </c>
      <c r="AK182" s="713">
        <f t="shared" si="30"/>
        <v>25601.424999999999</v>
      </c>
      <c r="AL182" s="713">
        <f t="shared" si="30"/>
        <v>18053.5</v>
      </c>
      <c r="AM182" s="713">
        <f t="shared" si="30"/>
        <v>5545.2510000000002</v>
      </c>
      <c r="AN182" s="713">
        <f t="shared" si="30"/>
        <v>0</v>
      </c>
      <c r="AO182" s="713">
        <f t="shared" si="30"/>
        <v>313.8</v>
      </c>
      <c r="AP182" s="713">
        <f t="shared" si="30"/>
        <v>5231.451</v>
      </c>
      <c r="AQ182" s="713">
        <f t="shared" si="30"/>
        <v>0</v>
      </c>
      <c r="AR182" s="713">
        <f t="shared" si="30"/>
        <v>0</v>
      </c>
      <c r="AS182" s="713">
        <f t="shared" si="30"/>
        <v>5231.451</v>
      </c>
      <c r="AT182" s="713">
        <f t="shared" si="30"/>
        <v>313.8</v>
      </c>
      <c r="AU182" s="713">
        <f t="shared" si="30"/>
        <v>1388.5989999999999</v>
      </c>
      <c r="AV182" s="713">
        <f t="shared" si="30"/>
        <v>0</v>
      </c>
      <c r="AW182" s="713">
        <f t="shared" si="30"/>
        <v>0</v>
      </c>
      <c r="AX182" s="713">
        <f t="shared" si="30"/>
        <v>1388.5989999999999</v>
      </c>
      <c r="AY182" s="713">
        <f t="shared" si="30"/>
        <v>1388.5989999999999</v>
      </c>
      <c r="AZ182" s="713">
        <f t="shared" si="30"/>
        <v>0</v>
      </c>
      <c r="BA182" s="713">
        <f t="shared" si="30"/>
        <v>0</v>
      </c>
      <c r="BB182" s="555">
        <f t="shared" si="30"/>
        <v>0</v>
      </c>
      <c r="BC182" s="555">
        <f t="shared" si="30"/>
        <v>0</v>
      </c>
      <c r="BD182" s="555">
        <f t="shared" si="30"/>
        <v>0</v>
      </c>
      <c r="BE182" s="555">
        <f t="shared" si="30"/>
        <v>0</v>
      </c>
      <c r="BF182" s="555">
        <f t="shared" si="30"/>
        <v>0</v>
      </c>
      <c r="BG182" s="555">
        <f t="shared" si="30"/>
        <v>0</v>
      </c>
      <c r="BH182" s="555">
        <f t="shared" si="30"/>
        <v>0</v>
      </c>
      <c r="BI182" s="555">
        <f t="shared" si="30"/>
        <v>0</v>
      </c>
      <c r="BJ182" s="555">
        <f t="shared" si="30"/>
        <v>0</v>
      </c>
      <c r="BK182" s="555">
        <f t="shared" si="30"/>
        <v>0</v>
      </c>
      <c r="BL182" s="555">
        <f t="shared" si="30"/>
        <v>0</v>
      </c>
      <c r="BM182" s="555">
        <f t="shared" si="30"/>
        <v>0</v>
      </c>
      <c r="BN182" s="555">
        <f t="shared" si="30"/>
        <v>0</v>
      </c>
      <c r="BO182" s="555">
        <f t="shared" si="30"/>
        <v>0</v>
      </c>
      <c r="BP182" s="555">
        <f t="shared" si="30"/>
        <v>0</v>
      </c>
      <c r="BQ182" s="555">
        <f t="shared" si="30"/>
        <v>0</v>
      </c>
      <c r="BR182" s="555">
        <f t="shared" si="30"/>
        <v>0</v>
      </c>
      <c r="BS182" s="555"/>
      <c r="BT182" s="555"/>
    </row>
    <row r="183" spans="1:72" ht="32.25" customHeight="1" outlineLevel="1">
      <c r="A183" s="553" t="s">
        <v>45</v>
      </c>
      <c r="B183" s="715" t="s">
        <v>46</v>
      </c>
      <c r="C183" s="418"/>
      <c r="D183" s="454"/>
      <c r="E183" s="418"/>
      <c r="F183" s="418"/>
      <c r="G183" s="418"/>
      <c r="H183" s="454"/>
      <c r="I183" s="418"/>
      <c r="J183" s="418"/>
      <c r="K183" s="418"/>
      <c r="L183" s="418"/>
      <c r="M183" s="429">
        <f>SUM(M184:M205)</f>
        <v>44903</v>
      </c>
      <c r="N183" s="429">
        <f t="shared" ref="N183:BR183" si="31">SUM(N184:N205)</f>
        <v>23170</v>
      </c>
      <c r="O183" s="429">
        <f t="shared" si="31"/>
        <v>0</v>
      </c>
      <c r="P183" s="429">
        <f t="shared" si="31"/>
        <v>21733</v>
      </c>
      <c r="Q183" s="454">
        <f t="shared" si="31"/>
        <v>0</v>
      </c>
      <c r="R183" s="454">
        <f t="shared" si="31"/>
        <v>0</v>
      </c>
      <c r="S183" s="454">
        <f t="shared" si="31"/>
        <v>0</v>
      </c>
      <c r="T183" s="454">
        <f t="shared" si="31"/>
        <v>0</v>
      </c>
      <c r="U183" s="429">
        <f t="shared" si="31"/>
        <v>0</v>
      </c>
      <c r="V183" s="429">
        <f t="shared" si="31"/>
        <v>0</v>
      </c>
      <c r="W183" s="429">
        <f t="shared" si="31"/>
        <v>0</v>
      </c>
      <c r="X183" s="429">
        <f t="shared" si="31"/>
        <v>0</v>
      </c>
      <c r="Y183" s="429">
        <f t="shared" si="31"/>
        <v>265.12899999999996</v>
      </c>
      <c r="Z183" s="429">
        <f t="shared" si="31"/>
        <v>0</v>
      </c>
      <c r="AA183" s="429">
        <f t="shared" si="31"/>
        <v>0</v>
      </c>
      <c r="AB183" s="429">
        <f t="shared" si="31"/>
        <v>265.12899999999996</v>
      </c>
      <c r="AC183" s="429">
        <f t="shared" si="31"/>
        <v>265.12899999999996</v>
      </c>
      <c r="AD183" s="429">
        <f t="shared" si="31"/>
        <v>0</v>
      </c>
      <c r="AE183" s="429">
        <f t="shared" si="31"/>
        <v>0</v>
      </c>
      <c r="AF183" s="429">
        <f t="shared" si="31"/>
        <v>16.53</v>
      </c>
      <c r="AG183" s="429">
        <f t="shared" si="31"/>
        <v>0</v>
      </c>
      <c r="AH183" s="429">
        <f t="shared" si="31"/>
        <v>0</v>
      </c>
      <c r="AI183" s="429">
        <f t="shared" si="31"/>
        <v>16.53</v>
      </c>
      <c r="AJ183" s="429">
        <f t="shared" si="31"/>
        <v>16.53</v>
      </c>
      <c r="AK183" s="429">
        <f t="shared" si="31"/>
        <v>0</v>
      </c>
      <c r="AL183" s="429">
        <f t="shared" si="31"/>
        <v>0</v>
      </c>
      <c r="AM183" s="429">
        <f t="shared" si="31"/>
        <v>0</v>
      </c>
      <c r="AN183" s="429">
        <f t="shared" si="31"/>
        <v>0</v>
      </c>
      <c r="AO183" s="429">
        <f t="shared" si="31"/>
        <v>0</v>
      </c>
      <c r="AP183" s="429">
        <f t="shared" si="31"/>
        <v>0</v>
      </c>
      <c r="AQ183" s="429">
        <f t="shared" si="31"/>
        <v>0</v>
      </c>
      <c r="AR183" s="429">
        <f t="shared" si="31"/>
        <v>0</v>
      </c>
      <c r="AS183" s="429">
        <f t="shared" si="31"/>
        <v>0</v>
      </c>
      <c r="AT183" s="429">
        <f t="shared" si="31"/>
        <v>0</v>
      </c>
      <c r="AU183" s="429">
        <f t="shared" si="31"/>
        <v>248.59899999999996</v>
      </c>
      <c r="AV183" s="429">
        <f t="shared" si="31"/>
        <v>0</v>
      </c>
      <c r="AW183" s="429">
        <f t="shared" si="31"/>
        <v>0</v>
      </c>
      <c r="AX183" s="429">
        <f t="shared" si="31"/>
        <v>248.59899999999996</v>
      </c>
      <c r="AY183" s="429">
        <f t="shared" si="31"/>
        <v>248.59899999999996</v>
      </c>
      <c r="AZ183" s="429">
        <f t="shared" si="31"/>
        <v>0</v>
      </c>
      <c r="BA183" s="454">
        <f t="shared" si="31"/>
        <v>0</v>
      </c>
      <c r="BB183" s="454">
        <f t="shared" si="31"/>
        <v>0</v>
      </c>
      <c r="BC183" s="454">
        <f t="shared" si="31"/>
        <v>0</v>
      </c>
      <c r="BD183" s="454">
        <f t="shared" si="31"/>
        <v>0</v>
      </c>
      <c r="BE183" s="454">
        <f t="shared" si="31"/>
        <v>0</v>
      </c>
      <c r="BF183" s="454">
        <f t="shared" si="31"/>
        <v>0</v>
      </c>
      <c r="BG183" s="454">
        <f t="shared" si="31"/>
        <v>0</v>
      </c>
      <c r="BH183" s="454">
        <f t="shared" si="31"/>
        <v>0</v>
      </c>
      <c r="BI183" s="454">
        <f t="shared" si="31"/>
        <v>0</v>
      </c>
      <c r="BJ183" s="454">
        <f t="shared" si="31"/>
        <v>0</v>
      </c>
      <c r="BK183" s="454">
        <f t="shared" si="31"/>
        <v>0</v>
      </c>
      <c r="BL183" s="454">
        <f t="shared" si="31"/>
        <v>0</v>
      </c>
      <c r="BM183" s="454">
        <f t="shared" si="31"/>
        <v>0</v>
      </c>
      <c r="BN183" s="454">
        <f t="shared" si="31"/>
        <v>0</v>
      </c>
      <c r="BO183" s="454">
        <f t="shared" si="31"/>
        <v>0</v>
      </c>
      <c r="BP183" s="454">
        <f t="shared" si="31"/>
        <v>0</v>
      </c>
      <c r="BQ183" s="454">
        <f t="shared" si="31"/>
        <v>0</v>
      </c>
      <c r="BR183" s="454">
        <f t="shared" si="31"/>
        <v>0</v>
      </c>
      <c r="BS183" s="454"/>
      <c r="BT183" s="454"/>
    </row>
    <row r="184" spans="1:72" ht="30.75" outlineLevel="1">
      <c r="A184" s="420">
        <v>1</v>
      </c>
      <c r="B184" s="710" t="s">
        <v>1742</v>
      </c>
      <c r="C184" s="420" t="s">
        <v>1238</v>
      </c>
      <c r="D184" s="434" t="s">
        <v>1743</v>
      </c>
      <c r="E184" s="588" t="s">
        <v>49</v>
      </c>
      <c r="F184" s="588" t="s">
        <v>105</v>
      </c>
      <c r="G184" s="422" t="s">
        <v>1744</v>
      </c>
      <c r="H184" s="434" t="s">
        <v>1741</v>
      </c>
      <c r="I184" s="422">
        <v>2020</v>
      </c>
      <c r="J184" s="422">
        <v>2020</v>
      </c>
      <c r="K184" s="588" t="s">
        <v>1241</v>
      </c>
      <c r="L184" s="588" t="s">
        <v>1242</v>
      </c>
      <c r="M184" s="373">
        <v>1250</v>
      </c>
      <c r="N184" s="448"/>
      <c r="O184" s="448"/>
      <c r="P184" s="373">
        <v>1250</v>
      </c>
      <c r="Q184" s="434" t="s">
        <v>1745</v>
      </c>
      <c r="R184" s="434" t="s">
        <v>1741</v>
      </c>
      <c r="S184" s="434" t="s">
        <v>1741</v>
      </c>
      <c r="T184" s="434" t="s">
        <v>1743</v>
      </c>
      <c r="U184" s="462"/>
      <c r="V184" s="462"/>
      <c r="W184" s="462"/>
      <c r="X184" s="462"/>
      <c r="Y184" s="145">
        <f t="shared" si="22"/>
        <v>7.125</v>
      </c>
      <c r="Z184" s="145"/>
      <c r="AA184" s="145"/>
      <c r="AB184" s="370">
        <f t="shared" si="23"/>
        <v>7.125</v>
      </c>
      <c r="AC184" s="370">
        <v>7.125</v>
      </c>
      <c r="AD184" s="145"/>
      <c r="AE184" s="145"/>
      <c r="AF184" s="145">
        <f t="shared" si="24"/>
        <v>7.125</v>
      </c>
      <c r="AG184" s="145"/>
      <c r="AH184" s="145"/>
      <c r="AI184" s="145">
        <f t="shared" si="25"/>
        <v>7.125</v>
      </c>
      <c r="AJ184" s="145">
        <v>7.125</v>
      </c>
      <c r="AK184" s="145"/>
      <c r="AL184" s="145"/>
      <c r="AM184" s="145"/>
      <c r="AN184" s="145"/>
      <c r="AO184" s="145"/>
      <c r="AP184" s="145"/>
      <c r="AQ184" s="370"/>
      <c r="AR184" s="145"/>
      <c r="AS184" s="145"/>
      <c r="AT184" s="145"/>
      <c r="AU184" s="145">
        <f t="shared" si="26"/>
        <v>0</v>
      </c>
      <c r="AV184" s="145"/>
      <c r="AW184" s="145"/>
      <c r="AX184" s="145">
        <f t="shared" si="27"/>
        <v>0</v>
      </c>
      <c r="AY184" s="145">
        <v>0</v>
      </c>
      <c r="AZ184" s="145"/>
      <c r="BA184" s="145"/>
      <c r="BB184" s="145"/>
      <c r="BC184" s="145"/>
      <c r="BD184" s="145"/>
      <c r="BE184" s="145"/>
      <c r="BF184" s="370"/>
      <c r="BG184" s="145"/>
      <c r="BH184" s="145"/>
      <c r="BI184" s="145"/>
      <c r="BJ184" s="145"/>
      <c r="BK184" s="145"/>
      <c r="BL184" s="145"/>
      <c r="BM184" s="370"/>
      <c r="BN184" s="145"/>
      <c r="BO184" s="145"/>
      <c r="BP184" s="145"/>
      <c r="BQ184" s="370"/>
      <c r="BR184" s="433"/>
      <c r="BS184" s="433"/>
      <c r="BT184" s="424"/>
    </row>
    <row r="185" spans="1:72" ht="30.75" outlineLevel="1">
      <c r="A185" s="420">
        <v>2</v>
      </c>
      <c r="B185" s="710" t="s">
        <v>1746</v>
      </c>
      <c r="C185" s="420" t="s">
        <v>1238</v>
      </c>
      <c r="D185" s="434" t="s">
        <v>1743</v>
      </c>
      <c r="E185" s="588" t="s">
        <v>49</v>
      </c>
      <c r="F185" s="588" t="s">
        <v>105</v>
      </c>
      <c r="G185" s="422" t="s">
        <v>1747</v>
      </c>
      <c r="H185" s="434" t="s">
        <v>1748</v>
      </c>
      <c r="I185" s="422">
        <v>2020</v>
      </c>
      <c r="J185" s="422">
        <v>2020</v>
      </c>
      <c r="K185" s="588" t="s">
        <v>1256</v>
      </c>
      <c r="L185" s="588" t="s">
        <v>1749</v>
      </c>
      <c r="M185" s="373">
        <v>1650</v>
      </c>
      <c r="N185" s="448"/>
      <c r="O185" s="448"/>
      <c r="P185" s="373">
        <v>1650</v>
      </c>
      <c r="Q185" s="434" t="s">
        <v>1750</v>
      </c>
      <c r="R185" s="434" t="s">
        <v>1748</v>
      </c>
      <c r="S185" s="434" t="s">
        <v>1741</v>
      </c>
      <c r="T185" s="434" t="s">
        <v>1743</v>
      </c>
      <c r="U185" s="462"/>
      <c r="V185" s="462"/>
      <c r="W185" s="462"/>
      <c r="X185" s="462"/>
      <c r="Y185" s="145">
        <f t="shared" si="22"/>
        <v>9.4049999999999994</v>
      </c>
      <c r="Z185" s="145"/>
      <c r="AA185" s="145"/>
      <c r="AB185" s="370">
        <f t="shared" si="23"/>
        <v>9.4049999999999994</v>
      </c>
      <c r="AC185" s="370">
        <v>9.4049999999999994</v>
      </c>
      <c r="AD185" s="145"/>
      <c r="AE185" s="145"/>
      <c r="AF185" s="145">
        <f t="shared" si="24"/>
        <v>9.4049999999999994</v>
      </c>
      <c r="AG185" s="145"/>
      <c r="AH185" s="145"/>
      <c r="AI185" s="145">
        <f t="shared" si="25"/>
        <v>9.4049999999999994</v>
      </c>
      <c r="AJ185" s="145">
        <v>9.4049999999999994</v>
      </c>
      <c r="AK185" s="145"/>
      <c r="AL185" s="145"/>
      <c r="AM185" s="145"/>
      <c r="AN185" s="145"/>
      <c r="AO185" s="145"/>
      <c r="AP185" s="145"/>
      <c r="AQ185" s="370"/>
      <c r="AR185" s="145"/>
      <c r="AS185" s="145"/>
      <c r="AT185" s="145"/>
      <c r="AU185" s="145">
        <f t="shared" si="26"/>
        <v>0</v>
      </c>
      <c r="AV185" s="145"/>
      <c r="AW185" s="145"/>
      <c r="AX185" s="145">
        <f t="shared" si="27"/>
        <v>0</v>
      </c>
      <c r="AY185" s="145">
        <v>0</v>
      </c>
      <c r="AZ185" s="145"/>
      <c r="BA185" s="145"/>
      <c r="BB185" s="145"/>
      <c r="BC185" s="145"/>
      <c r="BD185" s="145"/>
      <c r="BE185" s="145"/>
      <c r="BF185" s="370"/>
      <c r="BG185" s="145"/>
      <c r="BH185" s="145"/>
      <c r="BI185" s="145"/>
      <c r="BJ185" s="145"/>
      <c r="BK185" s="145"/>
      <c r="BL185" s="145"/>
      <c r="BM185" s="370"/>
      <c r="BN185" s="145"/>
      <c r="BO185" s="145"/>
      <c r="BP185" s="145"/>
      <c r="BQ185" s="370"/>
      <c r="BR185" s="433"/>
      <c r="BS185" s="433"/>
      <c r="BT185" s="424"/>
    </row>
    <row r="186" spans="1:72" ht="30.75" outlineLevel="1">
      <c r="A186" s="420">
        <v>3</v>
      </c>
      <c r="B186" s="710" t="s">
        <v>1751</v>
      </c>
      <c r="C186" s="420" t="s">
        <v>1238</v>
      </c>
      <c r="D186" s="434" t="s">
        <v>1743</v>
      </c>
      <c r="E186" s="588" t="s">
        <v>49</v>
      </c>
      <c r="F186" s="588" t="s">
        <v>48</v>
      </c>
      <c r="G186" s="588">
        <v>7790780</v>
      </c>
      <c r="H186" s="434" t="s">
        <v>1748</v>
      </c>
      <c r="I186" s="712" t="s">
        <v>76</v>
      </c>
      <c r="J186" s="422">
        <v>2023</v>
      </c>
      <c r="K186" s="420" t="s">
        <v>1351</v>
      </c>
      <c r="L186" s="377" t="s">
        <v>1752</v>
      </c>
      <c r="M186" s="448">
        <v>8030</v>
      </c>
      <c r="N186" s="448">
        <v>7300</v>
      </c>
      <c r="O186" s="448"/>
      <c r="P186" s="448">
        <v>730</v>
      </c>
      <c r="Q186" s="434" t="s">
        <v>1753</v>
      </c>
      <c r="R186" s="434" t="s">
        <v>1748</v>
      </c>
      <c r="S186" s="434" t="s">
        <v>1741</v>
      </c>
      <c r="T186" s="434" t="s">
        <v>1743</v>
      </c>
      <c r="U186" s="462"/>
      <c r="V186" s="462"/>
      <c r="W186" s="462"/>
      <c r="X186" s="462"/>
      <c r="Y186" s="145">
        <f t="shared" si="22"/>
        <v>34.781999999999996</v>
      </c>
      <c r="Z186" s="145"/>
      <c r="AA186" s="145"/>
      <c r="AB186" s="370">
        <f t="shared" si="23"/>
        <v>34.781999999999996</v>
      </c>
      <c r="AC186" s="370">
        <v>34.781999999999996</v>
      </c>
      <c r="AD186" s="145"/>
      <c r="AE186" s="145"/>
      <c r="AF186" s="145">
        <f t="shared" si="24"/>
        <v>0</v>
      </c>
      <c r="AG186" s="145"/>
      <c r="AH186" s="145"/>
      <c r="AI186" s="145">
        <f t="shared" si="25"/>
        <v>0</v>
      </c>
      <c r="AJ186" s="145">
        <v>0</v>
      </c>
      <c r="AK186" s="145"/>
      <c r="AL186" s="145"/>
      <c r="AM186" s="145"/>
      <c r="AN186" s="145"/>
      <c r="AO186" s="145"/>
      <c r="AP186" s="145"/>
      <c r="AQ186" s="370"/>
      <c r="AR186" s="145"/>
      <c r="AS186" s="145"/>
      <c r="AT186" s="145"/>
      <c r="AU186" s="145">
        <f t="shared" si="26"/>
        <v>34.781999999999996</v>
      </c>
      <c r="AV186" s="145"/>
      <c r="AW186" s="145"/>
      <c r="AX186" s="145">
        <f t="shared" si="27"/>
        <v>34.781999999999996</v>
      </c>
      <c r="AY186" s="145">
        <v>34.781999999999996</v>
      </c>
      <c r="AZ186" s="145"/>
      <c r="BA186" s="145"/>
      <c r="BB186" s="145"/>
      <c r="BC186" s="145"/>
      <c r="BD186" s="145"/>
      <c r="BE186" s="145"/>
      <c r="BF186" s="370"/>
      <c r="BG186" s="145"/>
      <c r="BH186" s="145"/>
      <c r="BI186" s="145"/>
      <c r="BJ186" s="145"/>
      <c r="BK186" s="145"/>
      <c r="BL186" s="145"/>
      <c r="BM186" s="370"/>
      <c r="BN186" s="145"/>
      <c r="BO186" s="145"/>
      <c r="BP186" s="145"/>
      <c r="BQ186" s="370"/>
      <c r="BR186" s="433"/>
      <c r="BS186" s="433"/>
      <c r="BT186" s="424"/>
    </row>
    <row r="187" spans="1:72" ht="30.75" outlineLevel="1">
      <c r="A187" s="420">
        <v>4</v>
      </c>
      <c r="B187" s="710" t="s">
        <v>1754</v>
      </c>
      <c r="C187" s="420" t="s">
        <v>1238</v>
      </c>
      <c r="D187" s="434" t="s">
        <v>1743</v>
      </c>
      <c r="E187" s="588" t="s">
        <v>49</v>
      </c>
      <c r="F187" s="588" t="s">
        <v>55</v>
      </c>
      <c r="G187" s="736" t="s">
        <v>1755</v>
      </c>
      <c r="H187" s="434" t="s">
        <v>1748</v>
      </c>
      <c r="I187" s="712" t="s">
        <v>56</v>
      </c>
      <c r="J187" s="422">
        <v>2023</v>
      </c>
      <c r="K187" s="420" t="s">
        <v>1608</v>
      </c>
      <c r="L187" s="438" t="s">
        <v>1756</v>
      </c>
      <c r="M187" s="448">
        <v>2740</v>
      </c>
      <c r="N187" s="448"/>
      <c r="O187" s="448"/>
      <c r="P187" s="448">
        <v>2740</v>
      </c>
      <c r="Q187" s="434" t="s">
        <v>1757</v>
      </c>
      <c r="R187" s="434" t="s">
        <v>1748</v>
      </c>
      <c r="S187" s="434" t="s">
        <v>1741</v>
      </c>
      <c r="T187" s="434" t="s">
        <v>1743</v>
      </c>
      <c r="U187" s="462"/>
      <c r="V187" s="462"/>
      <c r="W187" s="462"/>
      <c r="X187" s="462"/>
      <c r="Y187" s="145">
        <f t="shared" si="22"/>
        <v>4.726</v>
      </c>
      <c r="Z187" s="145"/>
      <c r="AA187" s="145"/>
      <c r="AB187" s="370">
        <f t="shared" si="23"/>
        <v>4.726</v>
      </c>
      <c r="AC187" s="370">
        <v>4.726</v>
      </c>
      <c r="AD187" s="145"/>
      <c r="AE187" s="145"/>
      <c r="AF187" s="145">
        <f t="shared" si="24"/>
        <v>0</v>
      </c>
      <c r="AG187" s="145"/>
      <c r="AH187" s="145"/>
      <c r="AI187" s="145">
        <f t="shared" si="25"/>
        <v>0</v>
      </c>
      <c r="AJ187" s="145">
        <v>0</v>
      </c>
      <c r="AK187" s="145"/>
      <c r="AL187" s="145"/>
      <c r="AM187" s="145"/>
      <c r="AN187" s="145"/>
      <c r="AO187" s="145"/>
      <c r="AP187" s="145"/>
      <c r="AQ187" s="370"/>
      <c r="AR187" s="145"/>
      <c r="AS187" s="145"/>
      <c r="AT187" s="145"/>
      <c r="AU187" s="145">
        <f t="shared" si="26"/>
        <v>4.726</v>
      </c>
      <c r="AV187" s="145"/>
      <c r="AW187" s="145"/>
      <c r="AX187" s="145">
        <f t="shared" si="27"/>
        <v>4.726</v>
      </c>
      <c r="AY187" s="145">
        <v>4.726</v>
      </c>
      <c r="AZ187" s="145"/>
      <c r="BA187" s="145"/>
      <c r="BB187" s="145"/>
      <c r="BC187" s="145"/>
      <c r="BD187" s="145"/>
      <c r="BE187" s="145"/>
      <c r="BF187" s="370"/>
      <c r="BG187" s="145"/>
      <c r="BH187" s="145"/>
      <c r="BI187" s="145"/>
      <c r="BJ187" s="145"/>
      <c r="BK187" s="145"/>
      <c r="BL187" s="145"/>
      <c r="BM187" s="370"/>
      <c r="BN187" s="145"/>
      <c r="BO187" s="145"/>
      <c r="BP187" s="145"/>
      <c r="BQ187" s="370"/>
      <c r="BR187" s="433"/>
      <c r="BS187" s="433"/>
      <c r="BT187" s="424"/>
    </row>
    <row r="188" spans="1:72" ht="30.75" outlineLevel="1">
      <c r="A188" s="420">
        <v>5</v>
      </c>
      <c r="B188" s="710" t="s">
        <v>1758</v>
      </c>
      <c r="C188" s="420" t="s">
        <v>1238</v>
      </c>
      <c r="D188" s="434" t="s">
        <v>1743</v>
      </c>
      <c r="E188" s="588" t="s">
        <v>49</v>
      </c>
      <c r="F188" s="588" t="s">
        <v>55</v>
      </c>
      <c r="G188" s="588" t="s">
        <v>1759</v>
      </c>
      <c r="H188" s="434" t="s">
        <v>1748</v>
      </c>
      <c r="I188" s="712" t="s">
        <v>52</v>
      </c>
      <c r="J188" s="424">
        <v>2023</v>
      </c>
      <c r="K188" s="420" t="s">
        <v>1375</v>
      </c>
      <c r="L188" s="420" t="s">
        <v>1760</v>
      </c>
      <c r="M188" s="368">
        <v>4200</v>
      </c>
      <c r="N188" s="448"/>
      <c r="O188" s="448"/>
      <c r="P188" s="368">
        <v>4200</v>
      </c>
      <c r="Q188" s="434" t="s">
        <v>1761</v>
      </c>
      <c r="R188" s="434" t="s">
        <v>1748</v>
      </c>
      <c r="S188" s="434" t="s">
        <v>1741</v>
      </c>
      <c r="T188" s="434" t="s">
        <v>1743</v>
      </c>
      <c r="U188" s="462"/>
      <c r="V188" s="462"/>
      <c r="W188" s="462"/>
      <c r="X188" s="462"/>
      <c r="Y188" s="145">
        <f t="shared" si="22"/>
        <v>23.038</v>
      </c>
      <c r="Z188" s="145"/>
      <c r="AA188" s="145"/>
      <c r="AB188" s="370">
        <f t="shared" si="23"/>
        <v>23.038</v>
      </c>
      <c r="AC188" s="370">
        <v>23.038</v>
      </c>
      <c r="AD188" s="145"/>
      <c r="AE188" s="145"/>
      <c r="AF188" s="145">
        <f t="shared" si="24"/>
        <v>0</v>
      </c>
      <c r="AG188" s="145"/>
      <c r="AH188" s="145"/>
      <c r="AI188" s="145">
        <f t="shared" si="25"/>
        <v>0</v>
      </c>
      <c r="AJ188" s="145">
        <v>0</v>
      </c>
      <c r="AK188" s="145"/>
      <c r="AL188" s="145"/>
      <c r="AM188" s="145"/>
      <c r="AN188" s="145"/>
      <c r="AO188" s="145"/>
      <c r="AP188" s="145"/>
      <c r="AQ188" s="370"/>
      <c r="AR188" s="145"/>
      <c r="AS188" s="145"/>
      <c r="AT188" s="145"/>
      <c r="AU188" s="145">
        <f t="shared" si="26"/>
        <v>23.038</v>
      </c>
      <c r="AV188" s="145"/>
      <c r="AW188" s="145"/>
      <c r="AX188" s="145">
        <f t="shared" si="27"/>
        <v>23.038</v>
      </c>
      <c r="AY188" s="145">
        <v>23.038</v>
      </c>
      <c r="AZ188" s="145"/>
      <c r="BA188" s="145"/>
      <c r="BB188" s="145"/>
      <c r="BC188" s="145"/>
      <c r="BD188" s="145"/>
      <c r="BE188" s="145"/>
      <c r="BF188" s="370"/>
      <c r="BG188" s="145"/>
      <c r="BH188" s="145"/>
      <c r="BI188" s="145"/>
      <c r="BJ188" s="145"/>
      <c r="BK188" s="145"/>
      <c r="BL188" s="145"/>
      <c r="BM188" s="370"/>
      <c r="BN188" s="145"/>
      <c r="BO188" s="145"/>
      <c r="BP188" s="145"/>
      <c r="BQ188" s="370"/>
      <c r="BR188" s="433"/>
      <c r="BS188" s="433"/>
      <c r="BT188" s="424"/>
    </row>
    <row r="189" spans="1:72" ht="30.75" outlineLevel="1">
      <c r="A189" s="420">
        <v>6</v>
      </c>
      <c r="B189" s="710" t="s">
        <v>1762</v>
      </c>
      <c r="C189" s="420" t="s">
        <v>1238</v>
      </c>
      <c r="D189" s="434" t="s">
        <v>1743</v>
      </c>
      <c r="E189" s="588" t="s">
        <v>49</v>
      </c>
      <c r="F189" s="588" t="s">
        <v>55</v>
      </c>
      <c r="G189" s="733" t="s">
        <v>1763</v>
      </c>
      <c r="H189" s="434" t="s">
        <v>1764</v>
      </c>
      <c r="I189" s="712">
        <v>2022</v>
      </c>
      <c r="J189" s="422">
        <v>2022</v>
      </c>
      <c r="K189" s="420" t="s">
        <v>1608</v>
      </c>
      <c r="L189" s="438" t="s">
        <v>1765</v>
      </c>
      <c r="M189" s="448">
        <v>1203</v>
      </c>
      <c r="N189" s="448"/>
      <c r="O189" s="448"/>
      <c r="P189" s="448">
        <v>1203</v>
      </c>
      <c r="Q189" s="434" t="s">
        <v>1766</v>
      </c>
      <c r="R189" s="434" t="s">
        <v>1764</v>
      </c>
      <c r="S189" s="434" t="s">
        <v>1741</v>
      </c>
      <c r="T189" s="434" t="s">
        <v>1743</v>
      </c>
      <c r="U189" s="462"/>
      <c r="V189" s="462"/>
      <c r="W189" s="462"/>
      <c r="X189" s="462"/>
      <c r="Y189" s="145">
        <f t="shared" si="22"/>
        <v>6.4260000000000002</v>
      </c>
      <c r="Z189" s="145"/>
      <c r="AA189" s="145"/>
      <c r="AB189" s="370">
        <f t="shared" si="23"/>
        <v>6.4260000000000002</v>
      </c>
      <c r="AC189" s="370">
        <v>6.4260000000000002</v>
      </c>
      <c r="AD189" s="145"/>
      <c r="AE189" s="145"/>
      <c r="AF189" s="145">
        <f t="shared" si="24"/>
        <v>0</v>
      </c>
      <c r="AG189" s="145"/>
      <c r="AH189" s="145"/>
      <c r="AI189" s="145">
        <f t="shared" si="25"/>
        <v>0</v>
      </c>
      <c r="AJ189" s="145">
        <v>0</v>
      </c>
      <c r="AK189" s="145"/>
      <c r="AL189" s="145"/>
      <c r="AM189" s="145"/>
      <c r="AN189" s="145"/>
      <c r="AO189" s="145"/>
      <c r="AP189" s="145"/>
      <c r="AQ189" s="370"/>
      <c r="AR189" s="145"/>
      <c r="AS189" s="145"/>
      <c r="AT189" s="145"/>
      <c r="AU189" s="145">
        <f t="shared" si="26"/>
        <v>6.4260000000000002</v>
      </c>
      <c r="AV189" s="145"/>
      <c r="AW189" s="145"/>
      <c r="AX189" s="145">
        <f t="shared" si="27"/>
        <v>6.4260000000000002</v>
      </c>
      <c r="AY189" s="145">
        <v>6.4260000000000002</v>
      </c>
      <c r="AZ189" s="145"/>
      <c r="BA189" s="145"/>
      <c r="BB189" s="145"/>
      <c r="BC189" s="145"/>
      <c r="BD189" s="145"/>
      <c r="BE189" s="145"/>
      <c r="BF189" s="370"/>
      <c r="BG189" s="145"/>
      <c r="BH189" s="145"/>
      <c r="BI189" s="145"/>
      <c r="BJ189" s="145"/>
      <c r="BK189" s="145"/>
      <c r="BL189" s="145"/>
      <c r="BM189" s="370"/>
      <c r="BN189" s="145"/>
      <c r="BO189" s="145"/>
      <c r="BP189" s="145"/>
      <c r="BQ189" s="370"/>
      <c r="BR189" s="433"/>
      <c r="BS189" s="433"/>
      <c r="BT189" s="424"/>
    </row>
    <row r="190" spans="1:72" ht="30.75" outlineLevel="1">
      <c r="A190" s="420">
        <v>7</v>
      </c>
      <c r="B190" s="710" t="s">
        <v>1767</v>
      </c>
      <c r="C190" s="420" t="s">
        <v>1660</v>
      </c>
      <c r="D190" s="434" t="s">
        <v>1743</v>
      </c>
      <c r="E190" s="588" t="s">
        <v>49</v>
      </c>
      <c r="F190" s="588" t="s">
        <v>55</v>
      </c>
      <c r="G190" s="438" t="s">
        <v>1768</v>
      </c>
      <c r="H190" s="434" t="s">
        <v>1769</v>
      </c>
      <c r="I190" s="712" t="s">
        <v>56</v>
      </c>
      <c r="J190" s="422">
        <v>2023</v>
      </c>
      <c r="K190" s="420" t="s">
        <v>1770</v>
      </c>
      <c r="L190" s="377" t="s">
        <v>1771</v>
      </c>
      <c r="M190" s="448">
        <v>2030</v>
      </c>
      <c r="N190" s="448"/>
      <c r="O190" s="448"/>
      <c r="P190" s="448">
        <v>2030</v>
      </c>
      <c r="Q190" s="434" t="s">
        <v>1772</v>
      </c>
      <c r="R190" s="434" t="s">
        <v>1769</v>
      </c>
      <c r="S190" s="434" t="s">
        <v>1741</v>
      </c>
      <c r="T190" s="434" t="s">
        <v>1743</v>
      </c>
      <c r="U190" s="462"/>
      <c r="V190" s="462"/>
      <c r="W190" s="462"/>
      <c r="X190" s="462"/>
      <c r="Y190" s="145">
        <f t="shared" si="22"/>
        <v>11.381</v>
      </c>
      <c r="Z190" s="145"/>
      <c r="AA190" s="145"/>
      <c r="AB190" s="370">
        <f t="shared" si="23"/>
        <v>11.381</v>
      </c>
      <c r="AC190" s="370">
        <v>11.381</v>
      </c>
      <c r="AD190" s="145"/>
      <c r="AE190" s="145"/>
      <c r="AF190" s="145">
        <f t="shared" si="24"/>
        <v>0</v>
      </c>
      <c r="AG190" s="145"/>
      <c r="AH190" s="145"/>
      <c r="AI190" s="145">
        <f t="shared" si="25"/>
        <v>0</v>
      </c>
      <c r="AJ190" s="145">
        <v>0</v>
      </c>
      <c r="AK190" s="145"/>
      <c r="AL190" s="145"/>
      <c r="AM190" s="145"/>
      <c r="AN190" s="145"/>
      <c r="AO190" s="145"/>
      <c r="AP190" s="145"/>
      <c r="AQ190" s="370"/>
      <c r="AR190" s="145"/>
      <c r="AS190" s="145"/>
      <c r="AT190" s="145"/>
      <c r="AU190" s="145">
        <f t="shared" si="26"/>
        <v>11.381</v>
      </c>
      <c r="AV190" s="145"/>
      <c r="AW190" s="145"/>
      <c r="AX190" s="145">
        <f t="shared" si="27"/>
        <v>11.381</v>
      </c>
      <c r="AY190" s="145">
        <v>11.381</v>
      </c>
      <c r="AZ190" s="145"/>
      <c r="BA190" s="145"/>
      <c r="BB190" s="145"/>
      <c r="BC190" s="145"/>
      <c r="BD190" s="145"/>
      <c r="BE190" s="145"/>
      <c r="BF190" s="370"/>
      <c r="BG190" s="145"/>
      <c r="BH190" s="145"/>
      <c r="BI190" s="145"/>
      <c r="BJ190" s="145"/>
      <c r="BK190" s="145"/>
      <c r="BL190" s="145"/>
      <c r="BM190" s="370"/>
      <c r="BN190" s="145"/>
      <c r="BO190" s="145"/>
      <c r="BP190" s="145"/>
      <c r="BQ190" s="370"/>
      <c r="BR190" s="433"/>
      <c r="BS190" s="433"/>
      <c r="BT190" s="424"/>
    </row>
    <row r="191" spans="1:72" ht="76.900000000000006" outlineLevel="1">
      <c r="A191" s="420">
        <v>8</v>
      </c>
      <c r="B191" s="710" t="s">
        <v>1773</v>
      </c>
      <c r="C191" s="420" t="s">
        <v>1660</v>
      </c>
      <c r="D191" s="434" t="s">
        <v>1743</v>
      </c>
      <c r="E191" s="588" t="s">
        <v>49</v>
      </c>
      <c r="F191" s="588" t="s">
        <v>55</v>
      </c>
      <c r="G191" s="588">
        <v>7997867</v>
      </c>
      <c r="H191" s="434" t="s">
        <v>1774</v>
      </c>
      <c r="I191" s="712" t="s">
        <v>56</v>
      </c>
      <c r="J191" s="422">
        <v>2023</v>
      </c>
      <c r="K191" s="420" t="s">
        <v>1628</v>
      </c>
      <c r="L191" s="420" t="s">
        <v>1775</v>
      </c>
      <c r="M191" s="448">
        <v>8952</v>
      </c>
      <c r="N191" s="448">
        <v>7089</v>
      </c>
      <c r="O191" s="448"/>
      <c r="P191" s="448">
        <v>1863</v>
      </c>
      <c r="Q191" s="434" t="s">
        <v>1776</v>
      </c>
      <c r="R191" s="434" t="s">
        <v>1774</v>
      </c>
      <c r="S191" s="434" t="s">
        <v>1741</v>
      </c>
      <c r="T191" s="434" t="s">
        <v>1743</v>
      </c>
      <c r="U191" s="462"/>
      <c r="V191" s="462"/>
      <c r="W191" s="462"/>
      <c r="X191" s="462"/>
      <c r="Y191" s="145">
        <f t="shared" si="22"/>
        <v>35.03</v>
      </c>
      <c r="Z191" s="145"/>
      <c r="AA191" s="145"/>
      <c r="AB191" s="370">
        <f t="shared" si="23"/>
        <v>35.03</v>
      </c>
      <c r="AC191" s="370">
        <v>35.03</v>
      </c>
      <c r="AD191" s="145"/>
      <c r="AE191" s="145"/>
      <c r="AF191" s="145">
        <f t="shared" si="24"/>
        <v>0</v>
      </c>
      <c r="AG191" s="145"/>
      <c r="AH191" s="145"/>
      <c r="AI191" s="145">
        <f t="shared" si="25"/>
        <v>0</v>
      </c>
      <c r="AJ191" s="145">
        <v>0</v>
      </c>
      <c r="AK191" s="145"/>
      <c r="AL191" s="145"/>
      <c r="AM191" s="145"/>
      <c r="AN191" s="145"/>
      <c r="AO191" s="145"/>
      <c r="AP191" s="145"/>
      <c r="AQ191" s="370"/>
      <c r="AR191" s="145"/>
      <c r="AS191" s="145"/>
      <c r="AT191" s="145"/>
      <c r="AU191" s="145">
        <f t="shared" si="26"/>
        <v>35.03</v>
      </c>
      <c r="AV191" s="145"/>
      <c r="AW191" s="145"/>
      <c r="AX191" s="145">
        <f t="shared" si="27"/>
        <v>35.03</v>
      </c>
      <c r="AY191" s="145">
        <v>35.03</v>
      </c>
      <c r="AZ191" s="145"/>
      <c r="BA191" s="145"/>
      <c r="BB191" s="145"/>
      <c r="BC191" s="145"/>
      <c r="BD191" s="145"/>
      <c r="BE191" s="145"/>
      <c r="BF191" s="370"/>
      <c r="BG191" s="145"/>
      <c r="BH191" s="145"/>
      <c r="BI191" s="145"/>
      <c r="BJ191" s="145"/>
      <c r="BK191" s="145"/>
      <c r="BL191" s="145"/>
      <c r="BM191" s="370"/>
      <c r="BN191" s="145"/>
      <c r="BO191" s="145"/>
      <c r="BP191" s="145"/>
      <c r="BQ191" s="370"/>
      <c r="BR191" s="433"/>
      <c r="BS191" s="433"/>
      <c r="BT191" s="424"/>
    </row>
    <row r="192" spans="1:72" ht="46.15" outlineLevel="1">
      <c r="A192" s="420">
        <v>9</v>
      </c>
      <c r="B192" s="710" t="s">
        <v>1777</v>
      </c>
      <c r="C192" s="420" t="s">
        <v>1660</v>
      </c>
      <c r="D192" s="434" t="s">
        <v>1743</v>
      </c>
      <c r="E192" s="588" t="s">
        <v>49</v>
      </c>
      <c r="F192" s="588" t="s">
        <v>55</v>
      </c>
      <c r="G192" s="588">
        <v>8039850</v>
      </c>
      <c r="H192" s="434" t="s">
        <v>1778</v>
      </c>
      <c r="I192" s="422">
        <v>2024</v>
      </c>
      <c r="J192" s="422">
        <v>2024</v>
      </c>
      <c r="K192" s="420" t="s">
        <v>1636</v>
      </c>
      <c r="L192" s="420" t="s">
        <v>1779</v>
      </c>
      <c r="M192" s="448">
        <v>1530</v>
      </c>
      <c r="N192" s="448">
        <v>1244</v>
      </c>
      <c r="O192" s="448"/>
      <c r="P192" s="448">
        <v>286</v>
      </c>
      <c r="Q192" s="434" t="s">
        <v>1780</v>
      </c>
      <c r="R192" s="434" t="s">
        <v>1778</v>
      </c>
      <c r="S192" s="434" t="s">
        <v>1741</v>
      </c>
      <c r="T192" s="434" t="s">
        <v>1743</v>
      </c>
      <c r="U192" s="462"/>
      <c r="V192" s="462"/>
      <c r="W192" s="462"/>
      <c r="X192" s="462"/>
      <c r="Y192" s="145">
        <f t="shared" si="22"/>
        <v>7.0419999999999998</v>
      </c>
      <c r="Z192" s="145"/>
      <c r="AA192" s="145"/>
      <c r="AB192" s="370">
        <f t="shared" si="23"/>
        <v>7.0419999999999998</v>
      </c>
      <c r="AC192" s="370">
        <v>7.0419999999999998</v>
      </c>
      <c r="AD192" s="145"/>
      <c r="AE192" s="145"/>
      <c r="AF192" s="145">
        <f t="shared" si="24"/>
        <v>0</v>
      </c>
      <c r="AG192" s="145"/>
      <c r="AH192" s="145"/>
      <c r="AI192" s="145">
        <f t="shared" si="25"/>
        <v>0</v>
      </c>
      <c r="AJ192" s="145">
        <v>0</v>
      </c>
      <c r="AK192" s="145"/>
      <c r="AL192" s="145"/>
      <c r="AM192" s="145"/>
      <c r="AN192" s="145"/>
      <c r="AO192" s="145"/>
      <c r="AP192" s="145"/>
      <c r="AQ192" s="370"/>
      <c r="AR192" s="145"/>
      <c r="AS192" s="145"/>
      <c r="AT192" s="145"/>
      <c r="AU192" s="145">
        <f t="shared" si="26"/>
        <v>7.0419999999999998</v>
      </c>
      <c r="AV192" s="145"/>
      <c r="AW192" s="145"/>
      <c r="AX192" s="145">
        <f t="shared" si="27"/>
        <v>7.0419999999999998</v>
      </c>
      <c r="AY192" s="145">
        <v>7.0419999999999998</v>
      </c>
      <c r="AZ192" s="145"/>
      <c r="BA192" s="145"/>
      <c r="BB192" s="145"/>
      <c r="BC192" s="145"/>
      <c r="BD192" s="145"/>
      <c r="BE192" s="145"/>
      <c r="BF192" s="370"/>
      <c r="BG192" s="145"/>
      <c r="BH192" s="145"/>
      <c r="BI192" s="145"/>
      <c r="BJ192" s="145"/>
      <c r="BK192" s="145"/>
      <c r="BL192" s="145"/>
      <c r="BM192" s="370"/>
      <c r="BN192" s="145"/>
      <c r="BO192" s="145"/>
      <c r="BP192" s="145"/>
      <c r="BQ192" s="370"/>
      <c r="BR192" s="433"/>
      <c r="BS192" s="433"/>
      <c r="BT192" s="424"/>
    </row>
    <row r="193" spans="1:72" ht="30.75" outlineLevel="1">
      <c r="A193" s="420">
        <v>10</v>
      </c>
      <c r="B193" s="710" t="s">
        <v>1781</v>
      </c>
      <c r="C193" s="420" t="s">
        <v>1660</v>
      </c>
      <c r="D193" s="434" t="s">
        <v>1743</v>
      </c>
      <c r="E193" s="588" t="s">
        <v>49</v>
      </c>
      <c r="F193" s="588" t="s">
        <v>55</v>
      </c>
      <c r="G193" s="588">
        <v>8112883</v>
      </c>
      <c r="H193" s="434" t="s">
        <v>1741</v>
      </c>
      <c r="I193" s="422">
        <v>2025</v>
      </c>
      <c r="J193" s="422">
        <v>2025</v>
      </c>
      <c r="K193" s="420" t="s">
        <v>1782</v>
      </c>
      <c r="L193" s="420" t="s">
        <v>1783</v>
      </c>
      <c r="M193" s="448">
        <v>731</v>
      </c>
      <c r="N193" s="448">
        <v>665</v>
      </c>
      <c r="O193" s="448"/>
      <c r="P193" s="448">
        <v>66</v>
      </c>
      <c r="Q193" s="434"/>
      <c r="R193" s="434" t="s">
        <v>1741</v>
      </c>
      <c r="S193" s="434" t="s">
        <v>1741</v>
      </c>
      <c r="T193" s="434" t="s">
        <v>1743</v>
      </c>
      <c r="U193" s="462"/>
      <c r="V193" s="462"/>
      <c r="W193" s="462"/>
      <c r="X193" s="462"/>
      <c r="Y193" s="145">
        <f t="shared" si="22"/>
        <v>52.731999999999999</v>
      </c>
      <c r="Z193" s="145"/>
      <c r="AA193" s="145"/>
      <c r="AB193" s="370">
        <f t="shared" si="23"/>
        <v>52.731999999999999</v>
      </c>
      <c r="AC193" s="370">
        <v>52.731999999999999</v>
      </c>
      <c r="AD193" s="145"/>
      <c r="AE193" s="145"/>
      <c r="AF193" s="145">
        <f t="shared" si="24"/>
        <v>0</v>
      </c>
      <c r="AG193" s="145"/>
      <c r="AH193" s="145"/>
      <c r="AI193" s="145">
        <f t="shared" si="25"/>
        <v>0</v>
      </c>
      <c r="AJ193" s="145">
        <v>0</v>
      </c>
      <c r="AK193" s="145"/>
      <c r="AL193" s="145"/>
      <c r="AM193" s="145"/>
      <c r="AN193" s="145"/>
      <c r="AO193" s="145"/>
      <c r="AP193" s="145"/>
      <c r="AQ193" s="370"/>
      <c r="AR193" s="145"/>
      <c r="AS193" s="145"/>
      <c r="AT193" s="145"/>
      <c r="AU193" s="145">
        <f t="shared" si="26"/>
        <v>52.731999999999999</v>
      </c>
      <c r="AV193" s="145"/>
      <c r="AW193" s="145"/>
      <c r="AX193" s="145">
        <f t="shared" si="27"/>
        <v>52.731999999999999</v>
      </c>
      <c r="AY193" s="145">
        <v>52.731999999999999</v>
      </c>
      <c r="AZ193" s="145"/>
      <c r="BA193" s="145"/>
      <c r="BB193" s="145"/>
      <c r="BC193" s="145"/>
      <c r="BD193" s="145"/>
      <c r="BE193" s="145"/>
      <c r="BF193" s="370"/>
      <c r="BG193" s="145"/>
      <c r="BH193" s="145"/>
      <c r="BI193" s="145"/>
      <c r="BJ193" s="145"/>
      <c r="BK193" s="145"/>
      <c r="BL193" s="145"/>
      <c r="BM193" s="370"/>
      <c r="BN193" s="145"/>
      <c r="BO193" s="145"/>
      <c r="BP193" s="145"/>
      <c r="BQ193" s="370"/>
      <c r="BR193" s="433"/>
      <c r="BS193" s="433"/>
      <c r="BT193" s="424"/>
    </row>
    <row r="194" spans="1:72" ht="30.75" outlineLevel="1">
      <c r="A194" s="420">
        <v>11</v>
      </c>
      <c r="B194" s="710" t="s">
        <v>1784</v>
      </c>
      <c r="C194" s="420" t="s">
        <v>1238</v>
      </c>
      <c r="D194" s="434" t="s">
        <v>1743</v>
      </c>
      <c r="E194" s="588" t="s">
        <v>49</v>
      </c>
      <c r="F194" s="588" t="s">
        <v>1282</v>
      </c>
      <c r="G194" s="422">
        <v>7978723</v>
      </c>
      <c r="H194" s="434" t="s">
        <v>1741</v>
      </c>
      <c r="I194" s="745" t="s">
        <v>76</v>
      </c>
      <c r="J194" s="422">
        <v>2022</v>
      </c>
      <c r="K194" s="420" t="s">
        <v>1521</v>
      </c>
      <c r="L194" s="420" t="s">
        <v>1785</v>
      </c>
      <c r="M194" s="371">
        <v>500</v>
      </c>
      <c r="N194" s="448"/>
      <c r="O194" s="448"/>
      <c r="P194" s="448">
        <v>500</v>
      </c>
      <c r="Q194" s="434" t="s">
        <v>1786</v>
      </c>
      <c r="R194" s="434" t="s">
        <v>1741</v>
      </c>
      <c r="S194" s="434" t="s">
        <v>1741</v>
      </c>
      <c r="T194" s="434" t="s">
        <v>1743</v>
      </c>
      <c r="U194" s="462"/>
      <c r="V194" s="462"/>
      <c r="W194" s="462"/>
      <c r="X194" s="462"/>
      <c r="Y194" s="145">
        <f t="shared" si="22"/>
        <v>2.79</v>
      </c>
      <c r="Z194" s="145"/>
      <c r="AA194" s="145"/>
      <c r="AB194" s="370">
        <f t="shared" si="23"/>
        <v>2.79</v>
      </c>
      <c r="AC194" s="370">
        <v>2.79</v>
      </c>
      <c r="AD194" s="145"/>
      <c r="AE194" s="145"/>
      <c r="AF194" s="145">
        <f t="shared" si="24"/>
        <v>0</v>
      </c>
      <c r="AG194" s="145"/>
      <c r="AH194" s="145"/>
      <c r="AI194" s="145">
        <f t="shared" si="25"/>
        <v>0</v>
      </c>
      <c r="AJ194" s="145">
        <v>0</v>
      </c>
      <c r="AK194" s="145"/>
      <c r="AL194" s="145"/>
      <c r="AM194" s="145"/>
      <c r="AN194" s="145"/>
      <c r="AO194" s="145"/>
      <c r="AP194" s="145"/>
      <c r="AQ194" s="370"/>
      <c r="AR194" s="145"/>
      <c r="AS194" s="145"/>
      <c r="AT194" s="145"/>
      <c r="AU194" s="145">
        <f t="shared" si="26"/>
        <v>2.79</v>
      </c>
      <c r="AV194" s="145"/>
      <c r="AW194" s="145"/>
      <c r="AX194" s="145">
        <f t="shared" si="27"/>
        <v>2.79</v>
      </c>
      <c r="AY194" s="145">
        <v>2.79</v>
      </c>
      <c r="AZ194" s="145"/>
      <c r="BA194" s="145"/>
      <c r="BB194" s="145"/>
      <c r="BC194" s="145"/>
      <c r="BD194" s="145"/>
      <c r="BE194" s="145"/>
      <c r="BF194" s="370"/>
      <c r="BG194" s="145"/>
      <c r="BH194" s="145"/>
      <c r="BI194" s="145"/>
      <c r="BJ194" s="145"/>
      <c r="BK194" s="145"/>
      <c r="BL194" s="145"/>
      <c r="BM194" s="370"/>
      <c r="BN194" s="145"/>
      <c r="BO194" s="145"/>
      <c r="BP194" s="145"/>
      <c r="BQ194" s="370"/>
      <c r="BR194" s="433"/>
      <c r="BS194" s="433"/>
      <c r="BT194" s="424"/>
    </row>
    <row r="195" spans="1:72" ht="30.75" outlineLevel="1">
      <c r="A195" s="420">
        <v>12</v>
      </c>
      <c r="B195" s="710" t="s">
        <v>1787</v>
      </c>
      <c r="C195" s="420" t="s">
        <v>1238</v>
      </c>
      <c r="D195" s="434" t="s">
        <v>1743</v>
      </c>
      <c r="E195" s="588" t="s">
        <v>49</v>
      </c>
      <c r="F195" s="588" t="s">
        <v>1282</v>
      </c>
      <c r="G195" s="422">
        <v>7978089</v>
      </c>
      <c r="H195" s="434" t="s">
        <v>1741</v>
      </c>
      <c r="I195" s="745" t="s">
        <v>76</v>
      </c>
      <c r="J195" s="422">
        <v>2022</v>
      </c>
      <c r="K195" s="420" t="s">
        <v>1521</v>
      </c>
      <c r="L195" s="420" t="s">
        <v>1788</v>
      </c>
      <c r="M195" s="371">
        <v>1000</v>
      </c>
      <c r="N195" s="448"/>
      <c r="O195" s="448"/>
      <c r="P195" s="448">
        <v>1000</v>
      </c>
      <c r="Q195" s="434" t="s">
        <v>1789</v>
      </c>
      <c r="R195" s="434" t="s">
        <v>1741</v>
      </c>
      <c r="S195" s="434" t="s">
        <v>1741</v>
      </c>
      <c r="T195" s="434" t="s">
        <v>1743</v>
      </c>
      <c r="U195" s="462"/>
      <c r="V195" s="462"/>
      <c r="W195" s="462"/>
      <c r="X195" s="462"/>
      <c r="Y195" s="145">
        <f t="shared" si="22"/>
        <v>5.5819999999999999</v>
      </c>
      <c r="Z195" s="145"/>
      <c r="AA195" s="145"/>
      <c r="AB195" s="370">
        <f t="shared" si="23"/>
        <v>5.5819999999999999</v>
      </c>
      <c r="AC195" s="370">
        <v>5.5819999999999999</v>
      </c>
      <c r="AD195" s="145"/>
      <c r="AE195" s="145"/>
      <c r="AF195" s="145">
        <f t="shared" si="24"/>
        <v>0</v>
      </c>
      <c r="AG195" s="145"/>
      <c r="AH195" s="145"/>
      <c r="AI195" s="145">
        <f t="shared" si="25"/>
        <v>0</v>
      </c>
      <c r="AJ195" s="145">
        <v>0</v>
      </c>
      <c r="AK195" s="145"/>
      <c r="AL195" s="145"/>
      <c r="AM195" s="145"/>
      <c r="AN195" s="145"/>
      <c r="AO195" s="145"/>
      <c r="AP195" s="145"/>
      <c r="AQ195" s="370"/>
      <c r="AR195" s="145"/>
      <c r="AS195" s="145"/>
      <c r="AT195" s="145"/>
      <c r="AU195" s="145">
        <f t="shared" si="26"/>
        <v>5.5819999999999999</v>
      </c>
      <c r="AV195" s="145"/>
      <c r="AW195" s="145"/>
      <c r="AX195" s="145">
        <f t="shared" si="27"/>
        <v>5.5819999999999999</v>
      </c>
      <c r="AY195" s="145">
        <v>5.5819999999999999</v>
      </c>
      <c r="AZ195" s="145"/>
      <c r="BA195" s="145"/>
      <c r="BB195" s="145"/>
      <c r="BC195" s="145"/>
      <c r="BD195" s="145"/>
      <c r="BE195" s="145"/>
      <c r="BF195" s="370"/>
      <c r="BG195" s="145"/>
      <c r="BH195" s="145"/>
      <c r="BI195" s="145"/>
      <c r="BJ195" s="145"/>
      <c r="BK195" s="145"/>
      <c r="BL195" s="145"/>
      <c r="BM195" s="370"/>
      <c r="BN195" s="145"/>
      <c r="BO195" s="145"/>
      <c r="BP195" s="145"/>
      <c r="BQ195" s="370"/>
      <c r="BR195" s="433"/>
      <c r="BS195" s="433"/>
      <c r="BT195" s="424"/>
    </row>
    <row r="196" spans="1:72" ht="30.75" outlineLevel="1">
      <c r="A196" s="420">
        <v>13</v>
      </c>
      <c r="B196" s="710" t="s">
        <v>1790</v>
      </c>
      <c r="C196" s="420" t="s">
        <v>1238</v>
      </c>
      <c r="D196" s="434" t="s">
        <v>1743</v>
      </c>
      <c r="E196" s="588" t="s">
        <v>49</v>
      </c>
      <c r="F196" s="588" t="s">
        <v>48</v>
      </c>
      <c r="G196" s="420">
        <v>7994270</v>
      </c>
      <c r="H196" s="434" t="s">
        <v>1741</v>
      </c>
      <c r="I196" s="745" t="s">
        <v>76</v>
      </c>
      <c r="J196" s="422">
        <v>2022</v>
      </c>
      <c r="K196" s="420" t="s">
        <v>1521</v>
      </c>
      <c r="L196" s="438" t="s">
        <v>1791</v>
      </c>
      <c r="M196" s="370">
        <v>2200</v>
      </c>
      <c r="N196" s="448"/>
      <c r="O196" s="448"/>
      <c r="P196" s="448">
        <v>2200</v>
      </c>
      <c r="Q196" s="434" t="s">
        <v>1792</v>
      </c>
      <c r="R196" s="434" t="s">
        <v>1741</v>
      </c>
      <c r="S196" s="434" t="s">
        <v>1741</v>
      </c>
      <c r="T196" s="434" t="s">
        <v>1743</v>
      </c>
      <c r="U196" s="462"/>
      <c r="V196" s="462"/>
      <c r="W196" s="462"/>
      <c r="X196" s="462"/>
      <c r="Y196" s="145">
        <f t="shared" si="22"/>
        <v>12.335000000000001</v>
      </c>
      <c r="Z196" s="145"/>
      <c r="AA196" s="145"/>
      <c r="AB196" s="370">
        <f t="shared" si="23"/>
        <v>12.335000000000001</v>
      </c>
      <c r="AC196" s="370">
        <v>12.335000000000001</v>
      </c>
      <c r="AD196" s="145"/>
      <c r="AE196" s="145"/>
      <c r="AF196" s="145">
        <f t="shared" si="24"/>
        <v>0</v>
      </c>
      <c r="AG196" s="145"/>
      <c r="AH196" s="145"/>
      <c r="AI196" s="145">
        <f t="shared" si="25"/>
        <v>0</v>
      </c>
      <c r="AJ196" s="145">
        <v>0</v>
      </c>
      <c r="AK196" s="145"/>
      <c r="AL196" s="145"/>
      <c r="AM196" s="145"/>
      <c r="AN196" s="145"/>
      <c r="AO196" s="145"/>
      <c r="AP196" s="145"/>
      <c r="AQ196" s="370"/>
      <c r="AR196" s="145"/>
      <c r="AS196" s="145"/>
      <c r="AT196" s="145"/>
      <c r="AU196" s="145">
        <f t="shared" si="26"/>
        <v>12.335000000000001</v>
      </c>
      <c r="AV196" s="145"/>
      <c r="AW196" s="145"/>
      <c r="AX196" s="145">
        <f t="shared" si="27"/>
        <v>12.335000000000001</v>
      </c>
      <c r="AY196" s="145">
        <v>12.335000000000001</v>
      </c>
      <c r="AZ196" s="145"/>
      <c r="BA196" s="145"/>
      <c r="BB196" s="145"/>
      <c r="BC196" s="145"/>
      <c r="BD196" s="145"/>
      <c r="BE196" s="145"/>
      <c r="BF196" s="370"/>
      <c r="BG196" s="145"/>
      <c r="BH196" s="145"/>
      <c r="BI196" s="145"/>
      <c r="BJ196" s="145"/>
      <c r="BK196" s="145"/>
      <c r="BL196" s="145"/>
      <c r="BM196" s="370"/>
      <c r="BN196" s="145"/>
      <c r="BO196" s="145"/>
      <c r="BP196" s="145"/>
      <c r="BQ196" s="370"/>
      <c r="BR196" s="433"/>
      <c r="BS196" s="433"/>
      <c r="BT196" s="424"/>
    </row>
    <row r="197" spans="1:72" ht="30.75" outlineLevel="1">
      <c r="A197" s="420">
        <v>14</v>
      </c>
      <c r="B197" s="710" t="s">
        <v>1793</v>
      </c>
      <c r="C197" s="420" t="s">
        <v>1238</v>
      </c>
      <c r="D197" s="434" t="s">
        <v>1743</v>
      </c>
      <c r="E197" s="588" t="s">
        <v>49</v>
      </c>
      <c r="F197" s="588" t="s">
        <v>1282</v>
      </c>
      <c r="G197" s="420">
        <v>7994272</v>
      </c>
      <c r="H197" s="434" t="s">
        <v>1741</v>
      </c>
      <c r="I197" s="745">
        <v>2023</v>
      </c>
      <c r="J197" s="422">
        <v>2022</v>
      </c>
      <c r="K197" s="420" t="s">
        <v>1643</v>
      </c>
      <c r="L197" s="420" t="s">
        <v>1794</v>
      </c>
      <c r="M197" s="145">
        <v>744</v>
      </c>
      <c r="N197" s="448">
        <v>670</v>
      </c>
      <c r="O197" s="448"/>
      <c r="P197" s="448">
        <v>74</v>
      </c>
      <c r="Q197" s="434" t="s">
        <v>1795</v>
      </c>
      <c r="R197" s="434" t="s">
        <v>1741</v>
      </c>
      <c r="S197" s="434" t="s">
        <v>1741</v>
      </c>
      <c r="T197" s="434" t="s">
        <v>1743</v>
      </c>
      <c r="U197" s="462"/>
      <c r="V197" s="462"/>
      <c r="W197" s="462"/>
      <c r="X197" s="462"/>
      <c r="Y197" s="145">
        <f t="shared" si="22"/>
        <v>5.4749999999999996</v>
      </c>
      <c r="Z197" s="145"/>
      <c r="AA197" s="145"/>
      <c r="AB197" s="370">
        <f t="shared" si="23"/>
        <v>5.4749999999999996</v>
      </c>
      <c r="AC197" s="370">
        <v>5.4749999999999996</v>
      </c>
      <c r="AD197" s="145"/>
      <c r="AE197" s="145"/>
      <c r="AF197" s="145">
        <f t="shared" si="24"/>
        <v>0</v>
      </c>
      <c r="AG197" s="145"/>
      <c r="AH197" s="145"/>
      <c r="AI197" s="145">
        <f t="shared" si="25"/>
        <v>0</v>
      </c>
      <c r="AJ197" s="145">
        <v>0</v>
      </c>
      <c r="AK197" s="145"/>
      <c r="AL197" s="145"/>
      <c r="AM197" s="145"/>
      <c r="AN197" s="145"/>
      <c r="AO197" s="145"/>
      <c r="AP197" s="145"/>
      <c r="AQ197" s="370"/>
      <c r="AR197" s="145"/>
      <c r="AS197" s="145"/>
      <c r="AT197" s="145"/>
      <c r="AU197" s="145">
        <f t="shared" si="26"/>
        <v>5.4749999999999996</v>
      </c>
      <c r="AV197" s="145"/>
      <c r="AW197" s="145"/>
      <c r="AX197" s="145">
        <f t="shared" si="27"/>
        <v>5.4749999999999996</v>
      </c>
      <c r="AY197" s="145">
        <v>5.4749999999999996</v>
      </c>
      <c r="AZ197" s="145"/>
      <c r="BA197" s="145"/>
      <c r="BB197" s="145"/>
      <c r="BC197" s="145"/>
      <c r="BD197" s="145"/>
      <c r="BE197" s="145"/>
      <c r="BF197" s="370"/>
      <c r="BG197" s="145"/>
      <c r="BH197" s="145"/>
      <c r="BI197" s="145"/>
      <c r="BJ197" s="145"/>
      <c r="BK197" s="145"/>
      <c r="BL197" s="145"/>
      <c r="BM197" s="370"/>
      <c r="BN197" s="145"/>
      <c r="BO197" s="145"/>
      <c r="BP197" s="145"/>
      <c r="BQ197" s="370"/>
      <c r="BR197" s="433"/>
      <c r="BS197" s="433"/>
      <c r="BT197" s="424"/>
    </row>
    <row r="198" spans="1:72" ht="30.75" outlineLevel="1">
      <c r="A198" s="420">
        <v>15</v>
      </c>
      <c r="B198" s="710" t="s">
        <v>1796</v>
      </c>
      <c r="C198" s="420" t="s">
        <v>1238</v>
      </c>
      <c r="D198" s="434" t="s">
        <v>1743</v>
      </c>
      <c r="E198" s="588" t="s">
        <v>49</v>
      </c>
      <c r="F198" s="588" t="s">
        <v>1035</v>
      </c>
      <c r="G198" s="420">
        <v>7994271</v>
      </c>
      <c r="H198" s="434" t="s">
        <v>1741</v>
      </c>
      <c r="I198" s="745">
        <v>2023</v>
      </c>
      <c r="J198" s="422">
        <v>2022</v>
      </c>
      <c r="K198" s="420" t="s">
        <v>1643</v>
      </c>
      <c r="L198" s="738" t="s">
        <v>1797</v>
      </c>
      <c r="M198" s="145">
        <v>1210</v>
      </c>
      <c r="N198" s="448">
        <v>1089</v>
      </c>
      <c r="O198" s="448"/>
      <c r="P198" s="448">
        <v>121</v>
      </c>
      <c r="Q198" s="434" t="s">
        <v>1798</v>
      </c>
      <c r="R198" s="434" t="s">
        <v>1741</v>
      </c>
      <c r="S198" s="434" t="s">
        <v>1741</v>
      </c>
      <c r="T198" s="434" t="s">
        <v>1743</v>
      </c>
      <c r="U198" s="462"/>
      <c r="V198" s="462"/>
      <c r="W198" s="462"/>
      <c r="X198" s="462"/>
      <c r="Y198" s="145">
        <f t="shared" si="22"/>
        <v>10.141999999999999</v>
      </c>
      <c r="Z198" s="145"/>
      <c r="AA198" s="145"/>
      <c r="AB198" s="370">
        <f t="shared" si="23"/>
        <v>10.141999999999999</v>
      </c>
      <c r="AC198" s="370">
        <v>10.141999999999999</v>
      </c>
      <c r="AD198" s="145"/>
      <c r="AE198" s="145"/>
      <c r="AF198" s="145">
        <f t="shared" si="24"/>
        <v>0</v>
      </c>
      <c r="AG198" s="145"/>
      <c r="AH198" s="145"/>
      <c r="AI198" s="145">
        <f t="shared" si="25"/>
        <v>0</v>
      </c>
      <c r="AJ198" s="145">
        <v>0</v>
      </c>
      <c r="AK198" s="145"/>
      <c r="AL198" s="145"/>
      <c r="AM198" s="145"/>
      <c r="AN198" s="145"/>
      <c r="AO198" s="145"/>
      <c r="AP198" s="145"/>
      <c r="AQ198" s="370"/>
      <c r="AR198" s="145"/>
      <c r="AS198" s="145"/>
      <c r="AT198" s="145"/>
      <c r="AU198" s="145">
        <f t="shared" si="26"/>
        <v>10.141999999999999</v>
      </c>
      <c r="AV198" s="145"/>
      <c r="AW198" s="145"/>
      <c r="AX198" s="145">
        <f t="shared" si="27"/>
        <v>10.141999999999999</v>
      </c>
      <c r="AY198" s="145">
        <v>10.141999999999999</v>
      </c>
      <c r="AZ198" s="145"/>
      <c r="BA198" s="145"/>
      <c r="BB198" s="145"/>
      <c r="BC198" s="145"/>
      <c r="BD198" s="145"/>
      <c r="BE198" s="145"/>
      <c r="BF198" s="370"/>
      <c r="BG198" s="145"/>
      <c r="BH198" s="145"/>
      <c r="BI198" s="145"/>
      <c r="BJ198" s="145"/>
      <c r="BK198" s="145"/>
      <c r="BL198" s="145"/>
      <c r="BM198" s="370"/>
      <c r="BN198" s="145"/>
      <c r="BO198" s="145"/>
      <c r="BP198" s="145"/>
      <c r="BQ198" s="370"/>
      <c r="BR198" s="433"/>
      <c r="BS198" s="433"/>
      <c r="BT198" s="424"/>
    </row>
    <row r="199" spans="1:72" ht="30.75" outlineLevel="1">
      <c r="A199" s="420">
        <v>16</v>
      </c>
      <c r="B199" s="710" t="s">
        <v>1799</v>
      </c>
      <c r="C199" s="420" t="s">
        <v>1238</v>
      </c>
      <c r="D199" s="434" t="s">
        <v>1743</v>
      </c>
      <c r="E199" s="588" t="s">
        <v>49</v>
      </c>
      <c r="F199" s="588" t="s">
        <v>48</v>
      </c>
      <c r="G199" s="420">
        <v>7994266</v>
      </c>
      <c r="H199" s="434" t="s">
        <v>1741</v>
      </c>
      <c r="I199" s="745">
        <v>2023</v>
      </c>
      <c r="J199" s="422">
        <v>2023</v>
      </c>
      <c r="K199" s="420" t="s">
        <v>1628</v>
      </c>
      <c r="L199" s="738" t="s">
        <v>1800</v>
      </c>
      <c r="M199" s="145">
        <v>1210</v>
      </c>
      <c r="N199" s="448">
        <v>1048</v>
      </c>
      <c r="O199" s="448"/>
      <c r="P199" s="448">
        <v>162</v>
      </c>
      <c r="Q199" s="434" t="s">
        <v>1801</v>
      </c>
      <c r="R199" s="434" t="s">
        <v>1741</v>
      </c>
      <c r="S199" s="434" t="s">
        <v>1741</v>
      </c>
      <c r="T199" s="434" t="s">
        <v>1743</v>
      </c>
      <c r="U199" s="462"/>
      <c r="V199" s="462"/>
      <c r="W199" s="462"/>
      <c r="X199" s="462"/>
      <c r="Y199" s="145">
        <f t="shared" si="22"/>
        <v>6.5039999999999996</v>
      </c>
      <c r="Z199" s="145"/>
      <c r="AA199" s="145"/>
      <c r="AB199" s="370">
        <f t="shared" si="23"/>
        <v>6.5039999999999996</v>
      </c>
      <c r="AC199" s="370">
        <v>6.5039999999999996</v>
      </c>
      <c r="AD199" s="145"/>
      <c r="AE199" s="145"/>
      <c r="AF199" s="145">
        <f t="shared" si="24"/>
        <v>0</v>
      </c>
      <c r="AG199" s="145"/>
      <c r="AH199" s="145"/>
      <c r="AI199" s="145">
        <f t="shared" si="25"/>
        <v>0</v>
      </c>
      <c r="AJ199" s="145">
        <v>0</v>
      </c>
      <c r="AK199" s="145"/>
      <c r="AL199" s="145"/>
      <c r="AM199" s="145"/>
      <c r="AN199" s="145"/>
      <c r="AO199" s="145"/>
      <c r="AP199" s="145"/>
      <c r="AQ199" s="370"/>
      <c r="AR199" s="145"/>
      <c r="AS199" s="145"/>
      <c r="AT199" s="145"/>
      <c r="AU199" s="145">
        <f t="shared" si="26"/>
        <v>6.5039999999999996</v>
      </c>
      <c r="AV199" s="145"/>
      <c r="AW199" s="145"/>
      <c r="AX199" s="145">
        <f t="shared" si="27"/>
        <v>6.5039999999999996</v>
      </c>
      <c r="AY199" s="145">
        <v>6.5039999999999996</v>
      </c>
      <c r="AZ199" s="145"/>
      <c r="BA199" s="145"/>
      <c r="BB199" s="145"/>
      <c r="BC199" s="145"/>
      <c r="BD199" s="145"/>
      <c r="BE199" s="145"/>
      <c r="BF199" s="370"/>
      <c r="BG199" s="145"/>
      <c r="BH199" s="145"/>
      <c r="BI199" s="145"/>
      <c r="BJ199" s="145"/>
      <c r="BK199" s="145"/>
      <c r="BL199" s="145"/>
      <c r="BM199" s="370"/>
      <c r="BN199" s="145"/>
      <c r="BO199" s="145"/>
      <c r="BP199" s="145"/>
      <c r="BQ199" s="370"/>
      <c r="BR199" s="433"/>
      <c r="BS199" s="433"/>
      <c r="BT199" s="424"/>
    </row>
    <row r="200" spans="1:72" ht="30.75" outlineLevel="1">
      <c r="A200" s="420">
        <v>17</v>
      </c>
      <c r="B200" s="710" t="s">
        <v>1802</v>
      </c>
      <c r="C200" s="420" t="s">
        <v>1238</v>
      </c>
      <c r="D200" s="434" t="s">
        <v>1743</v>
      </c>
      <c r="E200" s="588" t="s">
        <v>49</v>
      </c>
      <c r="F200" s="588" t="s">
        <v>48</v>
      </c>
      <c r="G200" s="420">
        <v>8016008</v>
      </c>
      <c r="H200" s="434" t="s">
        <v>1741</v>
      </c>
      <c r="I200" s="745">
        <v>2023</v>
      </c>
      <c r="J200" s="422">
        <v>2023</v>
      </c>
      <c r="K200" s="420" t="s">
        <v>1632</v>
      </c>
      <c r="L200" s="438" t="s">
        <v>1803</v>
      </c>
      <c r="M200" s="145">
        <v>935</v>
      </c>
      <c r="N200" s="448">
        <v>850</v>
      </c>
      <c r="O200" s="448"/>
      <c r="P200" s="448">
        <v>85</v>
      </c>
      <c r="Q200" s="434" t="s">
        <v>1804</v>
      </c>
      <c r="R200" s="434" t="s">
        <v>1741</v>
      </c>
      <c r="S200" s="434" t="s">
        <v>1741</v>
      </c>
      <c r="T200" s="434" t="s">
        <v>1743</v>
      </c>
      <c r="U200" s="462"/>
      <c r="V200" s="462"/>
      <c r="W200" s="462"/>
      <c r="X200" s="462"/>
      <c r="Y200" s="145">
        <f t="shared" si="22"/>
        <v>5.0819999999999999</v>
      </c>
      <c r="Z200" s="145"/>
      <c r="AA200" s="145"/>
      <c r="AB200" s="370">
        <f t="shared" si="23"/>
        <v>5.0819999999999999</v>
      </c>
      <c r="AC200" s="370">
        <v>5.0819999999999999</v>
      </c>
      <c r="AD200" s="145"/>
      <c r="AE200" s="145"/>
      <c r="AF200" s="145">
        <f t="shared" si="24"/>
        <v>0</v>
      </c>
      <c r="AG200" s="145"/>
      <c r="AH200" s="145"/>
      <c r="AI200" s="145">
        <f t="shared" si="25"/>
        <v>0</v>
      </c>
      <c r="AJ200" s="145">
        <v>0</v>
      </c>
      <c r="AK200" s="145"/>
      <c r="AL200" s="145"/>
      <c r="AM200" s="145"/>
      <c r="AN200" s="145"/>
      <c r="AO200" s="145"/>
      <c r="AP200" s="145"/>
      <c r="AQ200" s="370"/>
      <c r="AR200" s="145"/>
      <c r="AS200" s="145"/>
      <c r="AT200" s="145"/>
      <c r="AU200" s="145">
        <f t="shared" si="26"/>
        <v>5.0819999999999999</v>
      </c>
      <c r="AV200" s="145"/>
      <c r="AW200" s="145"/>
      <c r="AX200" s="145">
        <f t="shared" si="27"/>
        <v>5.0819999999999999</v>
      </c>
      <c r="AY200" s="145">
        <v>5.0819999999999999</v>
      </c>
      <c r="AZ200" s="145"/>
      <c r="BA200" s="145"/>
      <c r="BB200" s="145"/>
      <c r="BC200" s="145"/>
      <c r="BD200" s="145"/>
      <c r="BE200" s="145"/>
      <c r="BF200" s="370"/>
      <c r="BG200" s="145"/>
      <c r="BH200" s="145"/>
      <c r="BI200" s="145"/>
      <c r="BJ200" s="145"/>
      <c r="BK200" s="145"/>
      <c r="BL200" s="145"/>
      <c r="BM200" s="370"/>
      <c r="BN200" s="145"/>
      <c r="BO200" s="145"/>
      <c r="BP200" s="145"/>
      <c r="BQ200" s="370"/>
      <c r="BR200" s="433"/>
      <c r="BS200" s="433"/>
      <c r="BT200" s="424"/>
    </row>
    <row r="201" spans="1:72" ht="30.75" outlineLevel="1">
      <c r="A201" s="420">
        <v>18</v>
      </c>
      <c r="B201" s="710" t="s">
        <v>1805</v>
      </c>
      <c r="C201" s="420" t="s">
        <v>1238</v>
      </c>
      <c r="D201" s="434" t="s">
        <v>1743</v>
      </c>
      <c r="E201" s="588" t="s">
        <v>49</v>
      </c>
      <c r="F201" s="588" t="s">
        <v>1282</v>
      </c>
      <c r="G201" s="420">
        <v>7994265</v>
      </c>
      <c r="H201" s="434" t="s">
        <v>1741</v>
      </c>
      <c r="I201" s="745">
        <v>2023</v>
      </c>
      <c r="J201" s="422">
        <v>2023</v>
      </c>
      <c r="K201" s="420" t="s">
        <v>1628</v>
      </c>
      <c r="L201" s="738" t="s">
        <v>1806</v>
      </c>
      <c r="M201" s="145">
        <v>700</v>
      </c>
      <c r="N201" s="448">
        <v>636</v>
      </c>
      <c r="O201" s="448"/>
      <c r="P201" s="448">
        <v>64</v>
      </c>
      <c r="Q201" s="434" t="s">
        <v>1807</v>
      </c>
      <c r="R201" s="434" t="s">
        <v>1741</v>
      </c>
      <c r="S201" s="434" t="s">
        <v>1741</v>
      </c>
      <c r="T201" s="434" t="s">
        <v>1743</v>
      </c>
      <c r="U201" s="462"/>
      <c r="V201" s="462"/>
      <c r="W201" s="462"/>
      <c r="X201" s="462"/>
      <c r="Y201" s="145">
        <f t="shared" si="22"/>
        <v>3.9649999999999999</v>
      </c>
      <c r="Z201" s="145"/>
      <c r="AA201" s="145"/>
      <c r="AB201" s="370">
        <f t="shared" si="23"/>
        <v>3.9649999999999999</v>
      </c>
      <c r="AC201" s="370">
        <v>3.9649999999999999</v>
      </c>
      <c r="AD201" s="145"/>
      <c r="AE201" s="145"/>
      <c r="AF201" s="145">
        <f t="shared" si="24"/>
        <v>0</v>
      </c>
      <c r="AG201" s="145"/>
      <c r="AH201" s="145"/>
      <c r="AI201" s="145">
        <f t="shared" si="25"/>
        <v>0</v>
      </c>
      <c r="AJ201" s="145">
        <v>0</v>
      </c>
      <c r="AK201" s="145"/>
      <c r="AL201" s="145"/>
      <c r="AM201" s="145"/>
      <c r="AN201" s="145"/>
      <c r="AO201" s="145"/>
      <c r="AP201" s="145"/>
      <c r="AQ201" s="370"/>
      <c r="AR201" s="145"/>
      <c r="AS201" s="145"/>
      <c r="AT201" s="145"/>
      <c r="AU201" s="145">
        <f t="shared" si="26"/>
        <v>3.9649999999999999</v>
      </c>
      <c r="AV201" s="145"/>
      <c r="AW201" s="145"/>
      <c r="AX201" s="145">
        <f t="shared" si="27"/>
        <v>3.9649999999999999</v>
      </c>
      <c r="AY201" s="145">
        <v>3.9649999999999999</v>
      </c>
      <c r="AZ201" s="145"/>
      <c r="BA201" s="145"/>
      <c r="BB201" s="145"/>
      <c r="BC201" s="145"/>
      <c r="BD201" s="145"/>
      <c r="BE201" s="145"/>
      <c r="BF201" s="370"/>
      <c r="BG201" s="145"/>
      <c r="BH201" s="145"/>
      <c r="BI201" s="145"/>
      <c r="BJ201" s="145"/>
      <c r="BK201" s="145"/>
      <c r="BL201" s="145"/>
      <c r="BM201" s="370"/>
      <c r="BN201" s="145"/>
      <c r="BO201" s="145"/>
      <c r="BP201" s="145"/>
      <c r="BQ201" s="370"/>
      <c r="BR201" s="433"/>
      <c r="BS201" s="433"/>
      <c r="BT201" s="424"/>
    </row>
    <row r="202" spans="1:72" ht="30.75" outlineLevel="1">
      <c r="A202" s="420">
        <v>19</v>
      </c>
      <c r="B202" s="710" t="s">
        <v>1808</v>
      </c>
      <c r="C202" s="420" t="s">
        <v>1238</v>
      </c>
      <c r="D202" s="434" t="s">
        <v>1743</v>
      </c>
      <c r="E202" s="588" t="s">
        <v>49</v>
      </c>
      <c r="F202" s="588" t="s">
        <v>1035</v>
      </c>
      <c r="G202" s="420">
        <v>8016006</v>
      </c>
      <c r="H202" s="434" t="s">
        <v>1741</v>
      </c>
      <c r="I202" s="745">
        <v>2023</v>
      </c>
      <c r="J202" s="422">
        <v>2023</v>
      </c>
      <c r="K202" s="420" t="s">
        <v>1632</v>
      </c>
      <c r="L202" s="438" t="s">
        <v>1809</v>
      </c>
      <c r="M202" s="145">
        <v>1870</v>
      </c>
      <c r="N202" s="448">
        <v>1700</v>
      </c>
      <c r="O202" s="448"/>
      <c r="P202" s="448">
        <v>170</v>
      </c>
      <c r="Q202" s="434" t="s">
        <v>1810</v>
      </c>
      <c r="R202" s="434" t="s">
        <v>1741</v>
      </c>
      <c r="S202" s="434" t="s">
        <v>1741</v>
      </c>
      <c r="T202" s="434" t="s">
        <v>1743</v>
      </c>
      <c r="U202" s="462"/>
      <c r="V202" s="462"/>
      <c r="W202" s="462"/>
      <c r="X202" s="462"/>
      <c r="Y202" s="145">
        <f t="shared" si="22"/>
        <v>9.15</v>
      </c>
      <c r="Z202" s="145"/>
      <c r="AA202" s="145"/>
      <c r="AB202" s="370">
        <f t="shared" si="23"/>
        <v>9.15</v>
      </c>
      <c r="AC202" s="370">
        <v>9.15</v>
      </c>
      <c r="AD202" s="145"/>
      <c r="AE202" s="145"/>
      <c r="AF202" s="145">
        <f t="shared" si="24"/>
        <v>0</v>
      </c>
      <c r="AG202" s="145"/>
      <c r="AH202" s="145"/>
      <c r="AI202" s="145">
        <f t="shared" si="25"/>
        <v>0</v>
      </c>
      <c r="AJ202" s="145">
        <v>0</v>
      </c>
      <c r="AK202" s="145"/>
      <c r="AL202" s="145"/>
      <c r="AM202" s="145"/>
      <c r="AN202" s="145"/>
      <c r="AO202" s="145"/>
      <c r="AP202" s="145"/>
      <c r="AQ202" s="370"/>
      <c r="AR202" s="145"/>
      <c r="AS202" s="145"/>
      <c r="AT202" s="145"/>
      <c r="AU202" s="145">
        <f t="shared" si="26"/>
        <v>9.15</v>
      </c>
      <c r="AV202" s="145"/>
      <c r="AW202" s="145"/>
      <c r="AX202" s="145">
        <f t="shared" si="27"/>
        <v>9.15</v>
      </c>
      <c r="AY202" s="145">
        <v>9.15</v>
      </c>
      <c r="AZ202" s="145"/>
      <c r="BA202" s="145"/>
      <c r="BB202" s="145"/>
      <c r="BC202" s="145"/>
      <c r="BD202" s="145"/>
      <c r="BE202" s="145"/>
      <c r="BF202" s="370"/>
      <c r="BG202" s="145"/>
      <c r="BH202" s="145"/>
      <c r="BI202" s="145"/>
      <c r="BJ202" s="145"/>
      <c r="BK202" s="145"/>
      <c r="BL202" s="145"/>
      <c r="BM202" s="370"/>
      <c r="BN202" s="145"/>
      <c r="BO202" s="145"/>
      <c r="BP202" s="145"/>
      <c r="BQ202" s="370"/>
      <c r="BR202" s="433"/>
      <c r="BS202" s="433"/>
      <c r="BT202" s="424"/>
    </row>
    <row r="203" spans="1:72" ht="30.75" outlineLevel="1">
      <c r="A203" s="420">
        <v>20</v>
      </c>
      <c r="B203" s="710" t="s">
        <v>1811</v>
      </c>
      <c r="C203" s="420" t="s">
        <v>1238</v>
      </c>
      <c r="D203" s="434" t="s">
        <v>1743</v>
      </c>
      <c r="E203" s="588" t="s">
        <v>49</v>
      </c>
      <c r="F203" s="588" t="s">
        <v>48</v>
      </c>
      <c r="G203" s="422">
        <v>7979043</v>
      </c>
      <c r="H203" s="434" t="s">
        <v>1748</v>
      </c>
      <c r="I203" s="745" t="s">
        <v>76</v>
      </c>
      <c r="J203" s="422">
        <v>2022</v>
      </c>
      <c r="K203" s="420" t="s">
        <v>1521</v>
      </c>
      <c r="L203" s="420" t="s">
        <v>1812</v>
      </c>
      <c r="M203" s="371">
        <v>600</v>
      </c>
      <c r="N203" s="448"/>
      <c r="O203" s="448"/>
      <c r="P203" s="448">
        <v>600</v>
      </c>
      <c r="Q203" s="434" t="s">
        <v>1813</v>
      </c>
      <c r="R203" s="434" t="s">
        <v>1748</v>
      </c>
      <c r="S203" s="434" t="s">
        <v>1741</v>
      </c>
      <c r="T203" s="434" t="s">
        <v>1743</v>
      </c>
      <c r="U203" s="462"/>
      <c r="V203" s="462"/>
      <c r="W203" s="462"/>
      <c r="X203" s="462"/>
      <c r="Y203" s="145">
        <f t="shared" si="22"/>
        <v>3.3370000000000002</v>
      </c>
      <c r="Z203" s="145"/>
      <c r="AA203" s="145"/>
      <c r="AB203" s="370">
        <f t="shared" si="23"/>
        <v>3.3370000000000002</v>
      </c>
      <c r="AC203" s="370">
        <v>3.3370000000000002</v>
      </c>
      <c r="AD203" s="145"/>
      <c r="AE203" s="145"/>
      <c r="AF203" s="145">
        <f t="shared" si="24"/>
        <v>0</v>
      </c>
      <c r="AG203" s="145"/>
      <c r="AH203" s="145"/>
      <c r="AI203" s="145">
        <f t="shared" si="25"/>
        <v>0</v>
      </c>
      <c r="AJ203" s="145">
        <v>0</v>
      </c>
      <c r="AK203" s="145"/>
      <c r="AL203" s="145"/>
      <c r="AM203" s="145"/>
      <c r="AN203" s="145"/>
      <c r="AO203" s="145"/>
      <c r="AP203" s="145"/>
      <c r="AQ203" s="370"/>
      <c r="AR203" s="145"/>
      <c r="AS203" s="145"/>
      <c r="AT203" s="145"/>
      <c r="AU203" s="145">
        <f t="shared" si="26"/>
        <v>3.3370000000000002</v>
      </c>
      <c r="AV203" s="145"/>
      <c r="AW203" s="145"/>
      <c r="AX203" s="145">
        <f t="shared" si="27"/>
        <v>3.3370000000000002</v>
      </c>
      <c r="AY203" s="145">
        <v>3.3370000000000002</v>
      </c>
      <c r="AZ203" s="145"/>
      <c r="BA203" s="145"/>
      <c r="BB203" s="145"/>
      <c r="BC203" s="145"/>
      <c r="BD203" s="145"/>
      <c r="BE203" s="145"/>
      <c r="BF203" s="370"/>
      <c r="BG203" s="145"/>
      <c r="BH203" s="145"/>
      <c r="BI203" s="145"/>
      <c r="BJ203" s="145"/>
      <c r="BK203" s="145"/>
      <c r="BL203" s="145"/>
      <c r="BM203" s="370"/>
      <c r="BN203" s="145"/>
      <c r="BO203" s="145"/>
      <c r="BP203" s="145"/>
      <c r="BQ203" s="370"/>
      <c r="BR203" s="433"/>
      <c r="BS203" s="433"/>
      <c r="BT203" s="424"/>
    </row>
    <row r="204" spans="1:72" ht="30.75" outlineLevel="1">
      <c r="A204" s="420">
        <v>21</v>
      </c>
      <c r="B204" s="710" t="s">
        <v>1814</v>
      </c>
      <c r="C204" s="420" t="s">
        <v>1238</v>
      </c>
      <c r="D204" s="434" t="s">
        <v>1743</v>
      </c>
      <c r="E204" s="588" t="s">
        <v>49</v>
      </c>
      <c r="F204" s="588" t="s">
        <v>48</v>
      </c>
      <c r="G204" s="422">
        <v>7979042</v>
      </c>
      <c r="H204" s="434" t="s">
        <v>1748</v>
      </c>
      <c r="I204" s="745" t="s">
        <v>76</v>
      </c>
      <c r="J204" s="422">
        <v>2022</v>
      </c>
      <c r="K204" s="420" t="s">
        <v>1521</v>
      </c>
      <c r="L204" s="420" t="s">
        <v>1815</v>
      </c>
      <c r="M204" s="371">
        <v>650</v>
      </c>
      <c r="N204" s="448"/>
      <c r="O204" s="448"/>
      <c r="P204" s="448">
        <v>650</v>
      </c>
      <c r="Q204" s="434" t="s">
        <v>1816</v>
      </c>
      <c r="R204" s="434" t="s">
        <v>1748</v>
      </c>
      <c r="S204" s="434" t="s">
        <v>1741</v>
      </c>
      <c r="T204" s="434" t="s">
        <v>1743</v>
      </c>
      <c r="U204" s="462"/>
      <c r="V204" s="462"/>
      <c r="W204" s="462"/>
      <c r="X204" s="462"/>
      <c r="Y204" s="145">
        <f t="shared" si="22"/>
        <v>3.6139999999999999</v>
      </c>
      <c r="Z204" s="145"/>
      <c r="AA204" s="145"/>
      <c r="AB204" s="370">
        <f t="shared" si="23"/>
        <v>3.6139999999999999</v>
      </c>
      <c r="AC204" s="370">
        <v>3.6139999999999999</v>
      </c>
      <c r="AD204" s="145"/>
      <c r="AE204" s="145"/>
      <c r="AF204" s="145">
        <f t="shared" si="24"/>
        <v>0</v>
      </c>
      <c r="AG204" s="145"/>
      <c r="AH204" s="145"/>
      <c r="AI204" s="145">
        <f t="shared" si="25"/>
        <v>0</v>
      </c>
      <c r="AJ204" s="145">
        <v>0</v>
      </c>
      <c r="AK204" s="145"/>
      <c r="AL204" s="145"/>
      <c r="AM204" s="145"/>
      <c r="AN204" s="145"/>
      <c r="AO204" s="145"/>
      <c r="AP204" s="145"/>
      <c r="AQ204" s="370"/>
      <c r="AR204" s="145"/>
      <c r="AS204" s="145"/>
      <c r="AT204" s="145"/>
      <c r="AU204" s="145">
        <f t="shared" si="26"/>
        <v>3.6139999999999999</v>
      </c>
      <c r="AV204" s="145"/>
      <c r="AW204" s="145"/>
      <c r="AX204" s="145">
        <f t="shared" si="27"/>
        <v>3.6139999999999999</v>
      </c>
      <c r="AY204" s="145">
        <v>3.6139999999999999</v>
      </c>
      <c r="AZ204" s="145"/>
      <c r="BA204" s="145"/>
      <c r="BB204" s="145"/>
      <c r="BC204" s="145"/>
      <c r="BD204" s="145"/>
      <c r="BE204" s="145"/>
      <c r="BF204" s="370"/>
      <c r="BG204" s="145"/>
      <c r="BH204" s="145"/>
      <c r="BI204" s="145"/>
      <c r="BJ204" s="145"/>
      <c r="BK204" s="145"/>
      <c r="BL204" s="145"/>
      <c r="BM204" s="370"/>
      <c r="BN204" s="145"/>
      <c r="BO204" s="145"/>
      <c r="BP204" s="145"/>
      <c r="BQ204" s="370"/>
      <c r="BR204" s="433"/>
      <c r="BS204" s="433"/>
      <c r="BT204" s="424"/>
    </row>
    <row r="205" spans="1:72" ht="30.75" outlineLevel="1">
      <c r="A205" s="420">
        <v>22</v>
      </c>
      <c r="B205" s="710" t="s">
        <v>1817</v>
      </c>
      <c r="C205" s="420" t="s">
        <v>1238</v>
      </c>
      <c r="D205" s="434" t="s">
        <v>1743</v>
      </c>
      <c r="E205" s="588" t="s">
        <v>49</v>
      </c>
      <c r="F205" s="588" t="s">
        <v>48</v>
      </c>
      <c r="G205" s="420">
        <v>7990782</v>
      </c>
      <c r="H205" s="434" t="s">
        <v>1748</v>
      </c>
      <c r="I205" s="745">
        <v>2023</v>
      </c>
      <c r="J205" s="422">
        <v>2022</v>
      </c>
      <c r="K205" s="420" t="s">
        <v>1643</v>
      </c>
      <c r="L205" s="420" t="s">
        <v>1818</v>
      </c>
      <c r="M205" s="145">
        <v>968</v>
      </c>
      <c r="N205" s="448">
        <v>879</v>
      </c>
      <c r="O205" s="448"/>
      <c r="P205" s="448">
        <v>89</v>
      </c>
      <c r="Q205" s="434" t="s">
        <v>1819</v>
      </c>
      <c r="R205" s="434" t="s">
        <v>1748</v>
      </c>
      <c r="S205" s="434" t="s">
        <v>1741</v>
      </c>
      <c r="T205" s="434" t="s">
        <v>1743</v>
      </c>
      <c r="U205" s="462"/>
      <c r="V205" s="462"/>
      <c r="W205" s="462"/>
      <c r="X205" s="462"/>
      <c r="Y205" s="145">
        <f t="shared" si="22"/>
        <v>5.4660000000000002</v>
      </c>
      <c r="Z205" s="145"/>
      <c r="AA205" s="145"/>
      <c r="AB205" s="370">
        <f t="shared" si="23"/>
        <v>5.4660000000000002</v>
      </c>
      <c r="AC205" s="370">
        <v>5.4660000000000002</v>
      </c>
      <c r="AD205" s="145"/>
      <c r="AE205" s="145"/>
      <c r="AF205" s="145">
        <f t="shared" si="24"/>
        <v>0</v>
      </c>
      <c r="AG205" s="145"/>
      <c r="AH205" s="145"/>
      <c r="AI205" s="145">
        <f t="shared" si="25"/>
        <v>0</v>
      </c>
      <c r="AJ205" s="145">
        <v>0</v>
      </c>
      <c r="AK205" s="145"/>
      <c r="AL205" s="145"/>
      <c r="AM205" s="145"/>
      <c r="AN205" s="145"/>
      <c r="AO205" s="145"/>
      <c r="AP205" s="145"/>
      <c r="AQ205" s="370"/>
      <c r="AR205" s="145"/>
      <c r="AS205" s="145"/>
      <c r="AT205" s="145"/>
      <c r="AU205" s="145">
        <f t="shared" si="26"/>
        <v>5.4660000000000002</v>
      </c>
      <c r="AV205" s="145"/>
      <c r="AW205" s="145"/>
      <c r="AX205" s="145">
        <f t="shared" si="27"/>
        <v>5.4660000000000002</v>
      </c>
      <c r="AY205" s="145">
        <v>5.4660000000000002</v>
      </c>
      <c r="AZ205" s="145"/>
      <c r="BA205" s="145"/>
      <c r="BB205" s="145"/>
      <c r="BC205" s="145"/>
      <c r="BD205" s="145"/>
      <c r="BE205" s="145"/>
      <c r="BF205" s="370"/>
      <c r="BG205" s="145"/>
      <c r="BH205" s="145"/>
      <c r="BI205" s="145"/>
      <c r="BJ205" s="145"/>
      <c r="BK205" s="145"/>
      <c r="BL205" s="145"/>
      <c r="BM205" s="370"/>
      <c r="BN205" s="145"/>
      <c r="BO205" s="145"/>
      <c r="BP205" s="145"/>
      <c r="BQ205" s="370"/>
      <c r="BR205" s="433"/>
      <c r="BS205" s="433"/>
      <c r="BT205" s="424"/>
    </row>
    <row r="206" spans="1:72" ht="30" outlineLevel="1">
      <c r="A206" s="553" t="s">
        <v>45</v>
      </c>
      <c r="B206" s="715" t="s">
        <v>1327</v>
      </c>
      <c r="C206" s="418"/>
      <c r="D206" s="454"/>
      <c r="E206" s="418"/>
      <c r="F206" s="418"/>
      <c r="G206" s="418"/>
      <c r="H206" s="454"/>
      <c r="I206" s="418"/>
      <c r="J206" s="418"/>
      <c r="K206" s="418"/>
      <c r="L206" s="418"/>
      <c r="M206" s="429">
        <f>SUM(M207:M210)</f>
        <v>4959</v>
      </c>
      <c r="N206" s="429">
        <f t="shared" ref="N206:BR206" si="32">SUM(N207:N210)</f>
        <v>4424</v>
      </c>
      <c r="O206" s="429">
        <f t="shared" si="32"/>
        <v>0</v>
      </c>
      <c r="P206" s="429">
        <f t="shared" si="32"/>
        <v>535</v>
      </c>
      <c r="Q206" s="454">
        <f t="shared" si="32"/>
        <v>0</v>
      </c>
      <c r="R206" s="454">
        <f t="shared" si="32"/>
        <v>0</v>
      </c>
      <c r="S206" s="454">
        <f t="shared" si="32"/>
        <v>0</v>
      </c>
      <c r="T206" s="454">
        <f t="shared" si="32"/>
        <v>0</v>
      </c>
      <c r="U206" s="429">
        <f t="shared" si="32"/>
        <v>0</v>
      </c>
      <c r="V206" s="429">
        <f t="shared" si="32"/>
        <v>0</v>
      </c>
      <c r="W206" s="429">
        <f t="shared" si="32"/>
        <v>0</v>
      </c>
      <c r="X206" s="429">
        <f t="shared" si="32"/>
        <v>0</v>
      </c>
      <c r="Y206" s="429">
        <f t="shared" si="22"/>
        <v>100</v>
      </c>
      <c r="Z206" s="429">
        <f t="shared" si="32"/>
        <v>0</v>
      </c>
      <c r="AA206" s="429">
        <f t="shared" si="32"/>
        <v>0</v>
      </c>
      <c r="AB206" s="429">
        <f t="shared" si="23"/>
        <v>100</v>
      </c>
      <c r="AC206" s="429">
        <v>0</v>
      </c>
      <c r="AD206" s="429">
        <f t="shared" si="32"/>
        <v>100</v>
      </c>
      <c r="AE206" s="429">
        <f t="shared" si="32"/>
        <v>0</v>
      </c>
      <c r="AF206" s="429">
        <f t="shared" si="24"/>
        <v>100</v>
      </c>
      <c r="AG206" s="429">
        <f t="shared" si="32"/>
        <v>0</v>
      </c>
      <c r="AH206" s="429">
        <f t="shared" si="32"/>
        <v>0</v>
      </c>
      <c r="AI206" s="429">
        <f t="shared" si="25"/>
        <v>100</v>
      </c>
      <c r="AJ206" s="429">
        <v>0</v>
      </c>
      <c r="AK206" s="429">
        <f t="shared" si="32"/>
        <v>100</v>
      </c>
      <c r="AL206" s="429">
        <f t="shared" si="32"/>
        <v>0</v>
      </c>
      <c r="AM206" s="429">
        <f t="shared" si="32"/>
        <v>0</v>
      </c>
      <c r="AN206" s="429">
        <f t="shared" si="32"/>
        <v>0</v>
      </c>
      <c r="AO206" s="429">
        <f t="shared" si="32"/>
        <v>0</v>
      </c>
      <c r="AP206" s="429">
        <f t="shared" si="32"/>
        <v>0</v>
      </c>
      <c r="AQ206" s="429">
        <f t="shared" si="32"/>
        <v>0</v>
      </c>
      <c r="AR206" s="429">
        <f t="shared" si="32"/>
        <v>0</v>
      </c>
      <c r="AS206" s="429">
        <f t="shared" si="32"/>
        <v>0</v>
      </c>
      <c r="AT206" s="429">
        <f t="shared" si="32"/>
        <v>0</v>
      </c>
      <c r="AU206" s="429">
        <f t="shared" si="26"/>
        <v>0</v>
      </c>
      <c r="AV206" s="429">
        <f t="shared" si="32"/>
        <v>0</v>
      </c>
      <c r="AW206" s="429">
        <f t="shared" si="32"/>
        <v>0</v>
      </c>
      <c r="AX206" s="429">
        <f t="shared" si="27"/>
        <v>0</v>
      </c>
      <c r="AY206" s="429">
        <v>0</v>
      </c>
      <c r="AZ206" s="429">
        <f t="shared" si="32"/>
        <v>0</v>
      </c>
      <c r="BA206" s="454">
        <f t="shared" si="32"/>
        <v>0</v>
      </c>
      <c r="BB206" s="454">
        <f t="shared" si="32"/>
        <v>0</v>
      </c>
      <c r="BC206" s="454">
        <f t="shared" si="32"/>
        <v>0</v>
      </c>
      <c r="BD206" s="454">
        <f t="shared" si="32"/>
        <v>0</v>
      </c>
      <c r="BE206" s="454">
        <f t="shared" si="32"/>
        <v>0</v>
      </c>
      <c r="BF206" s="454">
        <f t="shared" si="32"/>
        <v>0</v>
      </c>
      <c r="BG206" s="454">
        <f t="shared" si="32"/>
        <v>0</v>
      </c>
      <c r="BH206" s="454">
        <f t="shared" si="32"/>
        <v>0</v>
      </c>
      <c r="BI206" s="454">
        <f t="shared" si="32"/>
        <v>0</v>
      </c>
      <c r="BJ206" s="454">
        <f t="shared" si="32"/>
        <v>0</v>
      </c>
      <c r="BK206" s="454">
        <f t="shared" si="32"/>
        <v>0</v>
      </c>
      <c r="BL206" s="454">
        <f t="shared" si="32"/>
        <v>0</v>
      </c>
      <c r="BM206" s="454">
        <f t="shared" si="32"/>
        <v>0</v>
      </c>
      <c r="BN206" s="454">
        <f t="shared" si="32"/>
        <v>0</v>
      </c>
      <c r="BO206" s="454">
        <f t="shared" si="32"/>
        <v>0</v>
      </c>
      <c r="BP206" s="454">
        <f t="shared" si="32"/>
        <v>0</v>
      </c>
      <c r="BQ206" s="454">
        <f t="shared" si="32"/>
        <v>0</v>
      </c>
      <c r="BR206" s="454">
        <f t="shared" si="32"/>
        <v>0</v>
      </c>
      <c r="BS206" s="454"/>
      <c r="BT206" s="454"/>
    </row>
    <row r="207" spans="1:72" ht="30.75" outlineLevel="1">
      <c r="A207" s="438">
        <v>1</v>
      </c>
      <c r="B207" s="739" t="s">
        <v>1820</v>
      </c>
      <c r="C207" s="420" t="s">
        <v>1743</v>
      </c>
      <c r="D207" s="434" t="s">
        <v>1743</v>
      </c>
      <c r="E207" s="588" t="s">
        <v>49</v>
      </c>
      <c r="F207" s="588" t="s">
        <v>48</v>
      </c>
      <c r="G207" s="738" t="s">
        <v>1821</v>
      </c>
      <c r="H207" s="712" t="s">
        <v>1741</v>
      </c>
      <c r="I207" s="422">
        <v>2025</v>
      </c>
      <c r="J207" s="424">
        <v>2025</v>
      </c>
      <c r="K207" s="588" t="s">
        <v>1351</v>
      </c>
      <c r="L207" s="420" t="s">
        <v>1822</v>
      </c>
      <c r="M207" s="373">
        <v>615</v>
      </c>
      <c r="N207" s="448">
        <v>615</v>
      </c>
      <c r="O207" s="374"/>
      <c r="P207" s="373"/>
      <c r="Q207" s="454"/>
      <c r="R207" s="712" t="s">
        <v>1741</v>
      </c>
      <c r="S207" s="434" t="s">
        <v>1741</v>
      </c>
      <c r="T207" s="434" t="s">
        <v>1743</v>
      </c>
      <c r="U207" s="429"/>
      <c r="V207" s="429"/>
      <c r="W207" s="429"/>
      <c r="X207" s="429"/>
      <c r="Y207" s="145">
        <f t="shared" si="22"/>
        <v>30</v>
      </c>
      <c r="Z207" s="375"/>
      <c r="AA207" s="375"/>
      <c r="AB207" s="370">
        <f t="shared" si="23"/>
        <v>30</v>
      </c>
      <c r="AC207" s="370">
        <v>0</v>
      </c>
      <c r="AD207" s="145">
        <v>30</v>
      </c>
      <c r="AE207" s="375"/>
      <c r="AF207" s="145">
        <f t="shared" si="24"/>
        <v>30</v>
      </c>
      <c r="AG207" s="375"/>
      <c r="AH207" s="375"/>
      <c r="AI207" s="145">
        <f t="shared" si="25"/>
        <v>30</v>
      </c>
      <c r="AJ207" s="145">
        <v>0</v>
      </c>
      <c r="AK207" s="145">
        <v>30</v>
      </c>
      <c r="AL207" s="375"/>
      <c r="AM207" s="375"/>
      <c r="AN207" s="375"/>
      <c r="AO207" s="375"/>
      <c r="AP207" s="375"/>
      <c r="AQ207" s="375"/>
      <c r="AR207" s="375"/>
      <c r="AS207" s="376"/>
      <c r="AT207" s="375"/>
      <c r="AU207" s="145">
        <f t="shared" si="26"/>
        <v>0</v>
      </c>
      <c r="AV207" s="375"/>
      <c r="AW207" s="375"/>
      <c r="AX207" s="145">
        <f t="shared" si="27"/>
        <v>0</v>
      </c>
      <c r="AY207" s="145">
        <v>0</v>
      </c>
      <c r="AZ207" s="375"/>
      <c r="BA207" s="375"/>
      <c r="BB207" s="375"/>
      <c r="BC207" s="375"/>
      <c r="BD207" s="375"/>
      <c r="BE207" s="376"/>
      <c r="BF207" s="376"/>
      <c r="BG207" s="376"/>
      <c r="BH207" s="376"/>
      <c r="BI207" s="376"/>
      <c r="BJ207" s="376"/>
      <c r="BK207" s="376"/>
      <c r="BL207" s="376"/>
      <c r="BM207" s="376"/>
      <c r="BN207" s="376"/>
      <c r="BO207" s="376"/>
      <c r="BP207" s="376"/>
      <c r="BQ207" s="376"/>
      <c r="BR207" s="504"/>
      <c r="BS207" s="504"/>
      <c r="BT207" s="552"/>
    </row>
    <row r="208" spans="1:72" ht="30.75" outlineLevel="1">
      <c r="A208" s="438">
        <v>2</v>
      </c>
      <c r="B208" s="737" t="s">
        <v>1823</v>
      </c>
      <c r="C208" s="420" t="s">
        <v>1743</v>
      </c>
      <c r="D208" s="434" t="s">
        <v>1743</v>
      </c>
      <c r="E208" s="588" t="s">
        <v>49</v>
      </c>
      <c r="F208" s="588" t="s">
        <v>48</v>
      </c>
      <c r="G208" s="738" t="s">
        <v>1824</v>
      </c>
      <c r="H208" s="434" t="s">
        <v>1741</v>
      </c>
      <c r="I208" s="422">
        <v>2025</v>
      </c>
      <c r="J208" s="424">
        <v>2025</v>
      </c>
      <c r="K208" s="588" t="s">
        <v>1351</v>
      </c>
      <c r="L208" s="420" t="s">
        <v>1825</v>
      </c>
      <c r="M208" s="373">
        <v>1341</v>
      </c>
      <c r="N208" s="448">
        <v>1140</v>
      </c>
      <c r="O208" s="374"/>
      <c r="P208" s="373">
        <v>201</v>
      </c>
      <c r="Q208" s="454"/>
      <c r="R208" s="434" t="s">
        <v>1741</v>
      </c>
      <c r="S208" s="434" t="s">
        <v>1741</v>
      </c>
      <c r="T208" s="434" t="s">
        <v>1743</v>
      </c>
      <c r="U208" s="429"/>
      <c r="V208" s="429"/>
      <c r="W208" s="429"/>
      <c r="X208" s="429"/>
      <c r="Y208" s="145">
        <f t="shared" si="22"/>
        <v>20</v>
      </c>
      <c r="Z208" s="375"/>
      <c r="AA208" s="375"/>
      <c r="AB208" s="370">
        <f t="shared" si="23"/>
        <v>20</v>
      </c>
      <c r="AC208" s="370">
        <v>0</v>
      </c>
      <c r="AD208" s="145">
        <v>20</v>
      </c>
      <c r="AE208" s="375"/>
      <c r="AF208" s="145">
        <f t="shared" si="24"/>
        <v>20</v>
      </c>
      <c r="AG208" s="375"/>
      <c r="AH208" s="375"/>
      <c r="AI208" s="145">
        <f t="shared" si="25"/>
        <v>20</v>
      </c>
      <c r="AJ208" s="145">
        <v>0</v>
      </c>
      <c r="AK208" s="145">
        <v>20</v>
      </c>
      <c r="AL208" s="375"/>
      <c r="AM208" s="375"/>
      <c r="AN208" s="375"/>
      <c r="AO208" s="375"/>
      <c r="AP208" s="375"/>
      <c r="AQ208" s="375"/>
      <c r="AR208" s="375"/>
      <c r="AS208" s="376"/>
      <c r="AT208" s="375"/>
      <c r="AU208" s="145">
        <f t="shared" si="26"/>
        <v>0</v>
      </c>
      <c r="AV208" s="375"/>
      <c r="AW208" s="375"/>
      <c r="AX208" s="145">
        <f t="shared" si="27"/>
        <v>0</v>
      </c>
      <c r="AY208" s="145">
        <v>0</v>
      </c>
      <c r="AZ208" s="375"/>
      <c r="BA208" s="375"/>
      <c r="BB208" s="375"/>
      <c r="BC208" s="375"/>
      <c r="BD208" s="375"/>
      <c r="BE208" s="376"/>
      <c r="BF208" s="376"/>
      <c r="BG208" s="376"/>
      <c r="BH208" s="376"/>
      <c r="BI208" s="376"/>
      <c r="BJ208" s="376"/>
      <c r="BK208" s="376"/>
      <c r="BL208" s="376"/>
      <c r="BM208" s="376"/>
      <c r="BN208" s="376"/>
      <c r="BO208" s="376"/>
      <c r="BP208" s="376"/>
      <c r="BQ208" s="376"/>
      <c r="BR208" s="504"/>
      <c r="BS208" s="504"/>
      <c r="BT208" s="552"/>
    </row>
    <row r="209" spans="1:72" ht="46.15" outlineLevel="1">
      <c r="A209" s="438">
        <v>3</v>
      </c>
      <c r="B209" s="739" t="s">
        <v>1826</v>
      </c>
      <c r="C209" s="420" t="s">
        <v>1660</v>
      </c>
      <c r="D209" s="434" t="s">
        <v>1743</v>
      </c>
      <c r="E209" s="588" t="s">
        <v>49</v>
      </c>
      <c r="F209" s="588" t="s">
        <v>55</v>
      </c>
      <c r="G209" s="738" t="s">
        <v>1827</v>
      </c>
      <c r="H209" s="712" t="s">
        <v>1828</v>
      </c>
      <c r="I209" s="422">
        <v>2025</v>
      </c>
      <c r="J209" s="424">
        <v>2025</v>
      </c>
      <c r="K209" s="588" t="s">
        <v>1340</v>
      </c>
      <c r="L209" s="420" t="s">
        <v>1829</v>
      </c>
      <c r="M209" s="373">
        <v>2272</v>
      </c>
      <c r="N209" s="448">
        <v>2000</v>
      </c>
      <c r="O209" s="374"/>
      <c r="P209" s="373">
        <v>272</v>
      </c>
      <c r="Q209" s="454"/>
      <c r="R209" s="712" t="s">
        <v>1828</v>
      </c>
      <c r="S209" s="434" t="s">
        <v>1741</v>
      </c>
      <c r="T209" s="434" t="s">
        <v>1743</v>
      </c>
      <c r="U209" s="429"/>
      <c r="V209" s="429"/>
      <c r="W209" s="429"/>
      <c r="X209" s="429"/>
      <c r="Y209" s="145">
        <f t="shared" si="22"/>
        <v>30</v>
      </c>
      <c r="Z209" s="375"/>
      <c r="AA209" s="375"/>
      <c r="AB209" s="370">
        <f t="shared" si="23"/>
        <v>30</v>
      </c>
      <c r="AC209" s="370">
        <v>0</v>
      </c>
      <c r="AD209" s="145">
        <v>30</v>
      </c>
      <c r="AE209" s="375"/>
      <c r="AF209" s="145">
        <f t="shared" si="24"/>
        <v>30</v>
      </c>
      <c r="AG209" s="375"/>
      <c r="AH209" s="375"/>
      <c r="AI209" s="145">
        <f t="shared" si="25"/>
        <v>30</v>
      </c>
      <c r="AJ209" s="145">
        <v>0</v>
      </c>
      <c r="AK209" s="145">
        <v>30</v>
      </c>
      <c r="AL209" s="375"/>
      <c r="AM209" s="375"/>
      <c r="AN209" s="375"/>
      <c r="AO209" s="375"/>
      <c r="AP209" s="375"/>
      <c r="AQ209" s="375"/>
      <c r="AR209" s="375"/>
      <c r="AS209" s="376"/>
      <c r="AT209" s="375"/>
      <c r="AU209" s="145">
        <f t="shared" si="26"/>
        <v>0</v>
      </c>
      <c r="AV209" s="375"/>
      <c r="AW209" s="375"/>
      <c r="AX209" s="145">
        <f t="shared" si="27"/>
        <v>0</v>
      </c>
      <c r="AY209" s="145">
        <v>0</v>
      </c>
      <c r="AZ209" s="375"/>
      <c r="BA209" s="375"/>
      <c r="BB209" s="375"/>
      <c r="BC209" s="375"/>
      <c r="BD209" s="375"/>
      <c r="BE209" s="376"/>
      <c r="BF209" s="376"/>
      <c r="BG209" s="376"/>
      <c r="BH209" s="376"/>
      <c r="BI209" s="376"/>
      <c r="BJ209" s="376"/>
      <c r="BK209" s="376"/>
      <c r="BL209" s="376"/>
      <c r="BM209" s="376"/>
      <c r="BN209" s="376"/>
      <c r="BO209" s="376"/>
      <c r="BP209" s="376"/>
      <c r="BQ209" s="376"/>
      <c r="BR209" s="504"/>
      <c r="BS209" s="504"/>
      <c r="BT209" s="552"/>
    </row>
    <row r="210" spans="1:72" ht="30.75" outlineLevel="1">
      <c r="A210" s="438">
        <v>4</v>
      </c>
      <c r="B210" s="739" t="s">
        <v>1781</v>
      </c>
      <c r="C210" s="420" t="s">
        <v>1660</v>
      </c>
      <c r="D210" s="434" t="s">
        <v>1743</v>
      </c>
      <c r="E210" s="588" t="s">
        <v>49</v>
      </c>
      <c r="F210" s="588" t="s">
        <v>55</v>
      </c>
      <c r="G210" s="738" t="s">
        <v>1830</v>
      </c>
      <c r="H210" s="434" t="s">
        <v>1741</v>
      </c>
      <c r="I210" s="422">
        <v>2025</v>
      </c>
      <c r="J210" s="424">
        <v>2025</v>
      </c>
      <c r="K210" s="588" t="s">
        <v>1340</v>
      </c>
      <c r="L210" s="420" t="s">
        <v>1831</v>
      </c>
      <c r="M210" s="373">
        <v>731</v>
      </c>
      <c r="N210" s="448">
        <v>669</v>
      </c>
      <c r="O210" s="374"/>
      <c r="P210" s="373">
        <v>62</v>
      </c>
      <c r="Q210" s="454"/>
      <c r="R210" s="434" t="s">
        <v>1741</v>
      </c>
      <c r="S210" s="434" t="s">
        <v>1741</v>
      </c>
      <c r="T210" s="434" t="s">
        <v>1743</v>
      </c>
      <c r="U210" s="429"/>
      <c r="V210" s="429"/>
      <c r="W210" s="429"/>
      <c r="X210" s="429"/>
      <c r="Y210" s="145">
        <f t="shared" si="22"/>
        <v>20</v>
      </c>
      <c r="Z210" s="375"/>
      <c r="AA210" s="375"/>
      <c r="AB210" s="370">
        <f t="shared" si="23"/>
        <v>20</v>
      </c>
      <c r="AC210" s="370">
        <v>0</v>
      </c>
      <c r="AD210" s="145">
        <v>20</v>
      </c>
      <c r="AE210" s="375"/>
      <c r="AF210" s="145">
        <f t="shared" si="24"/>
        <v>20</v>
      </c>
      <c r="AG210" s="375"/>
      <c r="AH210" s="375"/>
      <c r="AI210" s="145">
        <f t="shared" si="25"/>
        <v>20</v>
      </c>
      <c r="AJ210" s="145">
        <v>0</v>
      </c>
      <c r="AK210" s="145">
        <v>20</v>
      </c>
      <c r="AL210" s="375"/>
      <c r="AM210" s="375"/>
      <c r="AN210" s="375"/>
      <c r="AO210" s="375"/>
      <c r="AP210" s="375"/>
      <c r="AQ210" s="375"/>
      <c r="AR210" s="375"/>
      <c r="AS210" s="376"/>
      <c r="AT210" s="375"/>
      <c r="AU210" s="145">
        <f t="shared" si="26"/>
        <v>0</v>
      </c>
      <c r="AV210" s="375"/>
      <c r="AW210" s="375"/>
      <c r="AX210" s="145">
        <f t="shared" si="27"/>
        <v>0</v>
      </c>
      <c r="AY210" s="145">
        <v>0</v>
      </c>
      <c r="AZ210" s="375"/>
      <c r="BA210" s="375"/>
      <c r="BB210" s="375"/>
      <c r="BC210" s="375"/>
      <c r="BD210" s="375"/>
      <c r="BE210" s="376"/>
      <c r="BF210" s="376"/>
      <c r="BG210" s="376"/>
      <c r="BH210" s="376"/>
      <c r="BI210" s="376"/>
      <c r="BJ210" s="376"/>
      <c r="BK210" s="376"/>
      <c r="BL210" s="376"/>
      <c r="BM210" s="376"/>
      <c r="BN210" s="376"/>
      <c r="BO210" s="376"/>
      <c r="BP210" s="376"/>
      <c r="BQ210" s="376"/>
      <c r="BR210" s="504"/>
      <c r="BS210" s="504"/>
      <c r="BT210" s="552"/>
    </row>
    <row r="211" spans="1:72" ht="33.75" customHeight="1" outlineLevel="1">
      <c r="A211" s="553" t="s">
        <v>45</v>
      </c>
      <c r="B211" s="715" t="s">
        <v>51</v>
      </c>
      <c r="C211" s="418"/>
      <c r="D211" s="454"/>
      <c r="E211" s="418"/>
      <c r="F211" s="418"/>
      <c r="G211" s="418"/>
      <c r="H211" s="454"/>
      <c r="I211" s="418"/>
      <c r="J211" s="418"/>
      <c r="K211" s="418"/>
      <c r="L211" s="418"/>
      <c r="M211" s="429">
        <f>SUM(M212:M240)</f>
        <v>38869.305999999997</v>
      </c>
      <c r="N211" s="429">
        <f t="shared" ref="N211:BR211" si="33">SUM(N212:N240)</f>
        <v>0</v>
      </c>
      <c r="O211" s="429">
        <f t="shared" si="33"/>
        <v>0</v>
      </c>
      <c r="P211" s="429">
        <f t="shared" si="33"/>
        <v>34902.317999999999</v>
      </c>
      <c r="Q211" s="454">
        <f t="shared" si="33"/>
        <v>0</v>
      </c>
      <c r="R211" s="454">
        <f t="shared" si="33"/>
        <v>0</v>
      </c>
      <c r="S211" s="454">
        <f t="shared" si="33"/>
        <v>0</v>
      </c>
      <c r="T211" s="454">
        <f t="shared" si="33"/>
        <v>0</v>
      </c>
      <c r="U211" s="429">
        <f t="shared" si="33"/>
        <v>0</v>
      </c>
      <c r="V211" s="429">
        <f t="shared" si="33"/>
        <v>0</v>
      </c>
      <c r="W211" s="429">
        <f t="shared" si="33"/>
        <v>0</v>
      </c>
      <c r="X211" s="429">
        <f t="shared" si="33"/>
        <v>0</v>
      </c>
      <c r="Y211" s="429">
        <f t="shared" si="33"/>
        <v>34904.924999999988</v>
      </c>
      <c r="Z211" s="429">
        <f t="shared" si="33"/>
        <v>0</v>
      </c>
      <c r="AA211" s="429">
        <f t="shared" si="33"/>
        <v>0</v>
      </c>
      <c r="AB211" s="429">
        <f t="shared" si="33"/>
        <v>34904.924999999988</v>
      </c>
      <c r="AC211" s="429">
        <f t="shared" si="33"/>
        <v>10587.5</v>
      </c>
      <c r="AD211" s="429">
        <f t="shared" si="33"/>
        <v>6601.4250000000002</v>
      </c>
      <c r="AE211" s="429">
        <f t="shared" si="33"/>
        <v>17716</v>
      </c>
      <c r="AF211" s="429">
        <f t="shared" si="33"/>
        <v>33739.924999999988</v>
      </c>
      <c r="AG211" s="429">
        <f t="shared" si="33"/>
        <v>0</v>
      </c>
      <c r="AH211" s="429">
        <f t="shared" si="33"/>
        <v>0</v>
      </c>
      <c r="AI211" s="429">
        <f t="shared" si="33"/>
        <v>33739.924999999988</v>
      </c>
      <c r="AJ211" s="429">
        <f t="shared" si="33"/>
        <v>9085</v>
      </c>
      <c r="AK211" s="429">
        <f t="shared" si="33"/>
        <v>6601.4250000000002</v>
      </c>
      <c r="AL211" s="429">
        <f t="shared" si="33"/>
        <v>18053.5</v>
      </c>
      <c r="AM211" s="429">
        <f t="shared" si="33"/>
        <v>5292.2510000000002</v>
      </c>
      <c r="AN211" s="429">
        <f t="shared" si="33"/>
        <v>0</v>
      </c>
      <c r="AO211" s="429">
        <f t="shared" si="33"/>
        <v>313.8</v>
      </c>
      <c r="AP211" s="429">
        <f t="shared" si="33"/>
        <v>4978.451</v>
      </c>
      <c r="AQ211" s="429">
        <f t="shared" si="33"/>
        <v>0</v>
      </c>
      <c r="AR211" s="429">
        <f t="shared" si="33"/>
        <v>0</v>
      </c>
      <c r="AS211" s="429">
        <f t="shared" si="33"/>
        <v>4978.451</v>
      </c>
      <c r="AT211" s="429">
        <f t="shared" si="33"/>
        <v>313.8</v>
      </c>
      <c r="AU211" s="429">
        <f t="shared" si="33"/>
        <v>1140</v>
      </c>
      <c r="AV211" s="429">
        <f t="shared" si="33"/>
        <v>0</v>
      </c>
      <c r="AW211" s="429">
        <f t="shared" si="33"/>
        <v>0</v>
      </c>
      <c r="AX211" s="429">
        <f t="shared" si="33"/>
        <v>1140</v>
      </c>
      <c r="AY211" s="429">
        <f t="shared" si="33"/>
        <v>1140</v>
      </c>
      <c r="AZ211" s="429">
        <f t="shared" si="33"/>
        <v>0</v>
      </c>
      <c r="BA211" s="454">
        <f t="shared" si="33"/>
        <v>0</v>
      </c>
      <c r="BB211" s="454">
        <f t="shared" si="33"/>
        <v>0</v>
      </c>
      <c r="BC211" s="454">
        <f t="shared" si="33"/>
        <v>0</v>
      </c>
      <c r="BD211" s="454">
        <f t="shared" si="33"/>
        <v>0</v>
      </c>
      <c r="BE211" s="454">
        <f t="shared" si="33"/>
        <v>0</v>
      </c>
      <c r="BF211" s="454">
        <f t="shared" si="33"/>
        <v>0</v>
      </c>
      <c r="BG211" s="454">
        <f t="shared" si="33"/>
        <v>0</v>
      </c>
      <c r="BH211" s="454">
        <f t="shared" si="33"/>
        <v>0</v>
      </c>
      <c r="BI211" s="454">
        <f t="shared" si="33"/>
        <v>0</v>
      </c>
      <c r="BJ211" s="454">
        <f t="shared" si="33"/>
        <v>0</v>
      </c>
      <c r="BK211" s="454">
        <f t="shared" si="33"/>
        <v>0</v>
      </c>
      <c r="BL211" s="454">
        <f t="shared" si="33"/>
        <v>0</v>
      </c>
      <c r="BM211" s="454">
        <f t="shared" si="33"/>
        <v>0</v>
      </c>
      <c r="BN211" s="454">
        <f t="shared" si="33"/>
        <v>0</v>
      </c>
      <c r="BO211" s="454">
        <f t="shared" si="33"/>
        <v>0</v>
      </c>
      <c r="BP211" s="454">
        <f t="shared" si="33"/>
        <v>0</v>
      </c>
      <c r="BQ211" s="454">
        <f t="shared" si="33"/>
        <v>0</v>
      </c>
      <c r="BR211" s="454">
        <f t="shared" si="33"/>
        <v>0</v>
      </c>
      <c r="BS211" s="454"/>
      <c r="BT211" s="454"/>
    </row>
    <row r="212" spans="1:72" ht="30.75" outlineLevel="1">
      <c r="A212" s="438">
        <v>1</v>
      </c>
      <c r="B212" s="710" t="s">
        <v>1832</v>
      </c>
      <c r="C212" s="420" t="s">
        <v>1238</v>
      </c>
      <c r="D212" s="434" t="s">
        <v>1743</v>
      </c>
      <c r="E212" s="588" t="s">
        <v>49</v>
      </c>
      <c r="F212" s="588" t="s">
        <v>105</v>
      </c>
      <c r="G212" s="747">
        <v>7930068</v>
      </c>
      <c r="H212" s="712" t="s">
        <v>1741</v>
      </c>
      <c r="I212" s="422">
        <v>2021</v>
      </c>
      <c r="J212" s="424">
        <v>2021</v>
      </c>
      <c r="K212" s="420" t="s">
        <v>1234</v>
      </c>
      <c r="L212" s="420" t="s">
        <v>1833</v>
      </c>
      <c r="M212" s="368">
        <v>600</v>
      </c>
      <c r="N212" s="448"/>
      <c r="O212" s="448"/>
      <c r="P212" s="751">
        <v>600</v>
      </c>
      <c r="Q212" s="434" t="s">
        <v>1834</v>
      </c>
      <c r="R212" s="712" t="s">
        <v>1741</v>
      </c>
      <c r="S212" s="434" t="s">
        <v>1741</v>
      </c>
      <c r="T212" s="434" t="s">
        <v>1743</v>
      </c>
      <c r="U212" s="462"/>
      <c r="V212" s="462"/>
      <c r="W212" s="462"/>
      <c r="X212" s="462"/>
      <c r="Y212" s="145">
        <f t="shared" ref="Y212:Y242" si="34">Z212+AA212+AB212</f>
        <v>539.84899999999993</v>
      </c>
      <c r="Z212" s="145"/>
      <c r="AA212" s="145"/>
      <c r="AB212" s="370">
        <f t="shared" ref="AB212:AB242" si="35">AC212+AD212+AE212</f>
        <v>539.84899999999993</v>
      </c>
      <c r="AC212" s="370">
        <v>0</v>
      </c>
      <c r="AD212" s="370">
        <v>539.84899999999993</v>
      </c>
      <c r="AE212" s="145"/>
      <c r="AF212" s="145">
        <f t="shared" ref="AF212:AF242" si="36">AG212+AH212+AI212</f>
        <v>539.84899999999993</v>
      </c>
      <c r="AG212" s="145"/>
      <c r="AH212" s="145"/>
      <c r="AI212" s="145">
        <f t="shared" ref="AI212:AI242" si="37">AJ212+AK212+AL212</f>
        <v>539.84899999999993</v>
      </c>
      <c r="AJ212" s="145">
        <v>0</v>
      </c>
      <c r="AK212" s="145">
        <v>539.84899999999993</v>
      </c>
      <c r="AL212" s="145"/>
      <c r="AM212" s="145">
        <v>4445.2719999999999</v>
      </c>
      <c r="AN212" s="145"/>
      <c r="AO212" s="145"/>
      <c r="AP212" s="145">
        <v>4445.2719999999999</v>
      </c>
      <c r="AQ212" s="145"/>
      <c r="AR212" s="145"/>
      <c r="AS212" s="145">
        <v>4445.2719999999999</v>
      </c>
      <c r="AT212" s="145"/>
      <c r="AU212" s="145">
        <f t="shared" ref="AU212:AU242" si="38">AV212+AW212+AX212</f>
        <v>0</v>
      </c>
      <c r="AV212" s="145"/>
      <c r="AW212" s="145"/>
      <c r="AX212" s="145">
        <f t="shared" ref="AX212:AX242" si="39">AY212+AZ212+BA212</f>
        <v>0</v>
      </c>
      <c r="AY212" s="145">
        <v>0</v>
      </c>
      <c r="AZ212" s="145"/>
      <c r="BA212" s="145"/>
      <c r="BB212" s="145"/>
      <c r="BC212" s="145"/>
      <c r="BD212" s="145"/>
      <c r="BE212" s="370"/>
      <c r="BF212" s="370"/>
      <c r="BG212" s="370"/>
      <c r="BH212" s="145"/>
      <c r="BI212" s="370"/>
      <c r="BJ212" s="370"/>
      <c r="BK212" s="370"/>
      <c r="BL212" s="370"/>
      <c r="BM212" s="370"/>
      <c r="BN212" s="370"/>
      <c r="BO212" s="370"/>
      <c r="BP212" s="370"/>
      <c r="BQ212" s="370"/>
      <c r="BR212" s="716">
        <v>0</v>
      </c>
      <c r="BS212" s="716"/>
      <c r="BT212" s="424"/>
    </row>
    <row r="213" spans="1:72" ht="30.75" outlineLevel="1">
      <c r="A213" s="438">
        <v>2</v>
      </c>
      <c r="B213" s="710" t="s">
        <v>1835</v>
      </c>
      <c r="C213" s="420" t="s">
        <v>1238</v>
      </c>
      <c r="D213" s="434" t="s">
        <v>1743</v>
      </c>
      <c r="E213" s="588" t="s">
        <v>49</v>
      </c>
      <c r="F213" s="588" t="s">
        <v>105</v>
      </c>
      <c r="G213" s="747">
        <v>7956492</v>
      </c>
      <c r="H213" s="712" t="s">
        <v>1764</v>
      </c>
      <c r="I213" s="422" t="s">
        <v>76</v>
      </c>
      <c r="J213" s="424">
        <v>2022</v>
      </c>
      <c r="K213" s="420" t="s">
        <v>1446</v>
      </c>
      <c r="L213" s="420" t="s">
        <v>1836</v>
      </c>
      <c r="M213" s="368">
        <v>1576</v>
      </c>
      <c r="N213" s="448"/>
      <c r="O213" s="448"/>
      <c r="P213" s="371">
        <v>1576</v>
      </c>
      <c r="Q213" s="434" t="s">
        <v>1837</v>
      </c>
      <c r="R213" s="712" t="s">
        <v>1764</v>
      </c>
      <c r="S213" s="434" t="s">
        <v>1741</v>
      </c>
      <c r="T213" s="434" t="s">
        <v>1743</v>
      </c>
      <c r="U213" s="462"/>
      <c r="V213" s="462"/>
      <c r="W213" s="462"/>
      <c r="X213" s="462"/>
      <c r="Y213" s="145">
        <f t="shared" si="34"/>
        <v>1576</v>
      </c>
      <c r="Z213" s="145"/>
      <c r="AA213" s="145"/>
      <c r="AB213" s="370">
        <f t="shared" si="35"/>
        <v>1576</v>
      </c>
      <c r="AC213" s="370">
        <v>0</v>
      </c>
      <c r="AD213" s="145">
        <v>1576</v>
      </c>
      <c r="AE213" s="145"/>
      <c r="AF213" s="145">
        <f t="shared" si="36"/>
        <v>1576</v>
      </c>
      <c r="AG213" s="145"/>
      <c r="AH213" s="145"/>
      <c r="AI213" s="145">
        <f t="shared" si="37"/>
        <v>1576</v>
      </c>
      <c r="AJ213" s="145">
        <v>0</v>
      </c>
      <c r="AK213" s="145">
        <v>1576</v>
      </c>
      <c r="AL213" s="145"/>
      <c r="AM213" s="145">
        <v>200</v>
      </c>
      <c r="AN213" s="145"/>
      <c r="AO213" s="145"/>
      <c r="AP213" s="145">
        <v>200</v>
      </c>
      <c r="AQ213" s="145"/>
      <c r="AR213" s="145"/>
      <c r="AS213" s="145">
        <v>200</v>
      </c>
      <c r="AT213" s="145"/>
      <c r="AU213" s="145">
        <f t="shared" si="38"/>
        <v>0</v>
      </c>
      <c r="AV213" s="145"/>
      <c r="AW213" s="145"/>
      <c r="AX213" s="145">
        <f t="shared" si="39"/>
        <v>0</v>
      </c>
      <c r="AY213" s="145">
        <v>0</v>
      </c>
      <c r="AZ213" s="370"/>
      <c r="BA213" s="145"/>
      <c r="BB213" s="145"/>
      <c r="BC213" s="145"/>
      <c r="BD213" s="145"/>
      <c r="BE213" s="370"/>
      <c r="BF213" s="370"/>
      <c r="BG213" s="370"/>
      <c r="BH213" s="370"/>
      <c r="BI213" s="370"/>
      <c r="BJ213" s="370"/>
      <c r="BK213" s="370"/>
      <c r="BL213" s="370"/>
      <c r="BM213" s="370"/>
      <c r="BN213" s="370"/>
      <c r="BO213" s="370"/>
      <c r="BP213" s="370"/>
      <c r="BQ213" s="370"/>
      <c r="BR213" s="716">
        <v>0</v>
      </c>
      <c r="BS213" s="716"/>
      <c r="BT213" s="424"/>
    </row>
    <row r="214" spans="1:72" ht="30.75" outlineLevel="1">
      <c r="A214" s="438">
        <v>3</v>
      </c>
      <c r="B214" s="710" t="s">
        <v>1838</v>
      </c>
      <c r="C214" s="420" t="s">
        <v>1238</v>
      </c>
      <c r="D214" s="434" t="s">
        <v>1743</v>
      </c>
      <c r="E214" s="588" t="s">
        <v>49</v>
      </c>
      <c r="F214" s="588" t="s">
        <v>105</v>
      </c>
      <c r="G214" s="747">
        <v>7956491</v>
      </c>
      <c r="H214" s="712" t="s">
        <v>1748</v>
      </c>
      <c r="I214" s="422" t="s">
        <v>76</v>
      </c>
      <c r="J214" s="424">
        <v>2022</v>
      </c>
      <c r="K214" s="420" t="s">
        <v>1446</v>
      </c>
      <c r="L214" s="420" t="s">
        <v>1839</v>
      </c>
      <c r="M214" s="368">
        <v>1576</v>
      </c>
      <c r="N214" s="448"/>
      <c r="O214" s="448"/>
      <c r="P214" s="371">
        <v>1576</v>
      </c>
      <c r="Q214" s="434" t="s">
        <v>1840</v>
      </c>
      <c r="R214" s="712" t="s">
        <v>1748</v>
      </c>
      <c r="S214" s="434" t="s">
        <v>1741</v>
      </c>
      <c r="T214" s="434" t="s">
        <v>1743</v>
      </c>
      <c r="U214" s="462"/>
      <c r="V214" s="462"/>
      <c r="W214" s="462"/>
      <c r="X214" s="462"/>
      <c r="Y214" s="145">
        <f t="shared" si="34"/>
        <v>1576</v>
      </c>
      <c r="Z214" s="145"/>
      <c r="AA214" s="145"/>
      <c r="AB214" s="370">
        <f t="shared" si="35"/>
        <v>1576</v>
      </c>
      <c r="AC214" s="370">
        <v>0</v>
      </c>
      <c r="AD214" s="145">
        <v>1576</v>
      </c>
      <c r="AE214" s="145"/>
      <c r="AF214" s="145">
        <f t="shared" si="36"/>
        <v>1576</v>
      </c>
      <c r="AG214" s="145"/>
      <c r="AH214" s="145"/>
      <c r="AI214" s="145">
        <f t="shared" si="37"/>
        <v>1576</v>
      </c>
      <c r="AJ214" s="145">
        <v>0</v>
      </c>
      <c r="AK214" s="145">
        <v>1576</v>
      </c>
      <c r="AL214" s="145"/>
      <c r="AM214" s="145">
        <v>200</v>
      </c>
      <c r="AN214" s="145"/>
      <c r="AO214" s="145"/>
      <c r="AP214" s="145">
        <v>200</v>
      </c>
      <c r="AQ214" s="145"/>
      <c r="AR214" s="145"/>
      <c r="AS214" s="145">
        <v>200</v>
      </c>
      <c r="AT214" s="145"/>
      <c r="AU214" s="145">
        <f t="shared" si="38"/>
        <v>0</v>
      </c>
      <c r="AV214" s="145"/>
      <c r="AW214" s="145"/>
      <c r="AX214" s="145">
        <f t="shared" si="39"/>
        <v>0</v>
      </c>
      <c r="AY214" s="145">
        <v>0</v>
      </c>
      <c r="AZ214" s="370"/>
      <c r="BA214" s="145"/>
      <c r="BB214" s="145"/>
      <c r="BC214" s="145"/>
      <c r="BD214" s="145"/>
      <c r="BE214" s="370"/>
      <c r="BF214" s="370"/>
      <c r="BG214" s="370"/>
      <c r="BH214" s="370"/>
      <c r="BI214" s="370"/>
      <c r="BJ214" s="370"/>
      <c r="BK214" s="370"/>
      <c r="BL214" s="370"/>
      <c r="BM214" s="370"/>
      <c r="BN214" s="370"/>
      <c r="BO214" s="370"/>
      <c r="BP214" s="370"/>
      <c r="BQ214" s="370"/>
      <c r="BR214" s="716">
        <v>0</v>
      </c>
      <c r="BS214" s="716"/>
      <c r="BT214" s="424"/>
    </row>
    <row r="215" spans="1:72" ht="30.75" outlineLevel="1">
      <c r="A215" s="438">
        <v>4</v>
      </c>
      <c r="B215" s="710" t="s">
        <v>1841</v>
      </c>
      <c r="C215" s="420" t="s">
        <v>1238</v>
      </c>
      <c r="D215" s="434" t="s">
        <v>1743</v>
      </c>
      <c r="E215" s="735" t="s">
        <v>49</v>
      </c>
      <c r="F215" s="588" t="s">
        <v>105</v>
      </c>
      <c r="G215" s="747">
        <v>7956489</v>
      </c>
      <c r="H215" s="434" t="s">
        <v>1741</v>
      </c>
      <c r="I215" s="422" t="s">
        <v>76</v>
      </c>
      <c r="J215" s="424">
        <v>2022</v>
      </c>
      <c r="K215" s="420" t="s">
        <v>1446</v>
      </c>
      <c r="L215" s="420" t="s">
        <v>1842</v>
      </c>
      <c r="M215" s="368">
        <v>1675</v>
      </c>
      <c r="N215" s="448"/>
      <c r="O215" s="448"/>
      <c r="P215" s="371">
        <v>1675</v>
      </c>
      <c r="Q215" s="434" t="s">
        <v>1843</v>
      </c>
      <c r="R215" s="434" t="s">
        <v>1741</v>
      </c>
      <c r="S215" s="434" t="s">
        <v>1741</v>
      </c>
      <c r="T215" s="434" t="s">
        <v>1743</v>
      </c>
      <c r="U215" s="462"/>
      <c r="V215" s="462"/>
      <c r="W215" s="462"/>
      <c r="X215" s="462"/>
      <c r="Y215" s="145">
        <f t="shared" si="34"/>
        <v>1675</v>
      </c>
      <c r="Z215" s="145"/>
      <c r="AA215" s="145"/>
      <c r="AB215" s="370">
        <f t="shared" si="35"/>
        <v>1675</v>
      </c>
      <c r="AC215" s="370">
        <v>0</v>
      </c>
      <c r="AD215" s="145">
        <v>1675</v>
      </c>
      <c r="AE215" s="145"/>
      <c r="AF215" s="145">
        <f t="shared" si="36"/>
        <v>1675</v>
      </c>
      <c r="AG215" s="145"/>
      <c r="AH215" s="145"/>
      <c r="AI215" s="145">
        <f t="shared" si="37"/>
        <v>1675</v>
      </c>
      <c r="AJ215" s="145">
        <v>0</v>
      </c>
      <c r="AK215" s="145">
        <v>1675</v>
      </c>
      <c r="AL215" s="145"/>
      <c r="AM215" s="145">
        <v>133.179</v>
      </c>
      <c r="AN215" s="145"/>
      <c r="AO215" s="145"/>
      <c r="AP215" s="145">
        <v>133.179</v>
      </c>
      <c r="AQ215" s="145"/>
      <c r="AR215" s="145"/>
      <c r="AS215" s="145">
        <v>133.179</v>
      </c>
      <c r="AT215" s="145"/>
      <c r="AU215" s="145">
        <f t="shared" si="38"/>
        <v>0</v>
      </c>
      <c r="AV215" s="145"/>
      <c r="AW215" s="145"/>
      <c r="AX215" s="145">
        <f t="shared" si="39"/>
        <v>0</v>
      </c>
      <c r="AY215" s="145">
        <v>0</v>
      </c>
      <c r="AZ215" s="734"/>
      <c r="BA215" s="145"/>
      <c r="BB215" s="145"/>
      <c r="BC215" s="145"/>
      <c r="BD215" s="145"/>
      <c r="BE215" s="370"/>
      <c r="BF215" s="370"/>
      <c r="BG215" s="370"/>
      <c r="BH215" s="734"/>
      <c r="BI215" s="370"/>
      <c r="BJ215" s="370"/>
      <c r="BK215" s="370"/>
      <c r="BL215" s="370"/>
      <c r="BM215" s="734"/>
      <c r="BN215" s="370"/>
      <c r="BO215" s="370"/>
      <c r="BP215" s="370"/>
      <c r="BQ215" s="734"/>
      <c r="BR215" s="716">
        <v>0</v>
      </c>
      <c r="BS215" s="716"/>
      <c r="BT215" s="424"/>
    </row>
    <row r="216" spans="1:72" ht="30.75" outlineLevel="1">
      <c r="A216" s="438">
        <v>5</v>
      </c>
      <c r="B216" s="710" t="s">
        <v>1844</v>
      </c>
      <c r="C216" s="420" t="s">
        <v>1238</v>
      </c>
      <c r="D216" s="434" t="s">
        <v>1743</v>
      </c>
      <c r="E216" s="735" t="s">
        <v>49</v>
      </c>
      <c r="F216" s="588" t="s">
        <v>105</v>
      </c>
      <c r="G216" s="747">
        <v>7929895</v>
      </c>
      <c r="H216" s="434" t="s">
        <v>1741</v>
      </c>
      <c r="I216" s="422" t="s">
        <v>76</v>
      </c>
      <c r="J216" s="424">
        <v>2022</v>
      </c>
      <c r="K216" s="420" t="s">
        <v>1375</v>
      </c>
      <c r="L216" s="420" t="s">
        <v>1845</v>
      </c>
      <c r="M216" s="368">
        <v>750</v>
      </c>
      <c r="N216" s="448"/>
      <c r="O216" s="448"/>
      <c r="P216" s="752">
        <v>750</v>
      </c>
      <c r="Q216" s="434" t="s">
        <v>1846</v>
      </c>
      <c r="R216" s="434" t="s">
        <v>1741</v>
      </c>
      <c r="S216" s="434" t="s">
        <v>1741</v>
      </c>
      <c r="T216" s="434" t="s">
        <v>1743</v>
      </c>
      <c r="U216" s="462"/>
      <c r="V216" s="462"/>
      <c r="W216" s="462"/>
      <c r="X216" s="462"/>
      <c r="Y216" s="145">
        <f t="shared" si="34"/>
        <v>700</v>
      </c>
      <c r="Z216" s="145"/>
      <c r="AA216" s="145"/>
      <c r="AB216" s="370">
        <f t="shared" si="35"/>
        <v>700</v>
      </c>
      <c r="AC216" s="370">
        <v>0</v>
      </c>
      <c r="AD216" s="371">
        <v>700</v>
      </c>
      <c r="AE216" s="145"/>
      <c r="AF216" s="145">
        <f t="shared" si="36"/>
        <v>700</v>
      </c>
      <c r="AG216" s="145"/>
      <c r="AH216" s="145"/>
      <c r="AI216" s="145">
        <f t="shared" si="37"/>
        <v>700</v>
      </c>
      <c r="AJ216" s="145">
        <v>0</v>
      </c>
      <c r="AK216" s="145">
        <v>700</v>
      </c>
      <c r="AL216" s="145"/>
      <c r="AM216" s="145"/>
      <c r="AN216" s="145"/>
      <c r="AO216" s="145"/>
      <c r="AP216" s="145"/>
      <c r="AQ216" s="145"/>
      <c r="AR216" s="145"/>
      <c r="AS216" s="145"/>
      <c r="AT216" s="145"/>
      <c r="AU216" s="145">
        <f t="shared" si="38"/>
        <v>0</v>
      </c>
      <c r="AV216" s="145"/>
      <c r="AW216" s="145"/>
      <c r="AX216" s="145">
        <f t="shared" si="39"/>
        <v>0</v>
      </c>
      <c r="AY216" s="145">
        <v>0</v>
      </c>
      <c r="AZ216" s="734"/>
      <c r="BA216" s="145"/>
      <c r="BB216" s="145"/>
      <c r="BC216" s="145"/>
      <c r="BD216" s="145"/>
      <c r="BE216" s="370"/>
      <c r="BF216" s="370"/>
      <c r="BG216" s="370"/>
      <c r="BH216" s="734"/>
      <c r="BI216" s="370"/>
      <c r="BJ216" s="370"/>
      <c r="BK216" s="370"/>
      <c r="BL216" s="370"/>
      <c r="BM216" s="734"/>
      <c r="BN216" s="370"/>
      <c r="BO216" s="370"/>
      <c r="BP216" s="370"/>
      <c r="BQ216" s="734"/>
      <c r="BR216" s="716">
        <v>0</v>
      </c>
      <c r="BS216" s="716"/>
      <c r="BT216" s="424"/>
    </row>
    <row r="217" spans="1:72" ht="30.75" outlineLevel="1">
      <c r="A217" s="438">
        <v>6</v>
      </c>
      <c r="B217" s="710" t="s">
        <v>1847</v>
      </c>
      <c r="C217" s="420" t="s">
        <v>1238</v>
      </c>
      <c r="D217" s="434" t="s">
        <v>1743</v>
      </c>
      <c r="E217" s="735" t="s">
        <v>49</v>
      </c>
      <c r="F217" s="438" t="s">
        <v>55</v>
      </c>
      <c r="G217" s="438">
        <v>7930052</v>
      </c>
      <c r="H217" s="434" t="s">
        <v>1764</v>
      </c>
      <c r="I217" s="438">
        <v>2023</v>
      </c>
      <c r="J217" s="424">
        <v>2023</v>
      </c>
      <c r="K217" s="420" t="s">
        <v>1375</v>
      </c>
      <c r="L217" s="438" t="s">
        <v>1848</v>
      </c>
      <c r="M217" s="368">
        <v>480</v>
      </c>
      <c r="N217" s="448"/>
      <c r="O217" s="448"/>
      <c r="P217" s="752">
        <v>480</v>
      </c>
      <c r="Q217" s="434" t="s">
        <v>1766</v>
      </c>
      <c r="R217" s="434" t="s">
        <v>1764</v>
      </c>
      <c r="S217" s="434" t="s">
        <v>1741</v>
      </c>
      <c r="T217" s="434" t="s">
        <v>1743</v>
      </c>
      <c r="U217" s="462"/>
      <c r="V217" s="462"/>
      <c r="W217" s="462"/>
      <c r="X217" s="462"/>
      <c r="Y217" s="145">
        <f t="shared" si="34"/>
        <v>510.89300000000003</v>
      </c>
      <c r="Z217" s="145"/>
      <c r="AA217" s="145"/>
      <c r="AB217" s="370">
        <f t="shared" si="35"/>
        <v>510.89300000000003</v>
      </c>
      <c r="AC217" s="370">
        <v>0</v>
      </c>
      <c r="AD217" s="370">
        <v>510.89300000000003</v>
      </c>
      <c r="AE217" s="145"/>
      <c r="AF217" s="145">
        <f t="shared" si="36"/>
        <v>510.89300000000003</v>
      </c>
      <c r="AG217" s="145"/>
      <c r="AH217" s="145"/>
      <c r="AI217" s="145">
        <f t="shared" si="37"/>
        <v>510.89300000000003</v>
      </c>
      <c r="AJ217" s="145">
        <v>0</v>
      </c>
      <c r="AK217" s="145">
        <v>510.89300000000003</v>
      </c>
      <c r="AL217" s="145"/>
      <c r="AM217" s="145"/>
      <c r="AN217" s="145"/>
      <c r="AO217" s="145"/>
      <c r="AP217" s="145"/>
      <c r="AQ217" s="145"/>
      <c r="AR217" s="145"/>
      <c r="AS217" s="145"/>
      <c r="AT217" s="145"/>
      <c r="AU217" s="145">
        <f t="shared" si="38"/>
        <v>0</v>
      </c>
      <c r="AV217" s="145"/>
      <c r="AW217" s="145"/>
      <c r="AX217" s="145">
        <f t="shared" si="39"/>
        <v>0</v>
      </c>
      <c r="AY217" s="145">
        <v>0</v>
      </c>
      <c r="AZ217" s="734"/>
      <c r="BA217" s="145"/>
      <c r="BB217" s="145"/>
      <c r="BC217" s="145"/>
      <c r="BD217" s="145"/>
      <c r="BE217" s="370"/>
      <c r="BF217" s="370"/>
      <c r="BG217" s="370"/>
      <c r="BH217" s="734"/>
      <c r="BI217" s="370"/>
      <c r="BJ217" s="370"/>
      <c r="BK217" s="370"/>
      <c r="BL217" s="370"/>
      <c r="BM217" s="734"/>
      <c r="BN217" s="370"/>
      <c r="BO217" s="370"/>
      <c r="BP217" s="370"/>
      <c r="BQ217" s="734"/>
      <c r="BR217" s="716">
        <v>0</v>
      </c>
      <c r="BS217" s="716"/>
      <c r="BT217" s="424"/>
    </row>
    <row r="218" spans="1:72" ht="30.75" outlineLevel="1">
      <c r="A218" s="438">
        <v>7</v>
      </c>
      <c r="B218" s="710" t="s">
        <v>1849</v>
      </c>
      <c r="C218" s="420" t="s">
        <v>1238</v>
      </c>
      <c r="D218" s="434" t="s">
        <v>1743</v>
      </c>
      <c r="E218" s="588" t="s">
        <v>49</v>
      </c>
      <c r="F218" s="588" t="s">
        <v>105</v>
      </c>
      <c r="G218" s="588" t="s">
        <v>1759</v>
      </c>
      <c r="H218" s="712" t="s">
        <v>1741</v>
      </c>
      <c r="I218" s="712" t="s">
        <v>56</v>
      </c>
      <c r="J218" s="424">
        <v>2023</v>
      </c>
      <c r="K218" s="420" t="s">
        <v>1850</v>
      </c>
      <c r="L218" s="420" t="s">
        <v>1760</v>
      </c>
      <c r="M218" s="368">
        <v>4200</v>
      </c>
      <c r="N218" s="448"/>
      <c r="O218" s="448"/>
      <c r="P218" s="368">
        <v>4200</v>
      </c>
      <c r="Q218" s="434" t="s">
        <v>1761</v>
      </c>
      <c r="R218" s="712" t="s">
        <v>1741</v>
      </c>
      <c r="S218" s="434" t="s">
        <v>1741</v>
      </c>
      <c r="T218" s="434" t="s">
        <v>1743</v>
      </c>
      <c r="U218" s="462"/>
      <c r="V218" s="462"/>
      <c r="W218" s="462"/>
      <c r="X218" s="462"/>
      <c r="Y218" s="145">
        <f t="shared" si="34"/>
        <v>4230</v>
      </c>
      <c r="Z218" s="145"/>
      <c r="AA218" s="145"/>
      <c r="AB218" s="370">
        <f t="shared" si="35"/>
        <v>4230</v>
      </c>
      <c r="AC218" s="370">
        <v>4230</v>
      </c>
      <c r="AD218" s="145"/>
      <c r="AE218" s="145"/>
      <c r="AF218" s="145">
        <f t="shared" si="36"/>
        <v>4155</v>
      </c>
      <c r="AG218" s="145"/>
      <c r="AH218" s="145"/>
      <c r="AI218" s="145">
        <f t="shared" si="37"/>
        <v>4155</v>
      </c>
      <c r="AJ218" s="145">
        <v>4155</v>
      </c>
      <c r="AK218" s="145"/>
      <c r="AL218" s="145"/>
      <c r="AM218" s="145"/>
      <c r="AN218" s="145"/>
      <c r="AO218" s="145"/>
      <c r="AP218" s="145"/>
      <c r="AQ218" s="145"/>
      <c r="AR218" s="370"/>
      <c r="AS218" s="370"/>
      <c r="AT218" s="370"/>
      <c r="AU218" s="145">
        <f t="shared" si="38"/>
        <v>0</v>
      </c>
      <c r="AV218" s="145"/>
      <c r="AW218" s="145"/>
      <c r="AX218" s="145">
        <f t="shared" si="39"/>
        <v>0</v>
      </c>
      <c r="AY218" s="145">
        <v>0</v>
      </c>
      <c r="AZ218" s="145"/>
      <c r="BA218" s="145"/>
      <c r="BB218" s="145"/>
      <c r="BC218" s="145"/>
      <c r="BD218" s="145"/>
      <c r="BE218" s="145"/>
      <c r="BF218" s="145"/>
      <c r="BG218" s="370"/>
      <c r="BH218" s="370"/>
      <c r="BI218" s="370"/>
      <c r="BJ218" s="370"/>
      <c r="BK218" s="370"/>
      <c r="BL218" s="370"/>
      <c r="BM218" s="145"/>
      <c r="BN218" s="370"/>
      <c r="BO218" s="370"/>
      <c r="BP218" s="370"/>
      <c r="BQ218" s="145"/>
      <c r="BR218" s="716"/>
      <c r="BS218" s="716"/>
      <c r="BT218" s="424"/>
    </row>
    <row r="219" spans="1:72" ht="30.75" outlineLevel="1">
      <c r="A219" s="438">
        <v>8</v>
      </c>
      <c r="B219" s="710" t="s">
        <v>1851</v>
      </c>
      <c r="C219" s="420" t="s">
        <v>1238</v>
      </c>
      <c r="D219" s="434" t="s">
        <v>1743</v>
      </c>
      <c r="E219" s="588" t="s">
        <v>49</v>
      </c>
      <c r="F219" s="588" t="s">
        <v>105</v>
      </c>
      <c r="G219" s="588" t="s">
        <v>1763</v>
      </c>
      <c r="H219" s="712" t="s">
        <v>1764</v>
      </c>
      <c r="I219" s="712" t="s">
        <v>1675</v>
      </c>
      <c r="J219" s="424">
        <v>2023</v>
      </c>
      <c r="K219" s="420" t="s">
        <v>1852</v>
      </c>
      <c r="L219" s="420" t="s">
        <v>1853</v>
      </c>
      <c r="M219" s="368">
        <v>1203</v>
      </c>
      <c r="N219" s="448"/>
      <c r="O219" s="448"/>
      <c r="P219" s="368">
        <v>1203</v>
      </c>
      <c r="Q219" s="434" t="s">
        <v>1854</v>
      </c>
      <c r="R219" s="712" t="s">
        <v>1764</v>
      </c>
      <c r="S219" s="434" t="s">
        <v>1741</v>
      </c>
      <c r="T219" s="434" t="s">
        <v>1743</v>
      </c>
      <c r="U219" s="462"/>
      <c r="V219" s="462"/>
      <c r="W219" s="462"/>
      <c r="X219" s="462"/>
      <c r="Y219" s="145">
        <f t="shared" si="34"/>
        <v>1203</v>
      </c>
      <c r="Z219" s="145"/>
      <c r="AA219" s="145"/>
      <c r="AB219" s="370">
        <f t="shared" si="35"/>
        <v>1203</v>
      </c>
      <c r="AC219" s="370">
        <v>1203</v>
      </c>
      <c r="AD219" s="145"/>
      <c r="AE219" s="145"/>
      <c r="AF219" s="145">
        <f t="shared" si="36"/>
        <v>1200</v>
      </c>
      <c r="AG219" s="145"/>
      <c r="AH219" s="145"/>
      <c r="AI219" s="145">
        <f t="shared" si="37"/>
        <v>1200</v>
      </c>
      <c r="AJ219" s="145">
        <v>1200</v>
      </c>
      <c r="AK219" s="145"/>
      <c r="AL219" s="145"/>
      <c r="AM219" s="145"/>
      <c r="AN219" s="145"/>
      <c r="AO219" s="145"/>
      <c r="AP219" s="145"/>
      <c r="AQ219" s="145"/>
      <c r="AR219" s="370"/>
      <c r="AS219" s="370"/>
      <c r="AT219" s="370"/>
      <c r="AU219" s="145">
        <f t="shared" si="38"/>
        <v>0</v>
      </c>
      <c r="AV219" s="145"/>
      <c r="AW219" s="145"/>
      <c r="AX219" s="145">
        <f t="shared" si="39"/>
        <v>0</v>
      </c>
      <c r="AY219" s="145">
        <v>0</v>
      </c>
      <c r="AZ219" s="145"/>
      <c r="BA219" s="145"/>
      <c r="BB219" s="145"/>
      <c r="BC219" s="145"/>
      <c r="BD219" s="145"/>
      <c r="BE219" s="145"/>
      <c r="BF219" s="145"/>
      <c r="BG219" s="370"/>
      <c r="BH219" s="370"/>
      <c r="BI219" s="370"/>
      <c r="BJ219" s="370"/>
      <c r="BK219" s="370"/>
      <c r="BL219" s="370"/>
      <c r="BM219" s="145"/>
      <c r="BN219" s="370"/>
      <c r="BO219" s="370"/>
      <c r="BP219" s="370"/>
      <c r="BQ219" s="145"/>
      <c r="BR219" s="716"/>
      <c r="BS219" s="716"/>
      <c r="BT219" s="424"/>
    </row>
    <row r="220" spans="1:72" ht="30.75" outlineLevel="1">
      <c r="A220" s="438">
        <v>9</v>
      </c>
      <c r="B220" s="710" t="s">
        <v>1754</v>
      </c>
      <c r="C220" s="420" t="s">
        <v>1238</v>
      </c>
      <c r="D220" s="434" t="s">
        <v>1743</v>
      </c>
      <c r="E220" s="588" t="s">
        <v>49</v>
      </c>
      <c r="F220" s="588" t="s">
        <v>105</v>
      </c>
      <c r="G220" s="588" t="s">
        <v>1755</v>
      </c>
      <c r="H220" s="712" t="s">
        <v>1748</v>
      </c>
      <c r="I220" s="712" t="s">
        <v>56</v>
      </c>
      <c r="J220" s="424">
        <v>2023</v>
      </c>
      <c r="K220" s="420" t="s">
        <v>1855</v>
      </c>
      <c r="L220" s="420" t="s">
        <v>1756</v>
      </c>
      <c r="M220" s="368">
        <v>2740</v>
      </c>
      <c r="N220" s="448"/>
      <c r="O220" s="448"/>
      <c r="P220" s="368">
        <v>2740</v>
      </c>
      <c r="Q220" s="434" t="s">
        <v>1757</v>
      </c>
      <c r="R220" s="712" t="s">
        <v>1748</v>
      </c>
      <c r="S220" s="434" t="s">
        <v>1741</v>
      </c>
      <c r="T220" s="434" t="s">
        <v>1743</v>
      </c>
      <c r="U220" s="462"/>
      <c r="V220" s="462"/>
      <c r="W220" s="462"/>
      <c r="X220" s="462"/>
      <c r="Y220" s="145">
        <f t="shared" si="34"/>
        <v>2737</v>
      </c>
      <c r="Z220" s="145"/>
      <c r="AA220" s="145"/>
      <c r="AB220" s="370">
        <f t="shared" si="35"/>
        <v>2737</v>
      </c>
      <c r="AC220" s="370">
        <v>2737</v>
      </c>
      <c r="AD220" s="145"/>
      <c r="AE220" s="145"/>
      <c r="AF220" s="145">
        <f t="shared" si="36"/>
        <v>1650</v>
      </c>
      <c r="AG220" s="145"/>
      <c r="AH220" s="145"/>
      <c r="AI220" s="145">
        <f t="shared" si="37"/>
        <v>1650</v>
      </c>
      <c r="AJ220" s="145">
        <v>1650</v>
      </c>
      <c r="AK220" s="145"/>
      <c r="AL220" s="145"/>
      <c r="AM220" s="145"/>
      <c r="AN220" s="145"/>
      <c r="AO220" s="145"/>
      <c r="AP220" s="145"/>
      <c r="AQ220" s="145"/>
      <c r="AR220" s="370"/>
      <c r="AS220" s="370"/>
      <c r="AT220" s="370"/>
      <c r="AU220" s="145">
        <f t="shared" si="38"/>
        <v>1140</v>
      </c>
      <c r="AV220" s="145"/>
      <c r="AW220" s="145"/>
      <c r="AX220" s="145">
        <f t="shared" si="39"/>
        <v>1140</v>
      </c>
      <c r="AY220" s="145">
        <v>1140</v>
      </c>
      <c r="AZ220" s="145"/>
      <c r="BA220" s="145"/>
      <c r="BB220" s="145"/>
      <c r="BC220" s="145"/>
      <c r="BD220" s="145"/>
      <c r="BE220" s="145"/>
      <c r="BF220" s="145"/>
      <c r="BG220" s="370"/>
      <c r="BH220" s="370"/>
      <c r="BI220" s="370"/>
      <c r="BJ220" s="370"/>
      <c r="BK220" s="370"/>
      <c r="BL220" s="370"/>
      <c r="BM220" s="145"/>
      <c r="BN220" s="370"/>
      <c r="BO220" s="370"/>
      <c r="BP220" s="370"/>
      <c r="BQ220" s="145"/>
      <c r="BR220" s="716"/>
      <c r="BS220" s="716"/>
      <c r="BT220" s="424"/>
    </row>
    <row r="221" spans="1:72" ht="30.75" outlineLevel="1">
      <c r="A221" s="438">
        <v>10</v>
      </c>
      <c r="B221" s="710" t="s">
        <v>1856</v>
      </c>
      <c r="C221" s="420" t="s">
        <v>1238</v>
      </c>
      <c r="D221" s="434" t="s">
        <v>1743</v>
      </c>
      <c r="E221" s="588" t="s">
        <v>49</v>
      </c>
      <c r="F221" s="588" t="s">
        <v>105</v>
      </c>
      <c r="G221" s="588">
        <v>7930059</v>
      </c>
      <c r="H221" s="712" t="s">
        <v>1741</v>
      </c>
      <c r="I221" s="422">
        <v>2022</v>
      </c>
      <c r="J221" s="424">
        <v>2022</v>
      </c>
      <c r="K221" s="420" t="s">
        <v>1375</v>
      </c>
      <c r="L221" s="585" t="s">
        <v>1857</v>
      </c>
      <c r="M221" s="368">
        <v>1350</v>
      </c>
      <c r="N221" s="448"/>
      <c r="O221" s="448"/>
      <c r="P221" s="368">
        <v>1350</v>
      </c>
      <c r="Q221" s="434" t="s">
        <v>1858</v>
      </c>
      <c r="R221" s="712" t="s">
        <v>1741</v>
      </c>
      <c r="S221" s="434" t="s">
        <v>1741</v>
      </c>
      <c r="T221" s="434" t="s">
        <v>1743</v>
      </c>
      <c r="U221" s="462"/>
      <c r="V221" s="462"/>
      <c r="W221" s="462"/>
      <c r="X221" s="462"/>
      <c r="Y221" s="145">
        <f t="shared" si="34"/>
        <v>1230</v>
      </c>
      <c r="Z221" s="145"/>
      <c r="AA221" s="145"/>
      <c r="AB221" s="370">
        <f t="shared" si="35"/>
        <v>1230</v>
      </c>
      <c r="AC221" s="370">
        <v>1230</v>
      </c>
      <c r="AD221" s="145"/>
      <c r="AE221" s="145"/>
      <c r="AF221" s="145">
        <f t="shared" si="36"/>
        <v>1230</v>
      </c>
      <c r="AG221" s="145"/>
      <c r="AH221" s="145"/>
      <c r="AI221" s="145">
        <f t="shared" si="37"/>
        <v>1230</v>
      </c>
      <c r="AJ221" s="145">
        <v>1230</v>
      </c>
      <c r="AK221" s="145"/>
      <c r="AL221" s="145"/>
      <c r="AM221" s="145"/>
      <c r="AN221" s="145"/>
      <c r="AO221" s="145"/>
      <c r="AP221" s="145"/>
      <c r="AQ221" s="145"/>
      <c r="AR221" s="145"/>
      <c r="AS221" s="145"/>
      <c r="AT221" s="145"/>
      <c r="AU221" s="145">
        <f t="shared" si="38"/>
        <v>0</v>
      </c>
      <c r="AV221" s="145"/>
      <c r="AW221" s="145"/>
      <c r="AX221" s="145">
        <f t="shared" si="39"/>
        <v>0</v>
      </c>
      <c r="AY221" s="145">
        <v>0</v>
      </c>
      <c r="AZ221" s="145"/>
      <c r="BA221" s="145"/>
      <c r="BB221" s="145"/>
      <c r="BC221" s="145"/>
      <c r="BD221" s="145"/>
      <c r="BE221" s="370"/>
      <c r="BF221" s="370"/>
      <c r="BG221" s="370"/>
      <c r="BH221" s="370"/>
      <c r="BI221" s="370"/>
      <c r="BJ221" s="370"/>
      <c r="BK221" s="370"/>
      <c r="BL221" s="370"/>
      <c r="BM221" s="145"/>
      <c r="BN221" s="370"/>
      <c r="BO221" s="370"/>
      <c r="BP221" s="370"/>
      <c r="BQ221" s="145"/>
      <c r="BR221" s="716"/>
      <c r="BS221" s="716"/>
      <c r="BT221" s="424"/>
    </row>
    <row r="222" spans="1:72" ht="30.75" outlineLevel="1">
      <c r="A222" s="438">
        <v>11</v>
      </c>
      <c r="B222" s="710" t="s">
        <v>1859</v>
      </c>
      <c r="C222" s="420" t="s">
        <v>1238</v>
      </c>
      <c r="D222" s="434" t="s">
        <v>1743</v>
      </c>
      <c r="E222" s="588" t="s">
        <v>49</v>
      </c>
      <c r="F222" s="588" t="s">
        <v>105</v>
      </c>
      <c r="G222" s="588">
        <v>7930057</v>
      </c>
      <c r="H222" s="712" t="s">
        <v>1748</v>
      </c>
      <c r="I222" s="422">
        <v>2022</v>
      </c>
      <c r="J222" s="424">
        <v>2023</v>
      </c>
      <c r="K222" s="420" t="s">
        <v>1375</v>
      </c>
      <c r="L222" s="420" t="s">
        <v>1860</v>
      </c>
      <c r="M222" s="368">
        <v>850</v>
      </c>
      <c r="N222" s="448"/>
      <c r="O222" s="448"/>
      <c r="P222" s="368">
        <v>850</v>
      </c>
      <c r="Q222" s="434" t="s">
        <v>1861</v>
      </c>
      <c r="R222" s="712" t="s">
        <v>1748</v>
      </c>
      <c r="S222" s="434" t="s">
        <v>1741</v>
      </c>
      <c r="T222" s="434" t="s">
        <v>1743</v>
      </c>
      <c r="U222" s="462"/>
      <c r="V222" s="462"/>
      <c r="W222" s="462"/>
      <c r="X222" s="462"/>
      <c r="Y222" s="145">
        <f t="shared" si="34"/>
        <v>850</v>
      </c>
      <c r="Z222" s="145"/>
      <c r="AA222" s="145"/>
      <c r="AB222" s="370">
        <f t="shared" si="35"/>
        <v>850</v>
      </c>
      <c r="AC222" s="370">
        <v>850</v>
      </c>
      <c r="AD222" s="145"/>
      <c r="AE222" s="145"/>
      <c r="AF222" s="145">
        <f t="shared" si="36"/>
        <v>850</v>
      </c>
      <c r="AG222" s="145"/>
      <c r="AH222" s="145"/>
      <c r="AI222" s="145">
        <f t="shared" si="37"/>
        <v>850</v>
      </c>
      <c r="AJ222" s="145">
        <v>850</v>
      </c>
      <c r="AK222" s="145"/>
      <c r="AL222" s="145"/>
      <c r="AM222" s="145"/>
      <c r="AN222" s="145"/>
      <c r="AO222" s="145"/>
      <c r="AP222" s="145"/>
      <c r="AQ222" s="145"/>
      <c r="AR222" s="145"/>
      <c r="AS222" s="145"/>
      <c r="AT222" s="145"/>
      <c r="AU222" s="145">
        <f t="shared" si="38"/>
        <v>0</v>
      </c>
      <c r="AV222" s="145"/>
      <c r="AW222" s="145"/>
      <c r="AX222" s="145">
        <f t="shared" si="39"/>
        <v>0</v>
      </c>
      <c r="AY222" s="145">
        <v>0</v>
      </c>
      <c r="AZ222" s="145"/>
      <c r="BA222" s="145"/>
      <c r="BB222" s="145"/>
      <c r="BC222" s="145"/>
      <c r="BD222" s="145"/>
      <c r="BE222" s="370"/>
      <c r="BF222" s="370"/>
      <c r="BG222" s="370"/>
      <c r="BH222" s="370"/>
      <c r="BI222" s="370"/>
      <c r="BJ222" s="370"/>
      <c r="BK222" s="370"/>
      <c r="BL222" s="370"/>
      <c r="BM222" s="145"/>
      <c r="BN222" s="370"/>
      <c r="BO222" s="370"/>
      <c r="BP222" s="370"/>
      <c r="BQ222" s="145"/>
      <c r="BR222" s="716"/>
      <c r="BS222" s="716"/>
      <c r="BT222" s="424"/>
    </row>
    <row r="223" spans="1:72" ht="61.5" outlineLevel="1">
      <c r="A223" s="438">
        <v>12</v>
      </c>
      <c r="B223" s="748" t="s">
        <v>1862</v>
      </c>
      <c r="C223" s="377" t="s">
        <v>1863</v>
      </c>
      <c r="D223" s="377" t="s">
        <v>1743</v>
      </c>
      <c r="E223" s="749" t="s">
        <v>49</v>
      </c>
      <c r="F223" s="377" t="s">
        <v>1495</v>
      </c>
      <c r="G223" s="588" t="s">
        <v>1864</v>
      </c>
      <c r="H223" s="750" t="s">
        <v>1764</v>
      </c>
      <c r="I223" s="753">
        <v>2024</v>
      </c>
      <c r="J223" s="753">
        <v>2024</v>
      </c>
      <c r="K223" s="750" t="s">
        <v>1865</v>
      </c>
      <c r="L223" s="750" t="s">
        <v>1866</v>
      </c>
      <c r="M223" s="369">
        <v>337.5</v>
      </c>
      <c r="N223" s="754"/>
      <c r="O223" s="754"/>
      <c r="P223" s="369">
        <v>337.5</v>
      </c>
      <c r="Q223" s="377"/>
      <c r="R223" s="750" t="s">
        <v>1764</v>
      </c>
      <c r="S223" s="377" t="s">
        <v>1741</v>
      </c>
      <c r="T223" s="377" t="s">
        <v>1743</v>
      </c>
      <c r="U223" s="369"/>
      <c r="V223" s="369"/>
      <c r="W223" s="369"/>
      <c r="X223" s="369"/>
      <c r="Y223" s="145">
        <f t="shared" si="34"/>
        <v>337.5</v>
      </c>
      <c r="Z223" s="145"/>
      <c r="AA223" s="145"/>
      <c r="AB223" s="370">
        <f t="shared" si="35"/>
        <v>337.5</v>
      </c>
      <c r="AC223" s="370">
        <v>337.5</v>
      </c>
      <c r="AD223" s="145"/>
      <c r="AE223" s="145"/>
      <c r="AF223" s="145">
        <f t="shared" si="36"/>
        <v>337.5</v>
      </c>
      <c r="AG223" s="145"/>
      <c r="AH223" s="145"/>
      <c r="AI223" s="145">
        <f t="shared" si="37"/>
        <v>337.5</v>
      </c>
      <c r="AJ223" s="145">
        <v>0</v>
      </c>
      <c r="AK223" s="145"/>
      <c r="AL223" s="145">
        <v>337.5</v>
      </c>
      <c r="AM223" s="145">
        <v>313.8</v>
      </c>
      <c r="AN223" s="145"/>
      <c r="AO223" s="145">
        <v>313.8</v>
      </c>
      <c r="AP223" s="145"/>
      <c r="AQ223" s="145"/>
      <c r="AR223" s="145"/>
      <c r="AS223" s="145"/>
      <c r="AT223" s="371">
        <v>313.8</v>
      </c>
      <c r="AU223" s="145">
        <f t="shared" si="38"/>
        <v>0</v>
      </c>
      <c r="AV223" s="145"/>
      <c r="AW223" s="145"/>
      <c r="AX223" s="145">
        <f t="shared" si="39"/>
        <v>0</v>
      </c>
      <c r="AY223" s="145">
        <v>0</v>
      </c>
      <c r="AZ223" s="145"/>
      <c r="BA223" s="145"/>
      <c r="BB223" s="145"/>
      <c r="BC223" s="145"/>
      <c r="BD223" s="145"/>
      <c r="BE223" s="370"/>
      <c r="BF223" s="370"/>
      <c r="BG223" s="370"/>
      <c r="BH223" s="370"/>
      <c r="BI223" s="370"/>
      <c r="BJ223" s="370"/>
      <c r="BK223" s="370"/>
      <c r="BL223" s="370"/>
      <c r="BM223" s="145"/>
      <c r="BN223" s="370"/>
      <c r="BO223" s="370"/>
      <c r="BP223" s="370"/>
      <c r="BQ223" s="145"/>
      <c r="BR223" s="372"/>
      <c r="BS223" s="372"/>
      <c r="BT223" s="372"/>
    </row>
    <row r="224" spans="1:72" ht="61.5" outlineLevel="1">
      <c r="A224" s="438">
        <v>13</v>
      </c>
      <c r="B224" s="710" t="s">
        <v>1767</v>
      </c>
      <c r="C224" s="377" t="s">
        <v>1660</v>
      </c>
      <c r="D224" s="377" t="s">
        <v>1743</v>
      </c>
      <c r="E224" s="377" t="s">
        <v>49</v>
      </c>
      <c r="F224" s="420" t="s">
        <v>105</v>
      </c>
      <c r="G224" s="420">
        <v>8040404</v>
      </c>
      <c r="H224" s="420" t="s">
        <v>1573</v>
      </c>
      <c r="I224" s="438" t="s">
        <v>56</v>
      </c>
      <c r="J224" s="422">
        <v>2023</v>
      </c>
      <c r="K224" s="420" t="s">
        <v>1867</v>
      </c>
      <c r="L224" s="420" t="s">
        <v>1771</v>
      </c>
      <c r="M224" s="368">
        <v>2030</v>
      </c>
      <c r="N224" s="711"/>
      <c r="O224" s="711"/>
      <c r="P224" s="368">
        <v>2030</v>
      </c>
      <c r="Q224" s="712" t="s">
        <v>1772</v>
      </c>
      <c r="R224" s="420" t="s">
        <v>1573</v>
      </c>
      <c r="S224" s="434" t="s">
        <v>1508</v>
      </c>
      <c r="T224" s="434" t="s">
        <v>1232</v>
      </c>
      <c r="U224" s="369"/>
      <c r="V224" s="369"/>
      <c r="W224" s="369"/>
      <c r="X224" s="369"/>
      <c r="Y224" s="145">
        <f>Z224+AA224+AB224</f>
        <v>2030</v>
      </c>
      <c r="Z224" s="145"/>
      <c r="AA224" s="145"/>
      <c r="AB224" s="370">
        <f>AC224+AD224+AE224</f>
        <v>2030</v>
      </c>
      <c r="AC224" s="370">
        <v>0</v>
      </c>
      <c r="AD224" s="145"/>
      <c r="AE224" s="145">
        <v>2030</v>
      </c>
      <c r="AF224" s="145">
        <f>AG224+AH224+AI224</f>
        <v>2030</v>
      </c>
      <c r="AG224" s="145"/>
      <c r="AH224" s="145"/>
      <c r="AI224" s="145">
        <f>AJ224+AK224+AL224</f>
        <v>2030</v>
      </c>
      <c r="AJ224" s="145">
        <v>0</v>
      </c>
      <c r="AK224" s="145"/>
      <c r="AL224" s="145">
        <v>2030</v>
      </c>
      <c r="AM224" s="145"/>
      <c r="AN224" s="145"/>
      <c r="AO224" s="145"/>
      <c r="AP224" s="145"/>
      <c r="AQ224" s="145"/>
      <c r="AR224" s="145"/>
      <c r="AS224" s="145"/>
      <c r="AT224" s="371"/>
      <c r="AU224" s="145">
        <f>AV224+AW224+AX224</f>
        <v>0</v>
      </c>
      <c r="AV224" s="145"/>
      <c r="AW224" s="145"/>
      <c r="AX224" s="145">
        <f>AY224+AZ224+BA224</f>
        <v>0</v>
      </c>
      <c r="AY224" s="145">
        <v>0</v>
      </c>
      <c r="AZ224" s="145"/>
      <c r="BA224" s="145"/>
      <c r="BB224" s="145"/>
      <c r="BC224" s="145"/>
      <c r="BD224" s="145"/>
      <c r="BE224" s="370"/>
      <c r="BF224" s="370"/>
      <c r="BG224" s="370"/>
      <c r="BH224" s="370"/>
      <c r="BI224" s="370"/>
      <c r="BJ224" s="370"/>
      <c r="BK224" s="370"/>
      <c r="BL224" s="370"/>
      <c r="BM224" s="145"/>
      <c r="BN224" s="370"/>
      <c r="BO224" s="370"/>
      <c r="BP224" s="145"/>
      <c r="BQ224" s="370"/>
      <c r="BR224" s="372"/>
      <c r="BS224" s="372"/>
      <c r="BT224" s="372"/>
    </row>
    <row r="225" spans="1:72" ht="30.75" outlineLevel="1">
      <c r="A225" s="438">
        <v>14</v>
      </c>
      <c r="B225" s="755" t="s">
        <v>1868</v>
      </c>
      <c r="C225" s="377" t="s">
        <v>1869</v>
      </c>
      <c r="D225" s="377" t="s">
        <v>1743</v>
      </c>
      <c r="E225" s="377" t="s">
        <v>49</v>
      </c>
      <c r="F225" s="438" t="s">
        <v>48</v>
      </c>
      <c r="G225" s="422">
        <v>7979042</v>
      </c>
      <c r="H225" s="434" t="s">
        <v>1748</v>
      </c>
      <c r="I225" s="438">
        <v>2022</v>
      </c>
      <c r="J225" s="422">
        <v>2022</v>
      </c>
      <c r="K225" s="420" t="s">
        <v>1521</v>
      </c>
      <c r="L225" s="585" t="s">
        <v>1870</v>
      </c>
      <c r="M225" s="368">
        <v>650</v>
      </c>
      <c r="N225" s="448"/>
      <c r="O225" s="448"/>
      <c r="P225" s="752">
        <v>650</v>
      </c>
      <c r="Q225" s="712" t="s">
        <v>1816</v>
      </c>
      <c r="R225" s="434" t="s">
        <v>1748</v>
      </c>
      <c r="S225" s="434" t="s">
        <v>1871</v>
      </c>
      <c r="T225" s="434" t="s">
        <v>1743</v>
      </c>
      <c r="U225" s="369"/>
      <c r="V225" s="369"/>
      <c r="W225" s="369"/>
      <c r="X225" s="369"/>
      <c r="Y225" s="145">
        <f t="shared" si="34"/>
        <v>650</v>
      </c>
      <c r="Z225" s="145"/>
      <c r="AA225" s="145"/>
      <c r="AB225" s="370">
        <f t="shared" si="35"/>
        <v>650</v>
      </c>
      <c r="AC225" s="370">
        <v>0</v>
      </c>
      <c r="AD225" s="145"/>
      <c r="AE225" s="145">
        <v>650</v>
      </c>
      <c r="AF225" s="145">
        <f t="shared" si="36"/>
        <v>650</v>
      </c>
      <c r="AG225" s="145"/>
      <c r="AH225" s="145"/>
      <c r="AI225" s="145">
        <f t="shared" si="37"/>
        <v>650</v>
      </c>
      <c r="AJ225" s="145">
        <v>0</v>
      </c>
      <c r="AK225" s="145"/>
      <c r="AL225" s="734">
        <v>650</v>
      </c>
      <c r="AM225" s="145"/>
      <c r="AN225" s="145"/>
      <c r="AO225" s="145"/>
      <c r="AP225" s="145"/>
      <c r="AQ225" s="145"/>
      <c r="AR225" s="145"/>
      <c r="AS225" s="145"/>
      <c r="AT225" s="371"/>
      <c r="AU225" s="145">
        <f t="shared" si="38"/>
        <v>0</v>
      </c>
      <c r="AV225" s="145"/>
      <c r="AW225" s="145"/>
      <c r="AX225" s="145">
        <f t="shared" si="39"/>
        <v>0</v>
      </c>
      <c r="AY225" s="145">
        <v>0</v>
      </c>
      <c r="AZ225" s="145"/>
      <c r="BA225" s="145"/>
      <c r="BB225" s="145"/>
      <c r="BC225" s="145"/>
      <c r="BD225" s="145"/>
      <c r="BE225" s="370"/>
      <c r="BF225" s="370"/>
      <c r="BG225" s="370"/>
      <c r="BH225" s="370"/>
      <c r="BI225" s="370"/>
      <c r="BJ225" s="370"/>
      <c r="BK225" s="370"/>
      <c r="BL225" s="370"/>
      <c r="BM225" s="145"/>
      <c r="BN225" s="370"/>
      <c r="BO225" s="370"/>
      <c r="BP225" s="145"/>
      <c r="BQ225" s="370"/>
      <c r="BR225" s="372"/>
      <c r="BS225" s="372"/>
      <c r="BT225" s="372"/>
    </row>
    <row r="226" spans="1:72" ht="30.75" outlineLevel="1">
      <c r="A226" s="438">
        <v>15</v>
      </c>
      <c r="B226" s="755" t="s">
        <v>1872</v>
      </c>
      <c r="C226" s="377" t="s">
        <v>1869</v>
      </c>
      <c r="D226" s="377" t="s">
        <v>1743</v>
      </c>
      <c r="E226" s="377" t="s">
        <v>49</v>
      </c>
      <c r="F226" s="438" t="s">
        <v>48</v>
      </c>
      <c r="G226" s="422">
        <v>7979043</v>
      </c>
      <c r="H226" s="434" t="s">
        <v>1748</v>
      </c>
      <c r="I226" s="438">
        <v>2022</v>
      </c>
      <c r="J226" s="422">
        <v>2022</v>
      </c>
      <c r="K226" s="420" t="s">
        <v>1521</v>
      </c>
      <c r="L226" s="736" t="s">
        <v>1873</v>
      </c>
      <c r="M226" s="368">
        <v>600</v>
      </c>
      <c r="N226" s="448"/>
      <c r="O226" s="448"/>
      <c r="P226" s="752">
        <v>600</v>
      </c>
      <c r="Q226" s="712" t="s">
        <v>1813</v>
      </c>
      <c r="R226" s="434" t="s">
        <v>1748</v>
      </c>
      <c r="S226" s="434" t="s">
        <v>1871</v>
      </c>
      <c r="T226" s="434" t="s">
        <v>1743</v>
      </c>
      <c r="U226" s="369"/>
      <c r="V226" s="369"/>
      <c r="W226" s="369"/>
      <c r="X226" s="369"/>
      <c r="Y226" s="145">
        <f t="shared" si="34"/>
        <v>600</v>
      </c>
      <c r="Z226" s="145"/>
      <c r="AA226" s="145"/>
      <c r="AB226" s="370">
        <f t="shared" si="35"/>
        <v>600</v>
      </c>
      <c r="AC226" s="370">
        <v>0</v>
      </c>
      <c r="AD226" s="145"/>
      <c r="AE226" s="145">
        <v>600</v>
      </c>
      <c r="AF226" s="145">
        <f t="shared" si="36"/>
        <v>600</v>
      </c>
      <c r="AG226" s="145"/>
      <c r="AH226" s="145"/>
      <c r="AI226" s="145">
        <f t="shared" si="37"/>
        <v>600</v>
      </c>
      <c r="AJ226" s="145">
        <v>0</v>
      </c>
      <c r="AK226" s="145"/>
      <c r="AL226" s="734">
        <v>600</v>
      </c>
      <c r="AM226" s="145"/>
      <c r="AN226" s="145"/>
      <c r="AO226" s="145"/>
      <c r="AP226" s="145"/>
      <c r="AQ226" s="145"/>
      <c r="AR226" s="145"/>
      <c r="AS226" s="145"/>
      <c r="AT226" s="371"/>
      <c r="AU226" s="145">
        <f t="shared" si="38"/>
        <v>0</v>
      </c>
      <c r="AV226" s="145"/>
      <c r="AW226" s="145"/>
      <c r="AX226" s="145">
        <f t="shared" si="39"/>
        <v>0</v>
      </c>
      <c r="AY226" s="145">
        <v>0</v>
      </c>
      <c r="AZ226" s="145"/>
      <c r="BA226" s="145"/>
      <c r="BB226" s="145"/>
      <c r="BC226" s="145"/>
      <c r="BD226" s="145"/>
      <c r="BE226" s="370"/>
      <c r="BF226" s="370"/>
      <c r="BG226" s="370"/>
      <c r="BH226" s="370"/>
      <c r="BI226" s="370"/>
      <c r="BJ226" s="370"/>
      <c r="BK226" s="370"/>
      <c r="BL226" s="370"/>
      <c r="BM226" s="145"/>
      <c r="BN226" s="370"/>
      <c r="BO226" s="370"/>
      <c r="BP226" s="145"/>
      <c r="BQ226" s="370"/>
      <c r="BR226" s="372"/>
      <c r="BS226" s="372"/>
      <c r="BT226" s="372"/>
    </row>
    <row r="227" spans="1:72" ht="30.75" outlineLevel="1">
      <c r="A227" s="438">
        <v>16</v>
      </c>
      <c r="B227" s="741" t="s">
        <v>1874</v>
      </c>
      <c r="C227" s="377" t="s">
        <v>1869</v>
      </c>
      <c r="D227" s="377" t="s">
        <v>1743</v>
      </c>
      <c r="E227" s="377" t="s">
        <v>49</v>
      </c>
      <c r="F227" s="588" t="s">
        <v>1282</v>
      </c>
      <c r="G227" s="588">
        <v>7939030</v>
      </c>
      <c r="H227" s="742" t="s">
        <v>1748</v>
      </c>
      <c r="I227" s="438">
        <v>2022</v>
      </c>
      <c r="J227" s="422">
        <v>2022</v>
      </c>
      <c r="K227" s="420" t="s">
        <v>1521</v>
      </c>
      <c r="L227" s="438" t="s">
        <v>1875</v>
      </c>
      <c r="M227" s="368">
        <v>220</v>
      </c>
      <c r="N227" s="448"/>
      <c r="O227" s="448"/>
      <c r="P227" s="368">
        <v>220</v>
      </c>
      <c r="Q227" s="712" t="s">
        <v>1876</v>
      </c>
      <c r="R227" s="742" t="s">
        <v>1748</v>
      </c>
      <c r="S227" s="434" t="s">
        <v>1871</v>
      </c>
      <c r="T227" s="434" t="s">
        <v>1743</v>
      </c>
      <c r="U227" s="369"/>
      <c r="V227" s="369"/>
      <c r="W227" s="369"/>
      <c r="X227" s="369"/>
      <c r="Y227" s="145">
        <f t="shared" si="34"/>
        <v>220</v>
      </c>
      <c r="Z227" s="145"/>
      <c r="AA227" s="145"/>
      <c r="AB227" s="370">
        <f t="shared" si="35"/>
        <v>220</v>
      </c>
      <c r="AC227" s="370">
        <v>0</v>
      </c>
      <c r="AD227" s="145"/>
      <c r="AE227" s="145">
        <v>220</v>
      </c>
      <c r="AF227" s="145">
        <f t="shared" si="36"/>
        <v>220</v>
      </c>
      <c r="AG227" s="145"/>
      <c r="AH227" s="145"/>
      <c r="AI227" s="145">
        <f t="shared" si="37"/>
        <v>220</v>
      </c>
      <c r="AJ227" s="145">
        <v>0</v>
      </c>
      <c r="AK227" s="145"/>
      <c r="AL227" s="370">
        <v>220</v>
      </c>
      <c r="AM227" s="145"/>
      <c r="AN227" s="145"/>
      <c r="AO227" s="145"/>
      <c r="AP227" s="145"/>
      <c r="AQ227" s="145"/>
      <c r="AR227" s="145"/>
      <c r="AS227" s="145"/>
      <c r="AT227" s="371"/>
      <c r="AU227" s="145">
        <f t="shared" si="38"/>
        <v>0</v>
      </c>
      <c r="AV227" s="145"/>
      <c r="AW227" s="145"/>
      <c r="AX227" s="145">
        <f t="shared" si="39"/>
        <v>0</v>
      </c>
      <c r="AY227" s="145">
        <v>0</v>
      </c>
      <c r="AZ227" s="145"/>
      <c r="BA227" s="145"/>
      <c r="BB227" s="145"/>
      <c r="BC227" s="145"/>
      <c r="BD227" s="145"/>
      <c r="BE227" s="370"/>
      <c r="BF227" s="370"/>
      <c r="BG227" s="370"/>
      <c r="BH227" s="370"/>
      <c r="BI227" s="370"/>
      <c r="BJ227" s="370"/>
      <c r="BK227" s="370"/>
      <c r="BL227" s="370"/>
      <c r="BM227" s="145"/>
      <c r="BN227" s="370"/>
      <c r="BO227" s="370"/>
      <c r="BP227" s="145"/>
      <c r="BQ227" s="370"/>
      <c r="BR227" s="372"/>
      <c r="BS227" s="372"/>
      <c r="BT227" s="372"/>
    </row>
    <row r="228" spans="1:72" ht="30.75" outlineLevel="1">
      <c r="A228" s="438">
        <v>17</v>
      </c>
      <c r="B228" s="756" t="s">
        <v>1790</v>
      </c>
      <c r="C228" s="377" t="s">
        <v>1743</v>
      </c>
      <c r="D228" s="377" t="s">
        <v>1743</v>
      </c>
      <c r="E228" s="377" t="s">
        <v>49</v>
      </c>
      <c r="F228" s="588" t="s">
        <v>48</v>
      </c>
      <c r="G228" s="420">
        <v>7994270</v>
      </c>
      <c r="H228" s="742" t="s">
        <v>1741</v>
      </c>
      <c r="I228" s="745" t="s">
        <v>76</v>
      </c>
      <c r="J228" s="422">
        <v>2022</v>
      </c>
      <c r="K228" s="420" t="s">
        <v>1521</v>
      </c>
      <c r="L228" s="438" t="s">
        <v>1791</v>
      </c>
      <c r="M228" s="370">
        <v>2200</v>
      </c>
      <c r="N228" s="448"/>
      <c r="O228" s="448"/>
      <c r="P228" s="448">
        <v>2200</v>
      </c>
      <c r="Q228" s="434" t="s">
        <v>1792</v>
      </c>
      <c r="R228" s="742" t="s">
        <v>1741</v>
      </c>
      <c r="S228" s="434" t="s">
        <v>1871</v>
      </c>
      <c r="T228" s="434" t="s">
        <v>1743</v>
      </c>
      <c r="U228" s="369"/>
      <c r="V228" s="369"/>
      <c r="W228" s="369"/>
      <c r="X228" s="369"/>
      <c r="Y228" s="145">
        <f t="shared" si="34"/>
        <v>2200</v>
      </c>
      <c r="Z228" s="145"/>
      <c r="AA228" s="145"/>
      <c r="AB228" s="370">
        <f t="shared" si="35"/>
        <v>2200</v>
      </c>
      <c r="AC228" s="370">
        <v>0</v>
      </c>
      <c r="AD228" s="145"/>
      <c r="AE228" s="145">
        <v>2200</v>
      </c>
      <c r="AF228" s="145">
        <f t="shared" si="36"/>
        <v>2200</v>
      </c>
      <c r="AG228" s="145"/>
      <c r="AH228" s="145"/>
      <c r="AI228" s="145">
        <f t="shared" si="37"/>
        <v>2200</v>
      </c>
      <c r="AJ228" s="145">
        <v>0</v>
      </c>
      <c r="AK228" s="145"/>
      <c r="AL228" s="370">
        <v>2200</v>
      </c>
      <c r="AM228" s="145"/>
      <c r="AN228" s="145"/>
      <c r="AO228" s="145"/>
      <c r="AP228" s="145"/>
      <c r="AQ228" s="145"/>
      <c r="AR228" s="145"/>
      <c r="AS228" s="145"/>
      <c r="AT228" s="371"/>
      <c r="AU228" s="145">
        <f t="shared" si="38"/>
        <v>0</v>
      </c>
      <c r="AV228" s="145"/>
      <c r="AW228" s="145"/>
      <c r="AX228" s="145">
        <f t="shared" si="39"/>
        <v>0</v>
      </c>
      <c r="AY228" s="145">
        <v>0</v>
      </c>
      <c r="AZ228" s="145"/>
      <c r="BA228" s="145"/>
      <c r="BB228" s="145"/>
      <c r="BC228" s="145"/>
      <c r="BD228" s="145"/>
      <c r="BE228" s="370"/>
      <c r="BF228" s="370"/>
      <c r="BG228" s="370"/>
      <c r="BH228" s="370"/>
      <c r="BI228" s="370"/>
      <c r="BJ228" s="370"/>
      <c r="BK228" s="370"/>
      <c r="BL228" s="370"/>
      <c r="BM228" s="145"/>
      <c r="BN228" s="370"/>
      <c r="BO228" s="370"/>
      <c r="BP228" s="145"/>
      <c r="BQ228" s="370"/>
      <c r="BR228" s="372"/>
      <c r="BS228" s="372"/>
      <c r="BT228" s="372"/>
    </row>
    <row r="229" spans="1:72" ht="30.75" outlineLevel="1">
      <c r="A229" s="438">
        <v>18</v>
      </c>
      <c r="B229" s="756" t="s">
        <v>1787</v>
      </c>
      <c r="C229" s="377" t="s">
        <v>1743</v>
      </c>
      <c r="D229" s="377" t="s">
        <v>1743</v>
      </c>
      <c r="E229" s="377" t="s">
        <v>49</v>
      </c>
      <c r="F229" s="588" t="s">
        <v>1282</v>
      </c>
      <c r="G229" s="422">
        <v>7978089</v>
      </c>
      <c r="H229" s="742" t="s">
        <v>1741</v>
      </c>
      <c r="I229" s="745" t="s">
        <v>76</v>
      </c>
      <c r="J229" s="422">
        <v>2022</v>
      </c>
      <c r="K229" s="420" t="s">
        <v>1521</v>
      </c>
      <c r="L229" s="420" t="s">
        <v>1788</v>
      </c>
      <c r="M229" s="371">
        <v>1000</v>
      </c>
      <c r="N229" s="448"/>
      <c r="O229" s="448"/>
      <c r="P229" s="448">
        <v>1000</v>
      </c>
      <c r="Q229" s="434" t="s">
        <v>1789</v>
      </c>
      <c r="R229" s="742" t="s">
        <v>1741</v>
      </c>
      <c r="S229" s="434" t="s">
        <v>1871</v>
      </c>
      <c r="T229" s="434" t="s">
        <v>1743</v>
      </c>
      <c r="U229" s="369"/>
      <c r="V229" s="369"/>
      <c r="W229" s="369"/>
      <c r="X229" s="369"/>
      <c r="Y229" s="145">
        <f t="shared" si="34"/>
        <v>1000</v>
      </c>
      <c r="Z229" s="145"/>
      <c r="AA229" s="145"/>
      <c r="AB229" s="370">
        <f t="shared" si="35"/>
        <v>1000</v>
      </c>
      <c r="AC229" s="370">
        <v>0</v>
      </c>
      <c r="AD229" s="145"/>
      <c r="AE229" s="145">
        <v>1000</v>
      </c>
      <c r="AF229" s="145">
        <f t="shared" si="36"/>
        <v>1000</v>
      </c>
      <c r="AG229" s="145"/>
      <c r="AH229" s="145"/>
      <c r="AI229" s="145">
        <f t="shared" si="37"/>
        <v>1000</v>
      </c>
      <c r="AJ229" s="145">
        <v>0</v>
      </c>
      <c r="AK229" s="145"/>
      <c r="AL229" s="370">
        <v>1000</v>
      </c>
      <c r="AM229" s="145"/>
      <c r="AN229" s="145"/>
      <c r="AO229" s="145"/>
      <c r="AP229" s="145"/>
      <c r="AQ229" s="145"/>
      <c r="AR229" s="145"/>
      <c r="AS229" s="145"/>
      <c r="AT229" s="371"/>
      <c r="AU229" s="145">
        <f t="shared" si="38"/>
        <v>0</v>
      </c>
      <c r="AV229" s="145"/>
      <c r="AW229" s="145"/>
      <c r="AX229" s="145">
        <f t="shared" si="39"/>
        <v>0</v>
      </c>
      <c r="AY229" s="145">
        <v>0</v>
      </c>
      <c r="AZ229" s="145"/>
      <c r="BA229" s="145"/>
      <c r="BB229" s="145"/>
      <c r="BC229" s="145"/>
      <c r="BD229" s="145"/>
      <c r="BE229" s="370"/>
      <c r="BF229" s="370"/>
      <c r="BG229" s="370"/>
      <c r="BH229" s="370"/>
      <c r="BI229" s="370"/>
      <c r="BJ229" s="370"/>
      <c r="BK229" s="370"/>
      <c r="BL229" s="370"/>
      <c r="BM229" s="145"/>
      <c r="BN229" s="370"/>
      <c r="BO229" s="370"/>
      <c r="BP229" s="145"/>
      <c r="BQ229" s="370"/>
      <c r="BR229" s="372"/>
      <c r="BS229" s="372"/>
      <c r="BT229" s="372"/>
    </row>
    <row r="230" spans="1:72" ht="30.75" outlineLevel="1">
      <c r="A230" s="438">
        <v>19</v>
      </c>
      <c r="B230" s="756" t="s">
        <v>1877</v>
      </c>
      <c r="C230" s="377" t="s">
        <v>1743</v>
      </c>
      <c r="D230" s="377" t="s">
        <v>1743</v>
      </c>
      <c r="E230" s="377" t="s">
        <v>49</v>
      </c>
      <c r="F230" s="438" t="s">
        <v>1878</v>
      </c>
      <c r="G230" s="438">
        <v>7978723</v>
      </c>
      <c r="H230" s="742" t="s">
        <v>1741</v>
      </c>
      <c r="I230" s="438" t="s">
        <v>76</v>
      </c>
      <c r="J230" s="424">
        <v>2022</v>
      </c>
      <c r="K230" s="420" t="s">
        <v>1722</v>
      </c>
      <c r="L230" s="438" t="s">
        <v>1785</v>
      </c>
      <c r="M230" s="368">
        <v>500</v>
      </c>
      <c r="N230" s="448"/>
      <c r="O230" s="448"/>
      <c r="P230" s="368">
        <v>500</v>
      </c>
      <c r="Q230" s="712" t="s">
        <v>1786</v>
      </c>
      <c r="R230" s="742" t="s">
        <v>1741</v>
      </c>
      <c r="S230" s="434" t="s">
        <v>1871</v>
      </c>
      <c r="T230" s="434" t="s">
        <v>1743</v>
      </c>
      <c r="U230" s="369"/>
      <c r="V230" s="369"/>
      <c r="W230" s="369"/>
      <c r="X230" s="369"/>
      <c r="Y230" s="145">
        <f t="shared" si="34"/>
        <v>500</v>
      </c>
      <c r="Z230" s="145"/>
      <c r="AA230" s="145"/>
      <c r="AB230" s="370">
        <f t="shared" si="35"/>
        <v>500</v>
      </c>
      <c r="AC230" s="370">
        <v>0</v>
      </c>
      <c r="AD230" s="145"/>
      <c r="AE230" s="145">
        <v>500</v>
      </c>
      <c r="AF230" s="145">
        <f t="shared" si="36"/>
        <v>500</v>
      </c>
      <c r="AG230" s="145"/>
      <c r="AH230" s="145"/>
      <c r="AI230" s="145">
        <f t="shared" si="37"/>
        <v>500</v>
      </c>
      <c r="AJ230" s="145">
        <v>0</v>
      </c>
      <c r="AK230" s="145"/>
      <c r="AL230" s="370">
        <v>500</v>
      </c>
      <c r="AM230" s="145"/>
      <c r="AN230" s="145"/>
      <c r="AO230" s="145"/>
      <c r="AP230" s="145"/>
      <c r="AQ230" s="145"/>
      <c r="AR230" s="145"/>
      <c r="AS230" s="145"/>
      <c r="AT230" s="371"/>
      <c r="AU230" s="145">
        <f t="shared" si="38"/>
        <v>0</v>
      </c>
      <c r="AV230" s="145"/>
      <c r="AW230" s="145"/>
      <c r="AX230" s="145">
        <f t="shared" si="39"/>
        <v>0</v>
      </c>
      <c r="AY230" s="145">
        <v>0</v>
      </c>
      <c r="AZ230" s="145"/>
      <c r="BA230" s="145"/>
      <c r="BB230" s="145"/>
      <c r="BC230" s="145"/>
      <c r="BD230" s="145"/>
      <c r="BE230" s="370"/>
      <c r="BF230" s="370"/>
      <c r="BG230" s="370"/>
      <c r="BH230" s="370"/>
      <c r="BI230" s="370"/>
      <c r="BJ230" s="370"/>
      <c r="BK230" s="370"/>
      <c r="BL230" s="370"/>
      <c r="BM230" s="145"/>
      <c r="BN230" s="370"/>
      <c r="BO230" s="370"/>
      <c r="BP230" s="145"/>
      <c r="BQ230" s="370"/>
      <c r="BR230" s="372"/>
      <c r="BS230" s="372"/>
      <c r="BT230" s="372"/>
    </row>
    <row r="231" spans="1:72" ht="30.75" outlineLevel="1">
      <c r="A231" s="438">
        <v>20</v>
      </c>
      <c r="B231" s="741" t="s">
        <v>1879</v>
      </c>
      <c r="C231" s="377" t="s">
        <v>194</v>
      </c>
      <c r="D231" s="377" t="s">
        <v>1743</v>
      </c>
      <c r="E231" s="377" t="s">
        <v>49</v>
      </c>
      <c r="F231" s="588" t="s">
        <v>1035</v>
      </c>
      <c r="G231" s="588">
        <v>7939765</v>
      </c>
      <c r="H231" s="712" t="s">
        <v>1748</v>
      </c>
      <c r="I231" s="588">
        <v>2022</v>
      </c>
      <c r="J231" s="424">
        <v>2022</v>
      </c>
      <c r="K231" s="421" t="s">
        <v>1286</v>
      </c>
      <c r="L231" s="420" t="s">
        <v>1880</v>
      </c>
      <c r="M231" s="368">
        <v>1200</v>
      </c>
      <c r="N231" s="448"/>
      <c r="O231" s="448"/>
      <c r="P231" s="368">
        <v>1200</v>
      </c>
      <c r="Q231" s="712"/>
      <c r="R231" s="712" t="s">
        <v>1748</v>
      </c>
      <c r="S231" s="434" t="s">
        <v>1871</v>
      </c>
      <c r="T231" s="434" t="s">
        <v>1743</v>
      </c>
      <c r="U231" s="369"/>
      <c r="V231" s="369"/>
      <c r="W231" s="369"/>
      <c r="X231" s="369"/>
      <c r="Y231" s="145">
        <f t="shared" si="34"/>
        <v>1120</v>
      </c>
      <c r="Z231" s="145"/>
      <c r="AA231" s="145"/>
      <c r="AB231" s="370">
        <f t="shared" si="35"/>
        <v>1120</v>
      </c>
      <c r="AC231" s="370">
        <v>0</v>
      </c>
      <c r="AD231" s="145"/>
      <c r="AE231" s="145">
        <v>1120</v>
      </c>
      <c r="AF231" s="145">
        <f t="shared" si="36"/>
        <v>1120</v>
      </c>
      <c r="AG231" s="145"/>
      <c r="AH231" s="145"/>
      <c r="AI231" s="145">
        <f t="shared" si="37"/>
        <v>1120</v>
      </c>
      <c r="AJ231" s="145">
        <v>0</v>
      </c>
      <c r="AK231" s="145"/>
      <c r="AL231" s="145">
        <v>1120</v>
      </c>
      <c r="AM231" s="145"/>
      <c r="AN231" s="145"/>
      <c r="AO231" s="145"/>
      <c r="AP231" s="145"/>
      <c r="AQ231" s="145"/>
      <c r="AR231" s="145"/>
      <c r="AS231" s="145"/>
      <c r="AT231" s="371"/>
      <c r="AU231" s="145">
        <f t="shared" si="38"/>
        <v>0</v>
      </c>
      <c r="AV231" s="145"/>
      <c r="AW231" s="145"/>
      <c r="AX231" s="145">
        <f t="shared" si="39"/>
        <v>0</v>
      </c>
      <c r="AY231" s="145">
        <v>0</v>
      </c>
      <c r="AZ231" s="145"/>
      <c r="BA231" s="145"/>
      <c r="BB231" s="145"/>
      <c r="BC231" s="145"/>
      <c r="BD231" s="145"/>
      <c r="BE231" s="370"/>
      <c r="BF231" s="370"/>
      <c r="BG231" s="370"/>
      <c r="BH231" s="370"/>
      <c r="BI231" s="370"/>
      <c r="BJ231" s="370"/>
      <c r="BK231" s="370"/>
      <c r="BL231" s="370"/>
      <c r="BM231" s="145"/>
      <c r="BN231" s="370"/>
      <c r="BO231" s="370"/>
      <c r="BP231" s="145"/>
      <c r="BQ231" s="370"/>
      <c r="BR231" s="372"/>
      <c r="BS231" s="372"/>
      <c r="BT231" s="372"/>
    </row>
    <row r="232" spans="1:72" ht="30.75" outlineLevel="1">
      <c r="A232" s="438">
        <v>21</v>
      </c>
      <c r="B232" s="741" t="s">
        <v>1881</v>
      </c>
      <c r="C232" s="377" t="s">
        <v>194</v>
      </c>
      <c r="D232" s="377" t="s">
        <v>1743</v>
      </c>
      <c r="E232" s="377" t="s">
        <v>49</v>
      </c>
      <c r="F232" s="588" t="s">
        <v>1282</v>
      </c>
      <c r="G232" s="588">
        <v>7939766</v>
      </c>
      <c r="H232" s="712" t="s">
        <v>1741</v>
      </c>
      <c r="I232" s="588">
        <v>2022</v>
      </c>
      <c r="J232" s="424">
        <v>2022</v>
      </c>
      <c r="K232" s="421" t="s">
        <v>1286</v>
      </c>
      <c r="L232" s="420" t="s">
        <v>1882</v>
      </c>
      <c r="M232" s="368">
        <v>1100</v>
      </c>
      <c r="N232" s="448"/>
      <c r="O232" s="448"/>
      <c r="P232" s="368">
        <v>1100</v>
      </c>
      <c r="Q232" s="712"/>
      <c r="R232" s="712" t="s">
        <v>1741</v>
      </c>
      <c r="S232" s="434" t="s">
        <v>1871</v>
      </c>
      <c r="T232" s="434" t="s">
        <v>1743</v>
      </c>
      <c r="U232" s="369"/>
      <c r="V232" s="369"/>
      <c r="W232" s="369"/>
      <c r="X232" s="369"/>
      <c r="Y232" s="145">
        <f t="shared" si="34"/>
        <v>1100</v>
      </c>
      <c r="Z232" s="145"/>
      <c r="AA232" s="145"/>
      <c r="AB232" s="370">
        <f t="shared" si="35"/>
        <v>1100</v>
      </c>
      <c r="AC232" s="370">
        <v>0</v>
      </c>
      <c r="AD232" s="145"/>
      <c r="AE232" s="145">
        <v>1100</v>
      </c>
      <c r="AF232" s="145">
        <f t="shared" si="36"/>
        <v>1100</v>
      </c>
      <c r="AG232" s="145"/>
      <c r="AH232" s="145"/>
      <c r="AI232" s="145">
        <f t="shared" si="37"/>
        <v>1100</v>
      </c>
      <c r="AJ232" s="145">
        <v>0</v>
      </c>
      <c r="AK232" s="145"/>
      <c r="AL232" s="145">
        <v>1100</v>
      </c>
      <c r="AM232" s="145"/>
      <c r="AN232" s="145"/>
      <c r="AO232" s="145"/>
      <c r="AP232" s="145"/>
      <c r="AQ232" s="145"/>
      <c r="AR232" s="145"/>
      <c r="AS232" s="145"/>
      <c r="AT232" s="371"/>
      <c r="AU232" s="145">
        <f t="shared" si="38"/>
        <v>0</v>
      </c>
      <c r="AV232" s="145"/>
      <c r="AW232" s="145"/>
      <c r="AX232" s="145">
        <f t="shared" si="39"/>
        <v>0</v>
      </c>
      <c r="AY232" s="145">
        <v>0</v>
      </c>
      <c r="AZ232" s="145"/>
      <c r="BA232" s="145"/>
      <c r="BB232" s="145"/>
      <c r="BC232" s="145"/>
      <c r="BD232" s="145"/>
      <c r="BE232" s="370"/>
      <c r="BF232" s="370"/>
      <c r="BG232" s="370"/>
      <c r="BH232" s="370"/>
      <c r="BI232" s="370"/>
      <c r="BJ232" s="370"/>
      <c r="BK232" s="370"/>
      <c r="BL232" s="370"/>
      <c r="BM232" s="145"/>
      <c r="BN232" s="370"/>
      <c r="BO232" s="370"/>
      <c r="BP232" s="145"/>
      <c r="BQ232" s="370"/>
      <c r="BR232" s="372"/>
      <c r="BS232" s="372"/>
      <c r="BT232" s="372"/>
    </row>
    <row r="233" spans="1:72" ht="30.75" outlineLevel="1">
      <c r="A233" s="438">
        <v>22</v>
      </c>
      <c r="B233" s="741" t="s">
        <v>1883</v>
      </c>
      <c r="C233" s="377" t="s">
        <v>1863</v>
      </c>
      <c r="D233" s="377" t="s">
        <v>1743</v>
      </c>
      <c r="E233" s="377" t="s">
        <v>49</v>
      </c>
      <c r="F233" s="431" t="s">
        <v>48</v>
      </c>
      <c r="G233" s="422">
        <v>7983406</v>
      </c>
      <c r="H233" s="420" t="s">
        <v>1764</v>
      </c>
      <c r="I233" s="422">
        <v>2023</v>
      </c>
      <c r="J233" s="422">
        <v>2022</v>
      </c>
      <c r="K233" s="420" t="s">
        <v>1521</v>
      </c>
      <c r="L233" s="420" t="s">
        <v>1884</v>
      </c>
      <c r="M233" s="368">
        <v>600</v>
      </c>
      <c r="N233" s="711"/>
      <c r="O233" s="711"/>
      <c r="P233" s="145">
        <v>600</v>
      </c>
      <c r="Q233" s="712"/>
      <c r="R233" s="420" t="s">
        <v>1764</v>
      </c>
      <c r="S233" s="434" t="s">
        <v>1871</v>
      </c>
      <c r="T233" s="434" t="s">
        <v>1743</v>
      </c>
      <c r="U233" s="369"/>
      <c r="V233" s="369"/>
      <c r="W233" s="369"/>
      <c r="X233" s="369"/>
      <c r="Y233" s="145">
        <f t="shared" si="34"/>
        <v>600</v>
      </c>
      <c r="Z233" s="145"/>
      <c r="AA233" s="145"/>
      <c r="AB233" s="370">
        <f t="shared" si="35"/>
        <v>600</v>
      </c>
      <c r="AC233" s="370">
        <v>0</v>
      </c>
      <c r="AD233" s="145"/>
      <c r="AE233" s="145">
        <v>600</v>
      </c>
      <c r="AF233" s="145">
        <f t="shared" si="36"/>
        <v>600</v>
      </c>
      <c r="AG233" s="145"/>
      <c r="AH233" s="145"/>
      <c r="AI233" s="145">
        <f t="shared" si="37"/>
        <v>600</v>
      </c>
      <c r="AJ233" s="145">
        <v>0</v>
      </c>
      <c r="AK233" s="145"/>
      <c r="AL233" s="145">
        <v>600</v>
      </c>
      <c r="AM233" s="145"/>
      <c r="AN233" s="145"/>
      <c r="AO233" s="145"/>
      <c r="AP233" s="145"/>
      <c r="AQ233" s="145"/>
      <c r="AR233" s="145"/>
      <c r="AS233" s="145"/>
      <c r="AT233" s="371"/>
      <c r="AU233" s="145">
        <f t="shared" si="38"/>
        <v>0</v>
      </c>
      <c r="AV233" s="145"/>
      <c r="AW233" s="145"/>
      <c r="AX233" s="145">
        <f t="shared" si="39"/>
        <v>0</v>
      </c>
      <c r="AY233" s="145">
        <v>0</v>
      </c>
      <c r="AZ233" s="145"/>
      <c r="BA233" s="145"/>
      <c r="BB233" s="145"/>
      <c r="BC233" s="145"/>
      <c r="BD233" s="145"/>
      <c r="BE233" s="370"/>
      <c r="BF233" s="370"/>
      <c r="BG233" s="370"/>
      <c r="BH233" s="370"/>
      <c r="BI233" s="370"/>
      <c r="BJ233" s="370"/>
      <c r="BK233" s="370"/>
      <c r="BL233" s="370"/>
      <c r="BM233" s="145"/>
      <c r="BN233" s="370"/>
      <c r="BO233" s="370"/>
      <c r="BP233" s="145"/>
      <c r="BQ233" s="370"/>
      <c r="BR233" s="372"/>
      <c r="BS233" s="372"/>
      <c r="BT233" s="372"/>
    </row>
    <row r="234" spans="1:72" ht="30.75" outlineLevel="1">
      <c r="A234" s="438">
        <v>23</v>
      </c>
      <c r="B234" s="710" t="s">
        <v>1885</v>
      </c>
      <c r="C234" s="377" t="s">
        <v>1863</v>
      </c>
      <c r="D234" s="377" t="s">
        <v>1743</v>
      </c>
      <c r="E234" s="377" t="s">
        <v>49</v>
      </c>
      <c r="F234" s="431" t="s">
        <v>48</v>
      </c>
      <c r="G234" s="422">
        <v>7983407</v>
      </c>
      <c r="H234" s="420" t="s">
        <v>1764</v>
      </c>
      <c r="I234" s="422">
        <v>2023</v>
      </c>
      <c r="J234" s="422">
        <v>2022</v>
      </c>
      <c r="K234" s="420" t="s">
        <v>1521</v>
      </c>
      <c r="L234" s="420" t="s">
        <v>1886</v>
      </c>
      <c r="M234" s="368">
        <v>1500</v>
      </c>
      <c r="N234" s="711"/>
      <c r="O234" s="711"/>
      <c r="P234" s="145">
        <v>1500</v>
      </c>
      <c r="Q234" s="712"/>
      <c r="R234" s="420" t="s">
        <v>1764</v>
      </c>
      <c r="S234" s="434" t="s">
        <v>1871</v>
      </c>
      <c r="T234" s="434" t="s">
        <v>1743</v>
      </c>
      <c r="U234" s="369"/>
      <c r="V234" s="369"/>
      <c r="W234" s="369"/>
      <c r="X234" s="369"/>
      <c r="Y234" s="145">
        <f t="shared" si="34"/>
        <v>1500</v>
      </c>
      <c r="Z234" s="145"/>
      <c r="AA234" s="145"/>
      <c r="AB234" s="370">
        <f t="shared" si="35"/>
        <v>1500</v>
      </c>
      <c r="AC234" s="370">
        <v>0</v>
      </c>
      <c r="AD234" s="145"/>
      <c r="AE234" s="145">
        <v>1500</v>
      </c>
      <c r="AF234" s="145">
        <f t="shared" si="36"/>
        <v>1500</v>
      </c>
      <c r="AG234" s="145"/>
      <c r="AH234" s="145"/>
      <c r="AI234" s="145">
        <f t="shared" si="37"/>
        <v>1500</v>
      </c>
      <c r="AJ234" s="145">
        <v>0</v>
      </c>
      <c r="AK234" s="145"/>
      <c r="AL234" s="145">
        <v>1500</v>
      </c>
      <c r="AM234" s="145"/>
      <c r="AN234" s="145"/>
      <c r="AO234" s="145"/>
      <c r="AP234" s="145"/>
      <c r="AQ234" s="145"/>
      <c r="AR234" s="145"/>
      <c r="AS234" s="145"/>
      <c r="AT234" s="371"/>
      <c r="AU234" s="145">
        <f t="shared" si="38"/>
        <v>0</v>
      </c>
      <c r="AV234" s="145"/>
      <c r="AW234" s="145"/>
      <c r="AX234" s="145">
        <f t="shared" si="39"/>
        <v>0</v>
      </c>
      <c r="AY234" s="145">
        <v>0</v>
      </c>
      <c r="AZ234" s="145"/>
      <c r="BA234" s="145"/>
      <c r="BB234" s="145"/>
      <c r="BC234" s="145"/>
      <c r="BD234" s="145"/>
      <c r="BE234" s="370"/>
      <c r="BF234" s="370"/>
      <c r="BG234" s="370"/>
      <c r="BH234" s="370"/>
      <c r="BI234" s="370"/>
      <c r="BJ234" s="370"/>
      <c r="BK234" s="370"/>
      <c r="BL234" s="370"/>
      <c r="BM234" s="145"/>
      <c r="BN234" s="370"/>
      <c r="BO234" s="370"/>
      <c r="BP234" s="145"/>
      <c r="BQ234" s="370"/>
      <c r="BR234" s="372"/>
      <c r="BS234" s="372"/>
      <c r="BT234" s="372"/>
    </row>
    <row r="235" spans="1:72" ht="30.75" outlineLevel="1">
      <c r="A235" s="438">
        <v>24</v>
      </c>
      <c r="B235" s="741" t="s">
        <v>1887</v>
      </c>
      <c r="C235" s="377" t="s">
        <v>1863</v>
      </c>
      <c r="D235" s="377" t="s">
        <v>1743</v>
      </c>
      <c r="E235" s="377" t="s">
        <v>49</v>
      </c>
      <c r="F235" s="420" t="s">
        <v>1282</v>
      </c>
      <c r="G235" s="420">
        <v>7983405</v>
      </c>
      <c r="H235" s="420" t="s">
        <v>1764</v>
      </c>
      <c r="I235" s="420">
        <v>2025</v>
      </c>
      <c r="J235" s="422">
        <v>2022</v>
      </c>
      <c r="K235" s="420" t="s">
        <v>1521</v>
      </c>
      <c r="L235" s="420" t="s">
        <v>1888</v>
      </c>
      <c r="M235" s="368">
        <v>1421</v>
      </c>
      <c r="N235" s="711"/>
      <c r="O235" s="711"/>
      <c r="P235" s="145">
        <v>1421</v>
      </c>
      <c r="Q235" s="712"/>
      <c r="R235" s="420" t="s">
        <v>1764</v>
      </c>
      <c r="S235" s="434" t="s">
        <v>1871</v>
      </c>
      <c r="T235" s="434" t="s">
        <v>1743</v>
      </c>
      <c r="U235" s="369"/>
      <c r="V235" s="369"/>
      <c r="W235" s="369"/>
      <c r="X235" s="369"/>
      <c r="Y235" s="145">
        <f t="shared" si="34"/>
        <v>1400</v>
      </c>
      <c r="Z235" s="145"/>
      <c r="AA235" s="145"/>
      <c r="AB235" s="370">
        <f t="shared" si="35"/>
        <v>1400</v>
      </c>
      <c r="AC235" s="370">
        <v>0</v>
      </c>
      <c r="AD235" s="145"/>
      <c r="AE235" s="145">
        <v>1400</v>
      </c>
      <c r="AF235" s="145">
        <f t="shared" si="36"/>
        <v>1400</v>
      </c>
      <c r="AG235" s="145"/>
      <c r="AH235" s="145"/>
      <c r="AI235" s="145">
        <f t="shared" si="37"/>
        <v>1400</v>
      </c>
      <c r="AJ235" s="145">
        <v>0</v>
      </c>
      <c r="AK235" s="145"/>
      <c r="AL235" s="145">
        <v>1400</v>
      </c>
      <c r="AM235" s="145"/>
      <c r="AN235" s="145"/>
      <c r="AO235" s="145"/>
      <c r="AP235" s="145"/>
      <c r="AQ235" s="145"/>
      <c r="AR235" s="145"/>
      <c r="AS235" s="145"/>
      <c r="AT235" s="371"/>
      <c r="AU235" s="145">
        <f t="shared" si="38"/>
        <v>0</v>
      </c>
      <c r="AV235" s="145"/>
      <c r="AW235" s="145"/>
      <c r="AX235" s="145">
        <f t="shared" si="39"/>
        <v>0</v>
      </c>
      <c r="AY235" s="145">
        <v>0</v>
      </c>
      <c r="AZ235" s="145"/>
      <c r="BA235" s="145"/>
      <c r="BB235" s="145"/>
      <c r="BC235" s="145"/>
      <c r="BD235" s="145"/>
      <c r="BE235" s="370"/>
      <c r="BF235" s="370"/>
      <c r="BG235" s="370"/>
      <c r="BH235" s="370"/>
      <c r="BI235" s="370"/>
      <c r="BJ235" s="370"/>
      <c r="BK235" s="370"/>
      <c r="BL235" s="370"/>
      <c r="BM235" s="145"/>
      <c r="BN235" s="370"/>
      <c r="BO235" s="370"/>
      <c r="BP235" s="145"/>
      <c r="BQ235" s="370"/>
      <c r="BR235" s="372"/>
      <c r="BS235" s="372"/>
      <c r="BT235" s="372"/>
    </row>
    <row r="236" spans="1:72" ht="30.75" outlineLevel="1">
      <c r="A236" s="438">
        <v>25</v>
      </c>
      <c r="B236" s="710" t="s">
        <v>1889</v>
      </c>
      <c r="C236" s="377" t="s">
        <v>1863</v>
      </c>
      <c r="D236" s="377" t="s">
        <v>1743</v>
      </c>
      <c r="E236" s="377" t="s">
        <v>49</v>
      </c>
      <c r="F236" s="420" t="s">
        <v>48</v>
      </c>
      <c r="G236" s="422"/>
      <c r="H236" s="585" t="s">
        <v>1890</v>
      </c>
      <c r="I236" s="438" t="s">
        <v>75</v>
      </c>
      <c r="J236" s="422">
        <v>2022</v>
      </c>
      <c r="K236" s="420" t="s">
        <v>1521</v>
      </c>
      <c r="L236" s="420" t="s">
        <v>1577</v>
      </c>
      <c r="M236" s="368">
        <v>1900</v>
      </c>
      <c r="N236" s="711"/>
      <c r="O236" s="711"/>
      <c r="P236" s="711">
        <v>1900</v>
      </c>
      <c r="Q236" s="712"/>
      <c r="R236" s="585" t="s">
        <v>1890</v>
      </c>
      <c r="S236" s="434" t="s">
        <v>1871</v>
      </c>
      <c r="T236" s="434" t="s">
        <v>1743</v>
      </c>
      <c r="U236" s="369"/>
      <c r="V236" s="369"/>
      <c r="W236" s="369"/>
      <c r="X236" s="369"/>
      <c r="Y236" s="145">
        <f t="shared" si="34"/>
        <v>1900</v>
      </c>
      <c r="Z236" s="145"/>
      <c r="AA236" s="145"/>
      <c r="AB236" s="370">
        <f t="shared" si="35"/>
        <v>1900</v>
      </c>
      <c r="AC236" s="370">
        <v>0</v>
      </c>
      <c r="AD236" s="145"/>
      <c r="AE236" s="145">
        <v>1900</v>
      </c>
      <c r="AF236" s="145">
        <f t="shared" si="36"/>
        <v>1900</v>
      </c>
      <c r="AG236" s="145"/>
      <c r="AH236" s="145"/>
      <c r="AI236" s="145">
        <f t="shared" si="37"/>
        <v>1900</v>
      </c>
      <c r="AJ236" s="145">
        <v>0</v>
      </c>
      <c r="AK236" s="145"/>
      <c r="AL236" s="145">
        <v>1900</v>
      </c>
      <c r="AM236" s="145"/>
      <c r="AN236" s="145"/>
      <c r="AO236" s="145"/>
      <c r="AP236" s="145"/>
      <c r="AQ236" s="145"/>
      <c r="AR236" s="145"/>
      <c r="AS236" s="145"/>
      <c r="AT236" s="371"/>
      <c r="AU236" s="145">
        <f t="shared" si="38"/>
        <v>0</v>
      </c>
      <c r="AV236" s="145"/>
      <c r="AW236" s="145"/>
      <c r="AX236" s="145">
        <f t="shared" si="39"/>
        <v>0</v>
      </c>
      <c r="AY236" s="145">
        <v>0</v>
      </c>
      <c r="AZ236" s="145"/>
      <c r="BA236" s="145"/>
      <c r="BB236" s="145"/>
      <c r="BC236" s="145"/>
      <c r="BD236" s="145"/>
      <c r="BE236" s="370"/>
      <c r="BF236" s="370"/>
      <c r="BG236" s="370"/>
      <c r="BH236" s="370"/>
      <c r="BI236" s="370"/>
      <c r="BJ236" s="370"/>
      <c r="BK236" s="370"/>
      <c r="BL236" s="370"/>
      <c r="BM236" s="145"/>
      <c r="BN236" s="370"/>
      <c r="BO236" s="370"/>
      <c r="BP236" s="145"/>
      <c r="BQ236" s="370"/>
      <c r="BR236" s="372"/>
      <c r="BS236" s="372"/>
      <c r="BT236" s="372"/>
    </row>
    <row r="237" spans="1:72" ht="30.75" outlineLevel="1">
      <c r="A237" s="438">
        <v>26</v>
      </c>
      <c r="B237" s="710" t="s">
        <v>1891</v>
      </c>
      <c r="C237" s="377" t="s">
        <v>1869</v>
      </c>
      <c r="D237" s="377" t="s">
        <v>1743</v>
      </c>
      <c r="E237" s="377" t="s">
        <v>49</v>
      </c>
      <c r="F237" s="420" t="s">
        <v>48</v>
      </c>
      <c r="G237" s="424"/>
      <c r="H237" s="585" t="s">
        <v>1892</v>
      </c>
      <c r="I237" s="438" t="s">
        <v>75</v>
      </c>
      <c r="J237" s="422">
        <v>2022</v>
      </c>
      <c r="K237" s="420" t="s">
        <v>1521</v>
      </c>
      <c r="L237" s="420" t="s">
        <v>1577</v>
      </c>
      <c r="M237" s="368">
        <v>2000</v>
      </c>
      <c r="N237" s="711"/>
      <c r="O237" s="711"/>
      <c r="P237" s="711">
        <v>2000</v>
      </c>
      <c r="Q237" s="712"/>
      <c r="R237" s="585" t="s">
        <v>1892</v>
      </c>
      <c r="S237" s="434" t="s">
        <v>1871</v>
      </c>
      <c r="T237" s="434" t="s">
        <v>1743</v>
      </c>
      <c r="U237" s="369"/>
      <c r="V237" s="369"/>
      <c r="W237" s="369"/>
      <c r="X237" s="369"/>
      <c r="Y237" s="145">
        <f t="shared" si="34"/>
        <v>2000</v>
      </c>
      <c r="Z237" s="145"/>
      <c r="AA237" s="145"/>
      <c r="AB237" s="370">
        <f t="shared" si="35"/>
        <v>2000</v>
      </c>
      <c r="AC237" s="370">
        <v>0</v>
      </c>
      <c r="AD237" s="145"/>
      <c r="AE237" s="145">
        <v>2000</v>
      </c>
      <c r="AF237" s="145">
        <f t="shared" si="36"/>
        <v>2000</v>
      </c>
      <c r="AG237" s="145"/>
      <c r="AH237" s="145"/>
      <c r="AI237" s="145">
        <f t="shared" si="37"/>
        <v>2000</v>
      </c>
      <c r="AJ237" s="145">
        <v>0</v>
      </c>
      <c r="AK237" s="145"/>
      <c r="AL237" s="145">
        <v>2000</v>
      </c>
      <c r="AM237" s="145"/>
      <c r="AN237" s="145"/>
      <c r="AO237" s="145"/>
      <c r="AP237" s="145"/>
      <c r="AQ237" s="145"/>
      <c r="AR237" s="145"/>
      <c r="AS237" s="145"/>
      <c r="AT237" s="371"/>
      <c r="AU237" s="145">
        <f t="shared" si="38"/>
        <v>0</v>
      </c>
      <c r="AV237" s="145"/>
      <c r="AW237" s="145"/>
      <c r="AX237" s="145">
        <f t="shared" si="39"/>
        <v>0</v>
      </c>
      <c r="AY237" s="145">
        <v>0</v>
      </c>
      <c r="AZ237" s="145"/>
      <c r="BA237" s="145"/>
      <c r="BB237" s="145"/>
      <c r="BC237" s="145"/>
      <c r="BD237" s="145"/>
      <c r="BE237" s="370"/>
      <c r="BF237" s="370"/>
      <c r="BG237" s="370"/>
      <c r="BH237" s="370"/>
      <c r="BI237" s="370"/>
      <c r="BJ237" s="370"/>
      <c r="BK237" s="370"/>
      <c r="BL237" s="370"/>
      <c r="BM237" s="145"/>
      <c r="BN237" s="370"/>
      <c r="BO237" s="370"/>
      <c r="BP237" s="145"/>
      <c r="BQ237" s="370"/>
      <c r="BR237" s="372"/>
      <c r="BS237" s="372"/>
      <c r="BT237" s="372"/>
    </row>
    <row r="238" spans="1:72" ht="30.75" outlineLevel="1">
      <c r="A238" s="438">
        <v>27</v>
      </c>
      <c r="B238" s="710" t="s">
        <v>1893</v>
      </c>
      <c r="C238" s="377" t="s">
        <v>1869</v>
      </c>
      <c r="D238" s="377" t="s">
        <v>1743</v>
      </c>
      <c r="E238" s="377" t="s">
        <v>49</v>
      </c>
      <c r="F238" s="588" t="s">
        <v>1579</v>
      </c>
      <c r="G238" s="422">
        <v>7931593</v>
      </c>
      <c r="H238" s="712" t="s">
        <v>1748</v>
      </c>
      <c r="I238" s="422">
        <v>2021</v>
      </c>
      <c r="J238" s="422">
        <v>2021</v>
      </c>
      <c r="K238" s="420" t="s">
        <v>1580</v>
      </c>
      <c r="L238" s="420" t="s">
        <v>1894</v>
      </c>
      <c r="M238" s="373">
        <v>1760.096</v>
      </c>
      <c r="N238" s="713"/>
      <c r="O238" s="374"/>
      <c r="P238" s="373">
        <v>246.96</v>
      </c>
      <c r="Q238" s="454"/>
      <c r="R238" s="712" t="s">
        <v>1748</v>
      </c>
      <c r="S238" s="434" t="s">
        <v>1741</v>
      </c>
      <c r="T238" s="434" t="s">
        <v>1743</v>
      </c>
      <c r="U238" s="429"/>
      <c r="V238" s="429"/>
      <c r="W238" s="429"/>
      <c r="X238" s="429"/>
      <c r="Y238" s="145">
        <f t="shared" si="34"/>
        <v>404.45</v>
      </c>
      <c r="Z238" s="375"/>
      <c r="AA238" s="375"/>
      <c r="AB238" s="370">
        <f t="shared" si="35"/>
        <v>404.45</v>
      </c>
      <c r="AC238" s="370">
        <v>0</v>
      </c>
      <c r="AD238" s="145">
        <v>11.05</v>
      </c>
      <c r="AE238" s="145">
        <v>393.4</v>
      </c>
      <c r="AF238" s="145">
        <f t="shared" si="36"/>
        <v>404.45</v>
      </c>
      <c r="AG238" s="375"/>
      <c r="AH238" s="375"/>
      <c r="AI238" s="145">
        <f t="shared" si="37"/>
        <v>404.45</v>
      </c>
      <c r="AJ238" s="145">
        <v>0</v>
      </c>
      <c r="AK238" s="145">
        <v>11.05</v>
      </c>
      <c r="AL238" s="145">
        <v>393.4</v>
      </c>
      <c r="AM238" s="375"/>
      <c r="AN238" s="375"/>
      <c r="AO238" s="375"/>
      <c r="AP238" s="375"/>
      <c r="AQ238" s="375"/>
      <c r="AR238" s="375"/>
      <c r="AS238" s="376"/>
      <c r="AT238" s="375"/>
      <c r="AU238" s="145">
        <f t="shared" si="38"/>
        <v>0</v>
      </c>
      <c r="AV238" s="375"/>
      <c r="AW238" s="375"/>
      <c r="AX238" s="145">
        <f t="shared" si="39"/>
        <v>0</v>
      </c>
      <c r="AY238" s="145">
        <v>0</v>
      </c>
      <c r="AZ238" s="375"/>
      <c r="BA238" s="375"/>
      <c r="BB238" s="375"/>
      <c r="BC238" s="375"/>
      <c r="BD238" s="375"/>
      <c r="BE238" s="376"/>
      <c r="BF238" s="376"/>
      <c r="BG238" s="376"/>
      <c r="BH238" s="376"/>
      <c r="BI238" s="376"/>
      <c r="BJ238" s="376"/>
      <c r="BK238" s="376"/>
      <c r="BL238" s="376"/>
      <c r="BM238" s="376"/>
      <c r="BN238" s="376"/>
      <c r="BO238" s="376"/>
      <c r="BP238" s="376"/>
      <c r="BQ238" s="376"/>
      <c r="BR238" s="713"/>
      <c r="BS238" s="713"/>
      <c r="BT238" s="714"/>
    </row>
    <row r="239" spans="1:72" ht="30.75" outlineLevel="1">
      <c r="A239" s="438">
        <v>28</v>
      </c>
      <c r="B239" s="710" t="s">
        <v>1895</v>
      </c>
      <c r="C239" s="420" t="s">
        <v>1743</v>
      </c>
      <c r="D239" s="434" t="s">
        <v>1743</v>
      </c>
      <c r="E239" s="588" t="s">
        <v>49</v>
      </c>
      <c r="F239" s="588" t="s">
        <v>1579</v>
      </c>
      <c r="G239" s="422">
        <v>7927790</v>
      </c>
      <c r="H239" s="712" t="s">
        <v>1741</v>
      </c>
      <c r="I239" s="422">
        <v>2021</v>
      </c>
      <c r="J239" s="422">
        <v>2021</v>
      </c>
      <c r="K239" s="420" t="s">
        <v>1580</v>
      </c>
      <c r="L239" s="420" t="s">
        <v>1896</v>
      </c>
      <c r="M239" s="373">
        <v>1543.5</v>
      </c>
      <c r="N239" s="713"/>
      <c r="O239" s="374"/>
      <c r="P239" s="373">
        <v>246.24</v>
      </c>
      <c r="Q239" s="454"/>
      <c r="R239" s="712" t="s">
        <v>1741</v>
      </c>
      <c r="S239" s="434" t="s">
        <v>1741</v>
      </c>
      <c r="T239" s="434" t="s">
        <v>1743</v>
      </c>
      <c r="U239" s="429"/>
      <c r="V239" s="429"/>
      <c r="W239" s="429"/>
      <c r="X239" s="429"/>
      <c r="Y239" s="145">
        <f t="shared" si="34"/>
        <v>234.84</v>
      </c>
      <c r="Z239" s="375"/>
      <c r="AA239" s="375"/>
      <c r="AB239" s="370">
        <f t="shared" si="35"/>
        <v>234.84</v>
      </c>
      <c r="AC239" s="370">
        <v>0</v>
      </c>
      <c r="AD239" s="145">
        <v>6.84</v>
      </c>
      <c r="AE239" s="145">
        <v>228</v>
      </c>
      <c r="AF239" s="145">
        <f t="shared" si="36"/>
        <v>234.84</v>
      </c>
      <c r="AG239" s="375"/>
      <c r="AH239" s="375"/>
      <c r="AI239" s="145">
        <f t="shared" si="37"/>
        <v>234.84</v>
      </c>
      <c r="AJ239" s="145">
        <v>0</v>
      </c>
      <c r="AK239" s="145">
        <v>6.84</v>
      </c>
      <c r="AL239" s="145">
        <v>228</v>
      </c>
      <c r="AM239" s="375"/>
      <c r="AN239" s="375"/>
      <c r="AO239" s="375"/>
      <c r="AP239" s="375"/>
      <c r="AQ239" s="375"/>
      <c r="AR239" s="375"/>
      <c r="AS239" s="376"/>
      <c r="AT239" s="375"/>
      <c r="AU239" s="145">
        <f t="shared" si="38"/>
        <v>0</v>
      </c>
      <c r="AV239" s="375"/>
      <c r="AW239" s="375"/>
      <c r="AX239" s="145">
        <f t="shared" si="39"/>
        <v>0</v>
      </c>
      <c r="AY239" s="145">
        <v>0</v>
      </c>
      <c r="AZ239" s="375"/>
      <c r="BA239" s="375"/>
      <c r="BB239" s="375"/>
      <c r="BC239" s="375"/>
      <c r="BD239" s="375"/>
      <c r="BE239" s="376"/>
      <c r="BF239" s="376"/>
      <c r="BG239" s="376"/>
      <c r="BH239" s="376"/>
      <c r="BI239" s="376"/>
      <c r="BJ239" s="376"/>
      <c r="BK239" s="376"/>
      <c r="BL239" s="376"/>
      <c r="BM239" s="376"/>
      <c r="BN239" s="376"/>
      <c r="BO239" s="376"/>
      <c r="BP239" s="376"/>
      <c r="BQ239" s="376"/>
      <c r="BR239" s="713"/>
      <c r="BS239" s="713"/>
      <c r="BT239" s="714"/>
    </row>
    <row r="240" spans="1:72" ht="30.75" outlineLevel="1">
      <c r="A240" s="438">
        <v>29</v>
      </c>
      <c r="B240" s="710" t="s">
        <v>1897</v>
      </c>
      <c r="C240" s="420" t="s">
        <v>1863</v>
      </c>
      <c r="D240" s="434" t="s">
        <v>1743</v>
      </c>
      <c r="E240" s="588" t="s">
        <v>49</v>
      </c>
      <c r="F240" s="588" t="s">
        <v>1579</v>
      </c>
      <c r="G240" s="422">
        <v>7935104</v>
      </c>
      <c r="H240" s="712" t="s">
        <v>1764</v>
      </c>
      <c r="I240" s="422">
        <v>2021</v>
      </c>
      <c r="J240" s="422">
        <v>2021</v>
      </c>
      <c r="K240" s="420" t="s">
        <v>1580</v>
      </c>
      <c r="L240" s="420" t="s">
        <v>1898</v>
      </c>
      <c r="M240" s="373">
        <v>1307.21</v>
      </c>
      <c r="N240" s="713"/>
      <c r="O240" s="374"/>
      <c r="P240" s="373">
        <v>150.61799999999999</v>
      </c>
      <c r="Q240" s="454"/>
      <c r="R240" s="712" t="s">
        <v>1764</v>
      </c>
      <c r="S240" s="434" t="s">
        <v>1741</v>
      </c>
      <c r="T240" s="434" t="s">
        <v>1743</v>
      </c>
      <c r="U240" s="429"/>
      <c r="V240" s="429"/>
      <c r="W240" s="429"/>
      <c r="X240" s="429"/>
      <c r="Y240" s="145">
        <f t="shared" si="34"/>
        <v>280.39300000000003</v>
      </c>
      <c r="Z240" s="375"/>
      <c r="AA240" s="375"/>
      <c r="AB240" s="370">
        <f t="shared" si="35"/>
        <v>280.39300000000003</v>
      </c>
      <c r="AC240" s="370">
        <v>0</v>
      </c>
      <c r="AD240" s="145">
        <v>5.7930000000000001</v>
      </c>
      <c r="AE240" s="145">
        <v>274.60000000000002</v>
      </c>
      <c r="AF240" s="145">
        <f t="shared" si="36"/>
        <v>280.39300000000003</v>
      </c>
      <c r="AG240" s="375"/>
      <c r="AH240" s="375"/>
      <c r="AI240" s="145">
        <f t="shared" si="37"/>
        <v>280.39300000000003</v>
      </c>
      <c r="AJ240" s="145">
        <v>0</v>
      </c>
      <c r="AK240" s="145">
        <v>5.7930000000000001</v>
      </c>
      <c r="AL240" s="145">
        <v>274.60000000000002</v>
      </c>
      <c r="AM240" s="375"/>
      <c r="AN240" s="375"/>
      <c r="AO240" s="375"/>
      <c r="AP240" s="375"/>
      <c r="AQ240" s="375"/>
      <c r="AR240" s="375"/>
      <c r="AS240" s="376"/>
      <c r="AT240" s="375"/>
      <c r="AU240" s="145">
        <f t="shared" si="38"/>
        <v>0</v>
      </c>
      <c r="AV240" s="375"/>
      <c r="AW240" s="375"/>
      <c r="AX240" s="145">
        <f t="shared" si="39"/>
        <v>0</v>
      </c>
      <c r="AY240" s="145">
        <v>0</v>
      </c>
      <c r="AZ240" s="375"/>
      <c r="BA240" s="375"/>
      <c r="BB240" s="375"/>
      <c r="BC240" s="375"/>
      <c r="BD240" s="375"/>
      <c r="BE240" s="376"/>
      <c r="BF240" s="376"/>
      <c r="BG240" s="376"/>
      <c r="BH240" s="376"/>
      <c r="BI240" s="376"/>
      <c r="BJ240" s="376"/>
      <c r="BK240" s="376"/>
      <c r="BL240" s="376"/>
      <c r="BM240" s="376"/>
      <c r="BN240" s="376"/>
      <c r="BO240" s="376"/>
      <c r="BP240" s="376"/>
      <c r="BQ240" s="376"/>
      <c r="BR240" s="713"/>
      <c r="BS240" s="713"/>
      <c r="BT240" s="714"/>
    </row>
    <row r="241" spans="1:75" ht="30" outlineLevel="1">
      <c r="A241" s="553" t="s">
        <v>45</v>
      </c>
      <c r="B241" s="715" t="s">
        <v>1584</v>
      </c>
      <c r="C241" s="418"/>
      <c r="D241" s="454"/>
      <c r="E241" s="418"/>
      <c r="F241" s="418"/>
      <c r="G241" s="418"/>
      <c r="H241" s="454"/>
      <c r="I241" s="418"/>
      <c r="J241" s="418"/>
      <c r="K241" s="418"/>
      <c r="L241" s="418"/>
      <c r="M241" s="429">
        <f>M242</f>
        <v>56802</v>
      </c>
      <c r="N241" s="429">
        <f t="shared" ref="N241:BR241" si="40">N242</f>
        <v>0</v>
      </c>
      <c r="O241" s="429">
        <f t="shared" si="40"/>
        <v>0</v>
      </c>
      <c r="P241" s="429">
        <f t="shared" si="40"/>
        <v>56802</v>
      </c>
      <c r="Q241" s="454" t="str">
        <f t="shared" si="40"/>
        <v xml:space="preserve">53, 17/01/2022 </v>
      </c>
      <c r="R241" s="454"/>
      <c r="S241" s="454"/>
      <c r="T241" s="454"/>
      <c r="U241" s="429"/>
      <c r="V241" s="429">
        <f t="shared" si="40"/>
        <v>0</v>
      </c>
      <c r="W241" s="429">
        <f t="shared" si="40"/>
        <v>0</v>
      </c>
      <c r="X241" s="429">
        <f t="shared" si="40"/>
        <v>0</v>
      </c>
      <c r="Y241" s="429">
        <f t="shared" si="40"/>
        <v>18900</v>
      </c>
      <c r="Z241" s="429">
        <f t="shared" si="40"/>
        <v>0</v>
      </c>
      <c r="AA241" s="429">
        <f t="shared" si="40"/>
        <v>0</v>
      </c>
      <c r="AB241" s="429">
        <f t="shared" si="40"/>
        <v>18900</v>
      </c>
      <c r="AC241" s="429">
        <f t="shared" si="40"/>
        <v>0</v>
      </c>
      <c r="AD241" s="429">
        <f t="shared" si="40"/>
        <v>18900</v>
      </c>
      <c r="AE241" s="429">
        <f t="shared" si="40"/>
        <v>0</v>
      </c>
      <c r="AF241" s="429">
        <f t="shared" si="40"/>
        <v>18900</v>
      </c>
      <c r="AG241" s="429">
        <f t="shared" si="40"/>
        <v>0</v>
      </c>
      <c r="AH241" s="429">
        <f t="shared" si="40"/>
        <v>0</v>
      </c>
      <c r="AI241" s="429">
        <f t="shared" si="40"/>
        <v>18900</v>
      </c>
      <c r="AJ241" s="429">
        <f t="shared" si="40"/>
        <v>0</v>
      </c>
      <c r="AK241" s="429">
        <f t="shared" si="40"/>
        <v>18900</v>
      </c>
      <c r="AL241" s="429">
        <f t="shared" si="40"/>
        <v>0</v>
      </c>
      <c r="AM241" s="429">
        <f t="shared" si="40"/>
        <v>253</v>
      </c>
      <c r="AN241" s="429">
        <f t="shared" si="40"/>
        <v>0</v>
      </c>
      <c r="AO241" s="429">
        <f t="shared" si="40"/>
        <v>0</v>
      </c>
      <c r="AP241" s="429">
        <f t="shared" si="40"/>
        <v>253</v>
      </c>
      <c r="AQ241" s="429">
        <f t="shared" si="40"/>
        <v>0</v>
      </c>
      <c r="AR241" s="429">
        <f t="shared" si="40"/>
        <v>0</v>
      </c>
      <c r="AS241" s="429">
        <f t="shared" si="40"/>
        <v>253</v>
      </c>
      <c r="AT241" s="429">
        <f t="shared" si="40"/>
        <v>0</v>
      </c>
      <c r="AU241" s="429">
        <f t="shared" si="40"/>
        <v>0</v>
      </c>
      <c r="AV241" s="429">
        <f t="shared" si="40"/>
        <v>0</v>
      </c>
      <c r="AW241" s="429">
        <f t="shared" si="40"/>
        <v>0</v>
      </c>
      <c r="AX241" s="429">
        <f t="shared" si="40"/>
        <v>0</v>
      </c>
      <c r="AY241" s="429">
        <f t="shared" si="40"/>
        <v>0</v>
      </c>
      <c r="AZ241" s="429">
        <f t="shared" si="40"/>
        <v>0</v>
      </c>
      <c r="BA241" s="454">
        <f t="shared" si="40"/>
        <v>0</v>
      </c>
      <c r="BB241" s="454">
        <f t="shared" si="40"/>
        <v>0</v>
      </c>
      <c r="BC241" s="454">
        <f t="shared" si="40"/>
        <v>0</v>
      </c>
      <c r="BD241" s="454">
        <f t="shared" si="40"/>
        <v>0</v>
      </c>
      <c r="BE241" s="454">
        <f t="shared" si="40"/>
        <v>0</v>
      </c>
      <c r="BF241" s="454">
        <f t="shared" si="40"/>
        <v>0</v>
      </c>
      <c r="BG241" s="454">
        <f t="shared" si="40"/>
        <v>0</v>
      </c>
      <c r="BH241" s="454">
        <f t="shared" si="40"/>
        <v>0</v>
      </c>
      <c r="BI241" s="454">
        <f t="shared" si="40"/>
        <v>0</v>
      </c>
      <c r="BJ241" s="454">
        <f t="shared" si="40"/>
        <v>0</v>
      </c>
      <c r="BK241" s="454">
        <f t="shared" si="40"/>
        <v>0</v>
      </c>
      <c r="BL241" s="454">
        <f t="shared" si="40"/>
        <v>0</v>
      </c>
      <c r="BM241" s="454">
        <f t="shared" si="40"/>
        <v>0</v>
      </c>
      <c r="BN241" s="454">
        <f t="shared" si="40"/>
        <v>0</v>
      </c>
      <c r="BO241" s="454">
        <f t="shared" si="40"/>
        <v>0</v>
      </c>
      <c r="BP241" s="454">
        <f t="shared" si="40"/>
        <v>0</v>
      </c>
      <c r="BQ241" s="454">
        <f t="shared" si="40"/>
        <v>0</v>
      </c>
      <c r="BR241" s="454">
        <f t="shared" si="40"/>
        <v>0</v>
      </c>
      <c r="BS241" s="454"/>
      <c r="BT241" s="454"/>
    </row>
    <row r="242" spans="1:75" ht="30.75" outlineLevel="1">
      <c r="A242" s="438">
        <v>1</v>
      </c>
      <c r="B242" s="710" t="s">
        <v>1899</v>
      </c>
      <c r="C242" s="420" t="s">
        <v>1238</v>
      </c>
      <c r="D242" s="377" t="s">
        <v>1743</v>
      </c>
      <c r="E242" s="588" t="s">
        <v>49</v>
      </c>
      <c r="F242" s="588" t="s">
        <v>48</v>
      </c>
      <c r="G242" s="588">
        <v>7757659</v>
      </c>
      <c r="H242" s="712" t="s">
        <v>1741</v>
      </c>
      <c r="I242" s="712" t="s">
        <v>69</v>
      </c>
      <c r="J242" s="424">
        <v>2022</v>
      </c>
      <c r="K242" s="424"/>
      <c r="L242" s="428" t="s">
        <v>1900</v>
      </c>
      <c r="M242" s="368">
        <v>56802</v>
      </c>
      <c r="N242" s="448"/>
      <c r="O242" s="448"/>
      <c r="P242" s="368">
        <v>56802</v>
      </c>
      <c r="Q242" s="428" t="s">
        <v>1901</v>
      </c>
      <c r="R242" s="712" t="s">
        <v>1741</v>
      </c>
      <c r="S242" s="434" t="s">
        <v>1741</v>
      </c>
      <c r="T242" s="377" t="s">
        <v>1743</v>
      </c>
      <c r="U242" s="462"/>
      <c r="V242" s="462"/>
      <c r="W242" s="462"/>
      <c r="X242" s="462"/>
      <c r="Y242" s="145">
        <f t="shared" si="34"/>
        <v>18900</v>
      </c>
      <c r="Z242" s="145"/>
      <c r="AA242" s="145"/>
      <c r="AB242" s="370">
        <f t="shared" si="35"/>
        <v>18900</v>
      </c>
      <c r="AC242" s="370">
        <v>0</v>
      </c>
      <c r="AD242" s="145">
        <v>18900</v>
      </c>
      <c r="AE242" s="145"/>
      <c r="AF242" s="145">
        <f t="shared" si="36"/>
        <v>18900</v>
      </c>
      <c r="AG242" s="145"/>
      <c r="AH242" s="145"/>
      <c r="AI242" s="145">
        <f t="shared" si="37"/>
        <v>18900</v>
      </c>
      <c r="AJ242" s="145">
        <v>0</v>
      </c>
      <c r="AK242" s="145">
        <v>18900</v>
      </c>
      <c r="AL242" s="145"/>
      <c r="AM242" s="145">
        <v>253</v>
      </c>
      <c r="AN242" s="145"/>
      <c r="AO242" s="145"/>
      <c r="AP242" s="145">
        <v>253</v>
      </c>
      <c r="AQ242" s="145"/>
      <c r="AR242" s="145"/>
      <c r="AS242" s="145">
        <v>253</v>
      </c>
      <c r="AT242" s="145"/>
      <c r="AU242" s="145">
        <f t="shared" si="38"/>
        <v>0</v>
      </c>
      <c r="AV242" s="145"/>
      <c r="AW242" s="145"/>
      <c r="AX242" s="145">
        <f t="shared" si="39"/>
        <v>0</v>
      </c>
      <c r="AY242" s="145">
        <v>0</v>
      </c>
      <c r="AZ242" s="145"/>
      <c r="BA242" s="145"/>
      <c r="BB242" s="145"/>
      <c r="BC242" s="145"/>
      <c r="BD242" s="145"/>
      <c r="BE242" s="370"/>
      <c r="BF242" s="370"/>
      <c r="BG242" s="370"/>
      <c r="BH242" s="145"/>
      <c r="BI242" s="370"/>
      <c r="BJ242" s="370"/>
      <c r="BK242" s="370"/>
      <c r="BL242" s="370"/>
      <c r="BM242" s="145"/>
      <c r="BN242" s="370"/>
      <c r="BO242" s="370"/>
      <c r="BP242" s="370"/>
      <c r="BQ242" s="145"/>
      <c r="BR242" s="716">
        <v>0</v>
      </c>
      <c r="BS242" s="716"/>
      <c r="BT242" s="424"/>
    </row>
    <row r="243" spans="1:75" ht="66.75" customHeight="1">
      <c r="A243" s="67" t="s">
        <v>10</v>
      </c>
      <c r="B243" s="67" t="s">
        <v>3642</v>
      </c>
      <c r="C243" s="67"/>
      <c r="D243" s="67"/>
      <c r="E243" s="67"/>
      <c r="F243" s="67"/>
      <c r="G243" s="67"/>
      <c r="H243" s="67"/>
      <c r="I243" s="67"/>
      <c r="J243" s="67"/>
      <c r="K243" s="67"/>
      <c r="L243" s="67"/>
      <c r="M243" s="99"/>
      <c r="N243" s="99"/>
      <c r="O243" s="99"/>
      <c r="P243" s="99"/>
      <c r="Q243" s="99"/>
      <c r="R243" s="99"/>
      <c r="S243" s="99"/>
      <c r="T243" s="99"/>
      <c r="U243" s="99"/>
      <c r="V243" s="99"/>
      <c r="W243" s="99"/>
      <c r="X243" s="99"/>
      <c r="Y243" s="99">
        <v>24954</v>
      </c>
      <c r="Z243" s="99"/>
      <c r="AA243" s="99"/>
      <c r="AB243" s="99">
        <v>24954</v>
      </c>
      <c r="AC243" s="99">
        <v>0</v>
      </c>
      <c r="AD243" s="99">
        <v>24954</v>
      </c>
      <c r="AE243" s="99"/>
      <c r="AF243" s="99">
        <v>12922</v>
      </c>
      <c r="AG243" s="99"/>
      <c r="AH243" s="99"/>
      <c r="AI243" s="99">
        <v>12922</v>
      </c>
      <c r="AJ243" s="99">
        <v>0</v>
      </c>
      <c r="AK243" s="99">
        <v>12922</v>
      </c>
      <c r="AL243" s="99"/>
      <c r="AM243" s="99"/>
      <c r="AN243" s="99"/>
      <c r="AO243" s="99"/>
      <c r="AP243" s="99"/>
      <c r="AQ243" s="99"/>
      <c r="AR243" s="99"/>
      <c r="AS243" s="99"/>
      <c r="AT243" s="99"/>
      <c r="AU243" s="99">
        <v>12032</v>
      </c>
      <c r="AV243" s="99"/>
      <c r="AW243" s="99"/>
      <c r="AX243" s="99">
        <v>12032</v>
      </c>
      <c r="AY243" s="99">
        <v>0</v>
      </c>
      <c r="AZ243" s="99">
        <v>12032</v>
      </c>
      <c r="BA243" s="99"/>
      <c r="BB243" s="99"/>
      <c r="BC243" s="99"/>
      <c r="BD243" s="99"/>
      <c r="BE243" s="99"/>
      <c r="BF243" s="99"/>
      <c r="BG243" s="99"/>
      <c r="BH243" s="99"/>
      <c r="BI243" s="99"/>
      <c r="BJ243" s="99"/>
      <c r="BK243" s="99"/>
      <c r="BL243" s="99"/>
      <c r="BM243" s="99"/>
      <c r="BN243" s="99"/>
      <c r="BO243" s="99"/>
      <c r="BP243" s="99"/>
      <c r="BQ243" s="99"/>
      <c r="BR243" s="99"/>
      <c r="BS243" s="295">
        <v>439</v>
      </c>
      <c r="BT243" s="67" t="s">
        <v>1218</v>
      </c>
    </row>
    <row r="244" spans="1:75" ht="26.25" customHeight="1">
      <c r="A244" s="260" t="s">
        <v>49</v>
      </c>
      <c r="B244" s="260" t="s">
        <v>3637</v>
      </c>
      <c r="C244" s="260"/>
      <c r="D244" s="260"/>
      <c r="E244" s="260"/>
      <c r="F244" s="260"/>
      <c r="G244" s="260"/>
      <c r="H244" s="260"/>
      <c r="I244" s="260"/>
      <c r="J244" s="260"/>
      <c r="K244" s="260"/>
      <c r="L244" s="260"/>
      <c r="M244" s="261">
        <f>M245</f>
        <v>0</v>
      </c>
      <c r="N244" s="261">
        <f t="shared" ref="N244:BR244" si="41">N245</f>
        <v>0</v>
      </c>
      <c r="O244" s="261">
        <f t="shared" si="41"/>
        <v>0</v>
      </c>
      <c r="P244" s="261">
        <f t="shared" si="41"/>
        <v>0</v>
      </c>
      <c r="Q244" s="261">
        <f t="shared" si="41"/>
        <v>0</v>
      </c>
      <c r="R244" s="261">
        <f t="shared" si="41"/>
        <v>0</v>
      </c>
      <c r="S244" s="261">
        <f t="shared" si="41"/>
        <v>0</v>
      </c>
      <c r="T244" s="261">
        <f t="shared" si="41"/>
        <v>0</v>
      </c>
      <c r="U244" s="261">
        <f t="shared" si="41"/>
        <v>0</v>
      </c>
      <c r="V244" s="261">
        <f t="shared" si="41"/>
        <v>0</v>
      </c>
      <c r="W244" s="261">
        <f t="shared" si="41"/>
        <v>0</v>
      </c>
      <c r="X244" s="261">
        <f t="shared" si="41"/>
        <v>0</v>
      </c>
      <c r="Y244" s="261">
        <f t="shared" si="41"/>
        <v>110557.79800000001</v>
      </c>
      <c r="Z244" s="261">
        <f t="shared" si="41"/>
        <v>0</v>
      </c>
      <c r="AA244" s="261">
        <f t="shared" si="41"/>
        <v>0</v>
      </c>
      <c r="AB244" s="261">
        <f t="shared" si="41"/>
        <v>110557.79800000001</v>
      </c>
      <c r="AC244" s="261">
        <f t="shared" si="41"/>
        <v>381.16399999999999</v>
      </c>
      <c r="AD244" s="261">
        <f t="shared" si="41"/>
        <v>96632.634000000005</v>
      </c>
      <c r="AE244" s="261">
        <f t="shared" si="41"/>
        <v>13544</v>
      </c>
      <c r="AF244" s="261">
        <f t="shared" si="41"/>
        <v>0</v>
      </c>
      <c r="AG244" s="261">
        <f t="shared" si="41"/>
        <v>0</v>
      </c>
      <c r="AH244" s="261">
        <f t="shared" si="41"/>
        <v>0</v>
      </c>
      <c r="AI244" s="261">
        <f t="shared" si="41"/>
        <v>0</v>
      </c>
      <c r="AJ244" s="261">
        <f t="shared" si="41"/>
        <v>0</v>
      </c>
      <c r="AK244" s="261">
        <f t="shared" si="41"/>
        <v>0</v>
      </c>
      <c r="AL244" s="261">
        <f t="shared" si="41"/>
        <v>0</v>
      </c>
      <c r="AM244" s="261">
        <f t="shared" si="41"/>
        <v>0</v>
      </c>
      <c r="AN244" s="261">
        <f t="shared" si="41"/>
        <v>0</v>
      </c>
      <c r="AO244" s="261">
        <f t="shared" si="41"/>
        <v>0</v>
      </c>
      <c r="AP244" s="261">
        <f t="shared" si="41"/>
        <v>0</v>
      </c>
      <c r="AQ244" s="261">
        <f t="shared" si="41"/>
        <v>0</v>
      </c>
      <c r="AR244" s="261">
        <f t="shared" si="41"/>
        <v>0</v>
      </c>
      <c r="AS244" s="261">
        <f t="shared" si="41"/>
        <v>0</v>
      </c>
      <c r="AT244" s="261">
        <f t="shared" si="41"/>
        <v>0</v>
      </c>
      <c r="AU244" s="261">
        <f t="shared" si="41"/>
        <v>5381.1639999999998</v>
      </c>
      <c r="AV244" s="261">
        <f t="shared" si="41"/>
        <v>0</v>
      </c>
      <c r="AW244" s="261">
        <f t="shared" si="41"/>
        <v>0</v>
      </c>
      <c r="AX244" s="261">
        <f t="shared" si="41"/>
        <v>5381.1639999999998</v>
      </c>
      <c r="AY244" s="261">
        <f t="shared" si="41"/>
        <v>381.16399999999999</v>
      </c>
      <c r="AZ244" s="261">
        <f t="shared" si="41"/>
        <v>5000</v>
      </c>
      <c r="BA244" s="261">
        <f t="shared" si="41"/>
        <v>0</v>
      </c>
      <c r="BB244" s="261">
        <f t="shared" si="41"/>
        <v>0</v>
      </c>
      <c r="BC244" s="261">
        <f t="shared" si="41"/>
        <v>0</v>
      </c>
      <c r="BD244" s="261">
        <f t="shared" si="41"/>
        <v>0</v>
      </c>
      <c r="BE244" s="261">
        <f t="shared" si="41"/>
        <v>0</v>
      </c>
      <c r="BF244" s="261">
        <f t="shared" si="41"/>
        <v>0</v>
      </c>
      <c r="BG244" s="261">
        <f t="shared" si="41"/>
        <v>0</v>
      </c>
      <c r="BH244" s="261">
        <f t="shared" si="41"/>
        <v>0</v>
      </c>
      <c r="BI244" s="261">
        <f t="shared" si="41"/>
        <v>0</v>
      </c>
      <c r="BJ244" s="261">
        <f t="shared" si="41"/>
        <v>0</v>
      </c>
      <c r="BK244" s="261">
        <f t="shared" si="41"/>
        <v>0</v>
      </c>
      <c r="BL244" s="261">
        <f t="shared" si="41"/>
        <v>0</v>
      </c>
      <c r="BM244" s="261">
        <f t="shared" si="41"/>
        <v>0</v>
      </c>
      <c r="BN244" s="261">
        <f t="shared" si="41"/>
        <v>0</v>
      </c>
      <c r="BO244" s="261">
        <f t="shared" si="41"/>
        <v>0</v>
      </c>
      <c r="BP244" s="261">
        <f t="shared" si="41"/>
        <v>0</v>
      </c>
      <c r="BQ244" s="261">
        <f t="shared" si="41"/>
        <v>0</v>
      </c>
      <c r="BR244" s="261">
        <f t="shared" si="41"/>
        <v>0</v>
      </c>
      <c r="BS244" s="261"/>
      <c r="BT244" s="261"/>
    </row>
    <row r="245" spans="1:75" ht="29.25" customHeight="1">
      <c r="A245" s="563"/>
      <c r="B245" s="717" t="s">
        <v>1902</v>
      </c>
      <c r="C245" s="616"/>
      <c r="D245" s="616"/>
      <c r="E245" s="616"/>
      <c r="F245" s="616"/>
      <c r="G245" s="616"/>
      <c r="H245" s="615"/>
      <c r="I245" s="616"/>
      <c r="J245" s="616"/>
      <c r="K245" s="616"/>
      <c r="L245" s="616"/>
      <c r="M245" s="718"/>
      <c r="N245" s="718"/>
      <c r="O245" s="718"/>
      <c r="P245" s="718"/>
      <c r="Q245" s="615"/>
      <c r="R245" s="615"/>
      <c r="S245" s="615"/>
      <c r="T245" s="615"/>
      <c r="U245" s="718"/>
      <c r="V245" s="718"/>
      <c r="W245" s="718"/>
      <c r="X245" s="718"/>
      <c r="Y245" s="378">
        <v>110557.79800000001</v>
      </c>
      <c r="Z245" s="378">
        <v>0</v>
      </c>
      <c r="AA245" s="378">
        <v>0</v>
      </c>
      <c r="AB245" s="380">
        <v>110557.79800000001</v>
      </c>
      <c r="AC245" s="380">
        <v>381.16399999999999</v>
      </c>
      <c r="AD245" s="378">
        <v>96632.634000000005</v>
      </c>
      <c r="AE245" s="378">
        <v>13544</v>
      </c>
      <c r="AF245" s="378">
        <v>0</v>
      </c>
      <c r="AG245" s="378">
        <v>0</v>
      </c>
      <c r="AH245" s="378">
        <v>0</v>
      </c>
      <c r="AI245" s="378">
        <v>0</v>
      </c>
      <c r="AJ245" s="378">
        <v>0</v>
      </c>
      <c r="AK245" s="378">
        <v>0</v>
      </c>
      <c r="AL245" s="378">
        <v>0</v>
      </c>
      <c r="AM245" s="378">
        <v>0</v>
      </c>
      <c r="AN245" s="378">
        <v>0</v>
      </c>
      <c r="AO245" s="378">
        <v>0</v>
      </c>
      <c r="AP245" s="378">
        <v>0</v>
      </c>
      <c r="AQ245" s="378">
        <v>0</v>
      </c>
      <c r="AR245" s="378">
        <v>0</v>
      </c>
      <c r="AS245" s="378">
        <v>0</v>
      </c>
      <c r="AT245" s="378">
        <v>0</v>
      </c>
      <c r="AU245" s="378">
        <v>5381.1639999999998</v>
      </c>
      <c r="AV245" s="378">
        <v>0</v>
      </c>
      <c r="AW245" s="378">
        <v>0</v>
      </c>
      <c r="AX245" s="378">
        <v>5381.1639999999998</v>
      </c>
      <c r="AY245" s="378">
        <v>381.16399999999999</v>
      </c>
      <c r="AZ245" s="379">
        <v>5000</v>
      </c>
      <c r="BA245" s="378">
        <v>0</v>
      </c>
      <c r="BB245" s="378">
        <v>0</v>
      </c>
      <c r="BC245" s="378">
        <v>0</v>
      </c>
      <c r="BD245" s="378">
        <v>0</v>
      </c>
      <c r="BE245" s="380">
        <v>0</v>
      </c>
      <c r="BF245" s="380">
        <v>0</v>
      </c>
      <c r="BG245" s="380">
        <v>0</v>
      </c>
      <c r="BH245" s="379">
        <v>0</v>
      </c>
      <c r="BI245" s="380">
        <v>0</v>
      </c>
      <c r="BJ245" s="380">
        <v>0</v>
      </c>
      <c r="BK245" s="380">
        <v>0</v>
      </c>
      <c r="BL245" s="380">
        <v>0</v>
      </c>
      <c r="BM245" s="379">
        <v>0</v>
      </c>
      <c r="BN245" s="380">
        <v>0</v>
      </c>
      <c r="BO245" s="380">
        <v>0</v>
      </c>
      <c r="BP245" s="380">
        <v>0</v>
      </c>
      <c r="BQ245" s="379">
        <v>0</v>
      </c>
      <c r="BR245" s="719">
        <v>0</v>
      </c>
      <c r="BS245" s="719"/>
      <c r="BT245" s="720"/>
    </row>
    <row r="246" spans="1:75" ht="12" customHeight="1">
      <c r="A246" s="721"/>
      <c r="B246" s="722"/>
      <c r="C246" s="723"/>
      <c r="D246" s="723"/>
      <c r="E246" s="723"/>
      <c r="F246" s="723"/>
      <c r="G246" s="723"/>
      <c r="H246" s="724"/>
      <c r="I246" s="723"/>
      <c r="J246" s="723"/>
      <c r="K246" s="723"/>
      <c r="L246" s="723"/>
      <c r="M246" s="725"/>
      <c r="N246" s="725"/>
      <c r="O246" s="725"/>
      <c r="P246" s="725"/>
      <c r="Q246" s="724"/>
      <c r="R246" s="724"/>
      <c r="S246" s="724"/>
      <c r="T246" s="724"/>
      <c r="U246" s="725"/>
      <c r="V246" s="725"/>
      <c r="W246" s="725"/>
      <c r="X246" s="725"/>
      <c r="Y246" s="240"/>
      <c r="Z246" s="240"/>
      <c r="AA246" s="240"/>
      <c r="AB246" s="242"/>
      <c r="AC246" s="242"/>
      <c r="AD246" s="240"/>
      <c r="AE246" s="240"/>
      <c r="AF246" s="240"/>
      <c r="AG246" s="240"/>
      <c r="AH246" s="240"/>
      <c r="AI246" s="240"/>
      <c r="AJ246" s="240"/>
      <c r="AK246" s="240"/>
      <c r="AL246" s="240"/>
      <c r="AM246" s="240"/>
      <c r="AN246" s="240"/>
      <c r="AO246" s="240"/>
      <c r="AP246" s="240"/>
      <c r="AQ246" s="240"/>
      <c r="AR246" s="240"/>
      <c r="AS246" s="240"/>
      <c r="AT246" s="240"/>
      <c r="AU246" s="240"/>
      <c r="AV246" s="240"/>
      <c r="AW246" s="240"/>
      <c r="AX246" s="240"/>
      <c r="AY246" s="240"/>
      <c r="AZ246" s="241"/>
      <c r="BA246" s="240"/>
      <c r="BB246" s="240"/>
      <c r="BC246" s="240"/>
      <c r="BD246" s="240"/>
      <c r="BE246" s="242"/>
      <c r="BF246" s="242"/>
      <c r="BG246" s="242"/>
      <c r="BH246" s="241"/>
      <c r="BI246" s="242"/>
      <c r="BJ246" s="242"/>
      <c r="BK246" s="242"/>
      <c r="BL246" s="242"/>
      <c r="BM246" s="241"/>
      <c r="BN246" s="242"/>
      <c r="BO246" s="242"/>
      <c r="BP246" s="242"/>
      <c r="BQ246" s="241"/>
      <c r="BR246" s="726"/>
      <c r="BS246" s="726"/>
      <c r="BT246" s="727"/>
    </row>
    <row r="247" spans="1:75" ht="38.25" customHeight="1">
      <c r="A247" s="919" t="s">
        <v>3687</v>
      </c>
      <c r="B247" s="920"/>
      <c r="C247" s="920"/>
      <c r="D247" s="920"/>
      <c r="E247" s="920"/>
      <c r="F247" s="920"/>
      <c r="G247" s="920"/>
      <c r="H247" s="920"/>
      <c r="I247" s="920"/>
      <c r="J247" s="920"/>
      <c r="K247" s="920"/>
      <c r="L247" s="920"/>
      <c r="M247" s="920"/>
      <c r="N247" s="920"/>
      <c r="O247" s="920"/>
      <c r="P247" s="920"/>
      <c r="Q247" s="920"/>
      <c r="R247" s="920"/>
      <c r="S247" s="920"/>
      <c r="T247" s="920"/>
      <c r="U247" s="920"/>
      <c r="V247" s="920"/>
      <c r="W247" s="920"/>
      <c r="X247" s="920"/>
      <c r="Y247" s="920"/>
      <c r="Z247" s="920"/>
      <c r="AA247" s="920"/>
      <c r="AB247" s="920"/>
      <c r="AC247" s="920"/>
      <c r="AD247" s="920"/>
      <c r="AE247" s="920"/>
      <c r="AF247" s="920"/>
      <c r="AG247" s="920"/>
      <c r="AH247" s="920"/>
      <c r="AI247" s="920"/>
      <c r="AJ247" s="920"/>
      <c r="AK247" s="920"/>
      <c r="AL247" s="920"/>
      <c r="AM247" s="920"/>
      <c r="AN247" s="920"/>
      <c r="AO247" s="920"/>
      <c r="AP247" s="920"/>
      <c r="AQ247" s="920"/>
      <c r="AR247" s="920"/>
      <c r="AS247" s="920"/>
      <c r="AT247" s="920"/>
      <c r="AU247" s="920"/>
      <c r="AV247" s="920"/>
      <c r="AW247" s="920"/>
      <c r="AX247" s="920"/>
      <c r="AY247" s="920"/>
      <c r="AZ247" s="920"/>
      <c r="BA247" s="920"/>
      <c r="BB247" s="920"/>
      <c r="BC247" s="920"/>
      <c r="BD247" s="920"/>
      <c r="BE247" s="920"/>
      <c r="BF247" s="920"/>
      <c r="BG247" s="920"/>
      <c r="BH247" s="920"/>
      <c r="BI247" s="920"/>
      <c r="BJ247" s="920"/>
      <c r="BK247" s="920"/>
      <c r="BL247" s="920"/>
      <c r="BM247" s="920"/>
      <c r="BN247" s="920"/>
      <c r="BO247" s="920"/>
      <c r="BP247" s="920"/>
      <c r="BQ247" s="920"/>
      <c r="BR247" s="920"/>
      <c r="BS247" s="920"/>
      <c r="BT247" s="920"/>
      <c r="BU247" s="920"/>
      <c r="BV247" s="920"/>
      <c r="BW247" s="920"/>
    </row>
  </sheetData>
  <mergeCells count="89">
    <mergeCell ref="AZ6:BT6"/>
    <mergeCell ref="BS7:BS11"/>
    <mergeCell ref="A2:BT3"/>
    <mergeCell ref="A247:BW247"/>
    <mergeCell ref="F7:F11"/>
    <mergeCell ref="N9:P9"/>
    <mergeCell ref="N10:N11"/>
    <mergeCell ref="O10:O11"/>
    <mergeCell ref="P10:P11"/>
    <mergeCell ref="Y7:AE8"/>
    <mergeCell ref="AF7:AL8"/>
    <mergeCell ref="U9:U11"/>
    <mergeCell ref="V9:X9"/>
    <mergeCell ref="Y9:Y11"/>
    <mergeCell ref="Z9:Z11"/>
    <mergeCell ref="V10:V11"/>
    <mergeCell ref="A1:BT1"/>
    <mergeCell ref="A4:BT4"/>
    <mergeCell ref="A5:BT5"/>
    <mergeCell ref="A7:A11"/>
    <mergeCell ref="B7:B11"/>
    <mergeCell ref="C7:C11"/>
    <mergeCell ref="D7:D11"/>
    <mergeCell ref="E7:E11"/>
    <mergeCell ref="G7:G11"/>
    <mergeCell ref="H7:H11"/>
    <mergeCell ref="I7:I11"/>
    <mergeCell ref="J7:J11"/>
    <mergeCell ref="K7:P8"/>
    <mergeCell ref="K9:K11"/>
    <mergeCell ref="L9:L11"/>
    <mergeCell ref="M9:M11"/>
    <mergeCell ref="AU7:BA8"/>
    <mergeCell ref="BJ7:BQ7"/>
    <mergeCell ref="BR7:BR11"/>
    <mergeCell ref="BT7:BT11"/>
    <mergeCell ref="BJ8:BM8"/>
    <mergeCell ref="BN8:BQ8"/>
    <mergeCell ref="BK9:BM9"/>
    <mergeCell ref="BN9:BN11"/>
    <mergeCell ref="BO9:BQ9"/>
    <mergeCell ref="AW10:AW11"/>
    <mergeCell ref="BC9:BI9"/>
    <mergeCell ref="BJ9:BJ11"/>
    <mergeCell ref="BD10:BD11"/>
    <mergeCell ref="AX10:AX11"/>
    <mergeCell ref="AY10:AY11"/>
    <mergeCell ref="BA10:BA11"/>
    <mergeCell ref="AJ10:AJ11"/>
    <mergeCell ref="AK10:AK11"/>
    <mergeCell ref="AL10:AL11"/>
    <mergeCell ref="AN10:AN11"/>
    <mergeCell ref="AZ10:AZ11"/>
    <mergeCell ref="AO10:AO11"/>
    <mergeCell ref="AP10:AP11"/>
    <mergeCell ref="AQ10:AT10"/>
    <mergeCell ref="AV10:AV11"/>
    <mergeCell ref="AN9:AT9"/>
    <mergeCell ref="AU9:AU11"/>
    <mergeCell ref="AV9:BA9"/>
    <mergeCell ref="BB9:BB11"/>
    <mergeCell ref="AA9:AA11"/>
    <mergeCell ref="AB9:AB11"/>
    <mergeCell ref="AC9:AE9"/>
    <mergeCell ref="AF9:AF11"/>
    <mergeCell ref="AG9:AL9"/>
    <mergeCell ref="AM9:AM11"/>
    <mergeCell ref="AC10:AC11"/>
    <mergeCell ref="AD10:AD11"/>
    <mergeCell ref="AE10:AE11"/>
    <mergeCell ref="AG10:AG11"/>
    <mergeCell ref="AH10:AH11"/>
    <mergeCell ref="AI10:AI11"/>
    <mergeCell ref="R7:R11"/>
    <mergeCell ref="S7:S11"/>
    <mergeCell ref="T7:T11"/>
    <mergeCell ref="U7:X8"/>
    <mergeCell ref="Q7:Q11"/>
    <mergeCell ref="X10:X11"/>
    <mergeCell ref="W10:W11"/>
    <mergeCell ref="BC10:BC11"/>
    <mergeCell ref="BP10:BP11"/>
    <mergeCell ref="BQ10:BQ11"/>
    <mergeCell ref="BE10:BE11"/>
    <mergeCell ref="BF10:BI10"/>
    <mergeCell ref="BK10:BK11"/>
    <mergeCell ref="BL10:BL11"/>
    <mergeCell ref="BM10:BM11"/>
    <mergeCell ref="BO10:BO11"/>
  </mergeCells>
  <printOptions horizontalCentered="1"/>
  <pageMargins left="0.47244094488188981" right="0.19685039370078741" top="0.62992125984251968" bottom="0.47244094488188981" header="0.31496062992125984" footer="0.31496062992125984"/>
  <pageSetup paperSize="9" scale="45" orientation="landscape" r:id="rId1"/>
  <headerFooter>
    <oddHeader>&amp;R&amp;"Times New Roman,Bold Italic"&amp;12Kon Plông</oddHeader>
    <oddFooter>&amp;R&amp;P/&amp;N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235"/>
  <sheetViews>
    <sheetView zoomScale="70" zoomScaleNormal="70" workbookViewId="0">
      <selection activeCell="AV23" sqref="AV23"/>
    </sheetView>
  </sheetViews>
  <sheetFormatPr defaultRowHeight="14.25" outlineLevelRow="1"/>
  <cols>
    <col min="1" max="1" width="6.265625" customWidth="1"/>
    <col min="2" max="2" width="55.73046875" customWidth="1"/>
    <col min="3" max="4" width="9.1328125" hidden="1" customWidth="1"/>
    <col min="5" max="5" width="15.265625" customWidth="1"/>
    <col min="6" max="8" width="10" hidden="1" customWidth="1"/>
    <col min="9" max="9" width="17" customWidth="1"/>
    <col min="10" max="10" width="10" customWidth="1"/>
    <col min="11" max="11" width="15.265625" customWidth="1"/>
    <col min="12" max="12" width="14.59765625" customWidth="1"/>
    <col min="13" max="14" width="10" hidden="1" customWidth="1"/>
    <col min="15" max="15" width="15.3984375" customWidth="1"/>
    <col min="16" max="16" width="12.59765625" bestFit="1" customWidth="1"/>
    <col min="17" max="17" width="11.59765625" hidden="1" customWidth="1"/>
    <col min="18" max="18" width="11.86328125" hidden="1" customWidth="1"/>
    <col min="19" max="19" width="12" customWidth="1"/>
    <col min="20" max="21" width="10" hidden="1" customWidth="1"/>
    <col min="22" max="22" width="12.86328125" style="229" hidden="1" customWidth="1"/>
    <col min="23" max="24" width="10" style="229" hidden="1" customWidth="1"/>
    <col min="25" max="25" width="12.1328125" customWidth="1"/>
    <col min="26" max="27" width="10" hidden="1" customWidth="1"/>
    <col min="28" max="28" width="12.1328125" customWidth="1"/>
    <col min="29" max="30" width="10" hidden="1" customWidth="1"/>
    <col min="31" max="31" width="1.59765625" hidden="1" customWidth="1"/>
    <col min="32" max="32" width="12.59765625" customWidth="1"/>
    <col min="33" max="33" width="10.59765625" customWidth="1"/>
    <col min="34" max="35" width="10.265625" hidden="1" customWidth="1"/>
    <col min="36" max="36" width="10.73046875" customWidth="1"/>
    <col min="37" max="37" width="11.73046875" customWidth="1"/>
    <col min="38" max="60" width="10.265625" hidden="1" customWidth="1"/>
    <col min="61" max="61" width="11.265625" customWidth="1"/>
    <col min="62" max="62" width="10.73046875" customWidth="1"/>
    <col min="63" max="64" width="10.265625" hidden="1" customWidth="1"/>
    <col min="65" max="65" width="10.73046875" customWidth="1"/>
    <col min="66" max="66" width="10.265625" customWidth="1"/>
    <col min="67" max="96" width="10.265625" hidden="1" customWidth="1"/>
    <col min="97" max="97" width="14.3984375" hidden="1" customWidth="1"/>
    <col min="98" max="98" width="17.265625" customWidth="1"/>
    <col min="99" max="99" width="10.265625" customWidth="1"/>
  </cols>
  <sheetData>
    <row r="1" spans="1:100" ht="24" customHeight="1">
      <c r="A1" s="804" t="s">
        <v>3651</v>
      </c>
      <c r="B1" s="804"/>
      <c r="C1" s="804"/>
      <c r="D1" s="804"/>
      <c r="E1" s="804"/>
      <c r="F1" s="804"/>
      <c r="G1" s="804"/>
      <c r="H1" s="804"/>
      <c r="I1" s="804"/>
      <c r="J1" s="804"/>
      <c r="K1" s="804"/>
      <c r="L1" s="804"/>
      <c r="M1" s="804"/>
      <c r="N1" s="804"/>
      <c r="O1" s="804"/>
      <c r="P1" s="804"/>
      <c r="Q1" s="804"/>
      <c r="R1" s="804"/>
      <c r="S1" s="804"/>
      <c r="T1" s="804"/>
      <c r="U1" s="804"/>
      <c r="V1" s="804"/>
      <c r="W1" s="804"/>
      <c r="X1" s="804"/>
      <c r="Y1" s="804"/>
      <c r="Z1" s="804"/>
      <c r="AA1" s="804"/>
      <c r="AB1" s="804"/>
      <c r="AC1" s="804"/>
      <c r="AD1" s="804"/>
      <c r="AE1" s="804"/>
      <c r="AF1" s="804"/>
      <c r="AG1" s="804"/>
      <c r="AH1" s="804"/>
      <c r="AI1" s="804"/>
      <c r="AJ1" s="804"/>
      <c r="AK1" s="804"/>
      <c r="AL1" s="804"/>
      <c r="AM1" s="804"/>
      <c r="AN1" s="804"/>
      <c r="AO1" s="804"/>
      <c r="AP1" s="804"/>
      <c r="AQ1" s="804"/>
      <c r="AR1" s="804"/>
      <c r="AS1" s="804"/>
      <c r="AT1" s="804"/>
      <c r="AU1" s="804"/>
      <c r="AV1" s="804"/>
      <c r="AW1" s="804"/>
      <c r="AX1" s="804"/>
      <c r="AY1" s="804"/>
      <c r="AZ1" s="804"/>
      <c r="BA1" s="804"/>
      <c r="BB1" s="804"/>
      <c r="BC1" s="804"/>
      <c r="BD1" s="804"/>
      <c r="BE1" s="804"/>
      <c r="BF1" s="804"/>
      <c r="BG1" s="804"/>
      <c r="BH1" s="804"/>
      <c r="BI1" s="804"/>
      <c r="BJ1" s="804"/>
      <c r="BK1" s="804"/>
      <c r="BL1" s="804"/>
      <c r="BM1" s="804"/>
      <c r="BN1" s="804"/>
      <c r="BO1" s="804"/>
      <c r="BP1" s="804"/>
      <c r="BQ1" s="804"/>
      <c r="BR1" s="804"/>
      <c r="BS1" s="804"/>
      <c r="BT1" s="804"/>
      <c r="BU1" s="804"/>
      <c r="BV1" s="804"/>
      <c r="BW1" s="804"/>
      <c r="BX1" s="804"/>
      <c r="BY1" s="804"/>
      <c r="BZ1" s="804"/>
      <c r="CA1" s="804"/>
      <c r="CB1" s="804"/>
      <c r="CC1" s="804"/>
      <c r="CD1" s="804"/>
      <c r="CE1" s="804"/>
      <c r="CF1" s="804"/>
      <c r="CG1" s="804"/>
      <c r="CH1" s="804"/>
      <c r="CI1" s="804"/>
      <c r="CJ1" s="804"/>
      <c r="CK1" s="804"/>
      <c r="CL1" s="804"/>
      <c r="CM1" s="804"/>
      <c r="CN1" s="804"/>
      <c r="CO1" s="804"/>
      <c r="CP1" s="804"/>
      <c r="CQ1" s="804"/>
      <c r="CR1" s="804"/>
      <c r="CS1" s="804"/>
      <c r="CT1" s="804"/>
      <c r="CU1" s="115"/>
    </row>
    <row r="2" spans="1:100" ht="24" customHeight="1">
      <c r="A2" s="805" t="s">
        <v>3691</v>
      </c>
      <c r="B2" s="805"/>
      <c r="C2" s="805"/>
      <c r="D2" s="805"/>
      <c r="E2" s="805"/>
      <c r="F2" s="805"/>
      <c r="G2" s="805"/>
      <c r="H2" s="805"/>
      <c r="I2" s="805"/>
      <c r="J2" s="805"/>
      <c r="K2" s="805"/>
      <c r="L2" s="805"/>
      <c r="M2" s="805"/>
      <c r="N2" s="805"/>
      <c r="O2" s="805"/>
      <c r="P2" s="805"/>
      <c r="Q2" s="805"/>
      <c r="R2" s="805"/>
      <c r="S2" s="805"/>
      <c r="T2" s="805"/>
      <c r="U2" s="805"/>
      <c r="V2" s="805"/>
      <c r="W2" s="805"/>
      <c r="X2" s="805"/>
      <c r="Y2" s="805"/>
      <c r="Z2" s="805"/>
      <c r="AA2" s="805"/>
      <c r="AB2" s="805"/>
      <c r="AC2" s="805"/>
      <c r="AD2" s="805"/>
      <c r="AE2" s="805"/>
      <c r="AF2" s="805"/>
      <c r="AG2" s="805"/>
      <c r="AH2" s="805"/>
      <c r="AI2" s="805"/>
      <c r="AJ2" s="805"/>
      <c r="AK2" s="805"/>
      <c r="AL2" s="805"/>
      <c r="AM2" s="805"/>
      <c r="AN2" s="805"/>
      <c r="AO2" s="805"/>
      <c r="AP2" s="805"/>
      <c r="AQ2" s="805"/>
      <c r="AR2" s="805"/>
      <c r="AS2" s="805"/>
      <c r="AT2" s="805"/>
      <c r="AU2" s="805"/>
      <c r="AV2" s="805"/>
      <c r="AW2" s="805"/>
      <c r="AX2" s="805"/>
      <c r="AY2" s="805"/>
      <c r="AZ2" s="805"/>
      <c r="BA2" s="805"/>
      <c r="BB2" s="805"/>
      <c r="BC2" s="805"/>
      <c r="BD2" s="805"/>
      <c r="BE2" s="805"/>
      <c r="BF2" s="805"/>
      <c r="BG2" s="805"/>
      <c r="BH2" s="805"/>
      <c r="BI2" s="805"/>
      <c r="BJ2" s="805"/>
      <c r="BK2" s="805"/>
      <c r="BL2" s="805"/>
      <c r="BM2" s="805"/>
      <c r="BN2" s="805"/>
      <c r="BO2" s="805"/>
      <c r="BP2" s="805"/>
      <c r="BQ2" s="805"/>
      <c r="BR2" s="805"/>
      <c r="BS2" s="805"/>
      <c r="BT2" s="805"/>
      <c r="BU2" s="805"/>
      <c r="BV2" s="805"/>
      <c r="BW2" s="805"/>
      <c r="BX2" s="805"/>
      <c r="BY2" s="805"/>
      <c r="BZ2" s="805"/>
      <c r="CA2" s="805"/>
      <c r="CB2" s="805"/>
      <c r="CC2" s="805"/>
      <c r="CD2" s="805"/>
      <c r="CE2" s="805"/>
      <c r="CF2" s="805"/>
      <c r="CG2" s="805"/>
      <c r="CH2" s="805"/>
      <c r="CI2" s="805"/>
      <c r="CJ2" s="805"/>
      <c r="CK2" s="805"/>
      <c r="CL2" s="805"/>
      <c r="CM2" s="805"/>
      <c r="CN2" s="805"/>
      <c r="CO2" s="805"/>
      <c r="CP2" s="805"/>
      <c r="CQ2" s="805"/>
      <c r="CR2" s="805"/>
      <c r="CS2" s="805"/>
      <c r="CT2" s="805"/>
      <c r="CU2" s="116"/>
    </row>
    <row r="3" spans="1:100" ht="3" customHeight="1">
      <c r="A3" s="805"/>
      <c r="B3" s="805"/>
      <c r="C3" s="805"/>
      <c r="D3" s="805"/>
      <c r="E3" s="805"/>
      <c r="F3" s="805"/>
      <c r="G3" s="805"/>
      <c r="H3" s="805"/>
      <c r="I3" s="805"/>
      <c r="J3" s="805"/>
      <c r="K3" s="805"/>
      <c r="L3" s="805"/>
      <c r="M3" s="805"/>
      <c r="N3" s="805"/>
      <c r="O3" s="805"/>
      <c r="P3" s="805"/>
      <c r="Q3" s="805"/>
      <c r="R3" s="805"/>
      <c r="S3" s="805"/>
      <c r="T3" s="805"/>
      <c r="U3" s="805"/>
      <c r="V3" s="805"/>
      <c r="W3" s="805"/>
      <c r="X3" s="805"/>
      <c r="Y3" s="805"/>
      <c r="Z3" s="805"/>
      <c r="AA3" s="805"/>
      <c r="AB3" s="805"/>
      <c r="AC3" s="805"/>
      <c r="AD3" s="805"/>
      <c r="AE3" s="805"/>
      <c r="AF3" s="805"/>
      <c r="AG3" s="805"/>
      <c r="AH3" s="805"/>
      <c r="AI3" s="805"/>
      <c r="AJ3" s="805"/>
      <c r="AK3" s="805"/>
      <c r="AL3" s="805"/>
      <c r="AM3" s="805"/>
      <c r="AN3" s="805"/>
      <c r="AO3" s="805"/>
      <c r="AP3" s="805"/>
      <c r="AQ3" s="805"/>
      <c r="AR3" s="805"/>
      <c r="AS3" s="805"/>
      <c r="AT3" s="805"/>
      <c r="AU3" s="805"/>
      <c r="AV3" s="805"/>
      <c r="AW3" s="805"/>
      <c r="AX3" s="805"/>
      <c r="AY3" s="805"/>
      <c r="AZ3" s="805"/>
      <c r="BA3" s="805"/>
      <c r="BB3" s="805"/>
      <c r="BC3" s="805"/>
      <c r="BD3" s="805"/>
      <c r="BE3" s="805"/>
      <c r="BF3" s="805"/>
      <c r="BG3" s="805"/>
      <c r="BH3" s="805"/>
      <c r="BI3" s="805"/>
      <c r="BJ3" s="805"/>
      <c r="BK3" s="805"/>
      <c r="BL3" s="805"/>
      <c r="BM3" s="805"/>
      <c r="BN3" s="805"/>
      <c r="BO3" s="805"/>
      <c r="BP3" s="805"/>
      <c r="BQ3" s="805"/>
      <c r="BR3" s="805"/>
      <c r="BS3" s="805"/>
      <c r="BT3" s="805"/>
      <c r="BU3" s="805"/>
      <c r="BV3" s="805"/>
      <c r="BW3" s="805"/>
      <c r="BX3" s="805"/>
      <c r="BY3" s="805"/>
      <c r="BZ3" s="805"/>
      <c r="CA3" s="805"/>
      <c r="CB3" s="805"/>
      <c r="CC3" s="805"/>
      <c r="CD3" s="805"/>
      <c r="CE3" s="805"/>
      <c r="CF3" s="805"/>
      <c r="CG3" s="805"/>
      <c r="CH3" s="805"/>
      <c r="CI3" s="805"/>
      <c r="CJ3" s="805"/>
      <c r="CK3" s="805"/>
      <c r="CL3" s="805"/>
      <c r="CM3" s="805"/>
      <c r="CN3" s="805"/>
      <c r="CO3" s="805"/>
      <c r="CP3" s="805"/>
      <c r="CQ3" s="805"/>
      <c r="CR3" s="805"/>
      <c r="CS3" s="805"/>
      <c r="CT3" s="805"/>
      <c r="CU3" s="116"/>
    </row>
    <row r="4" spans="1:100" ht="24" customHeight="1">
      <c r="A4" s="805" t="s">
        <v>2997</v>
      </c>
      <c r="B4" s="805"/>
      <c r="C4" s="805"/>
      <c r="D4" s="805"/>
      <c r="E4" s="805"/>
      <c r="F4" s="805"/>
      <c r="G4" s="805"/>
      <c r="H4" s="805"/>
      <c r="I4" s="805"/>
      <c r="J4" s="805"/>
      <c r="K4" s="805"/>
      <c r="L4" s="805"/>
      <c r="M4" s="805"/>
      <c r="N4" s="805"/>
      <c r="O4" s="805"/>
      <c r="P4" s="805"/>
      <c r="Q4" s="805"/>
      <c r="R4" s="805"/>
      <c r="S4" s="805"/>
      <c r="T4" s="805"/>
      <c r="U4" s="805"/>
      <c r="V4" s="805"/>
      <c r="W4" s="805"/>
      <c r="X4" s="805"/>
      <c r="Y4" s="805"/>
      <c r="Z4" s="805"/>
      <c r="AA4" s="805"/>
      <c r="AB4" s="805"/>
      <c r="AC4" s="805"/>
      <c r="AD4" s="805"/>
      <c r="AE4" s="805"/>
      <c r="AF4" s="805"/>
      <c r="AG4" s="805"/>
      <c r="AH4" s="805"/>
      <c r="AI4" s="805"/>
      <c r="AJ4" s="805"/>
      <c r="AK4" s="805"/>
      <c r="AL4" s="805"/>
      <c r="AM4" s="805"/>
      <c r="AN4" s="805"/>
      <c r="AO4" s="805"/>
      <c r="AP4" s="805"/>
      <c r="AQ4" s="805"/>
      <c r="AR4" s="805"/>
      <c r="AS4" s="805"/>
      <c r="AT4" s="805"/>
      <c r="AU4" s="805"/>
      <c r="AV4" s="805"/>
      <c r="AW4" s="805"/>
      <c r="AX4" s="805"/>
      <c r="AY4" s="805"/>
      <c r="AZ4" s="805"/>
      <c r="BA4" s="805"/>
      <c r="BB4" s="805"/>
      <c r="BC4" s="805"/>
      <c r="BD4" s="805"/>
      <c r="BE4" s="805"/>
      <c r="BF4" s="805"/>
      <c r="BG4" s="805"/>
      <c r="BH4" s="805"/>
      <c r="BI4" s="805"/>
      <c r="BJ4" s="805"/>
      <c r="BK4" s="805"/>
      <c r="BL4" s="805"/>
      <c r="BM4" s="805"/>
      <c r="BN4" s="805"/>
      <c r="BO4" s="805"/>
      <c r="BP4" s="805"/>
      <c r="BQ4" s="805"/>
      <c r="BR4" s="805"/>
      <c r="BS4" s="805"/>
      <c r="BT4" s="805"/>
      <c r="BU4" s="805"/>
      <c r="BV4" s="805"/>
      <c r="BW4" s="805"/>
      <c r="BX4" s="805"/>
      <c r="BY4" s="805"/>
      <c r="BZ4" s="805"/>
      <c r="CA4" s="805"/>
      <c r="CB4" s="805"/>
      <c r="CC4" s="805"/>
      <c r="CD4" s="805"/>
      <c r="CE4" s="805"/>
      <c r="CF4" s="805"/>
      <c r="CG4" s="805"/>
      <c r="CH4" s="805"/>
      <c r="CI4" s="805"/>
      <c r="CJ4" s="805"/>
      <c r="CK4" s="805"/>
      <c r="CL4" s="805"/>
      <c r="CM4" s="805"/>
      <c r="CN4" s="805"/>
      <c r="CO4" s="805"/>
      <c r="CP4" s="805"/>
      <c r="CQ4" s="805"/>
      <c r="CR4" s="805"/>
      <c r="CS4" s="805"/>
      <c r="CT4" s="805"/>
      <c r="CU4" s="116"/>
    </row>
    <row r="5" spans="1:100" ht="24" customHeight="1">
      <c r="A5" s="806" t="str">
        <f>'3.13.Thành phố Kon Tum'!A5:BY5</f>
        <v>(Kèm theo Nghị quyết số 22/NQ-HĐND ngày 22 tháng 8 năm 2025 của Hội đồng nhân dân tỉnh)</v>
      </c>
      <c r="B5" s="806"/>
      <c r="C5" s="806"/>
      <c r="D5" s="806"/>
      <c r="E5" s="806"/>
      <c r="F5" s="806"/>
      <c r="G5" s="806"/>
      <c r="H5" s="806"/>
      <c r="I5" s="806"/>
      <c r="J5" s="806"/>
      <c r="K5" s="806"/>
      <c r="L5" s="806"/>
      <c r="M5" s="806"/>
      <c r="N5" s="806"/>
      <c r="O5" s="806"/>
      <c r="P5" s="806"/>
      <c r="Q5" s="806"/>
      <c r="R5" s="806"/>
      <c r="S5" s="806"/>
      <c r="T5" s="806"/>
      <c r="U5" s="806"/>
      <c r="V5" s="806"/>
      <c r="W5" s="806"/>
      <c r="X5" s="806"/>
      <c r="Y5" s="806"/>
      <c r="Z5" s="806"/>
      <c r="AA5" s="806"/>
      <c r="AB5" s="806"/>
      <c r="AC5" s="806"/>
      <c r="AD5" s="806"/>
      <c r="AE5" s="806"/>
      <c r="AF5" s="806"/>
      <c r="AG5" s="806"/>
      <c r="AH5" s="806"/>
      <c r="AI5" s="806"/>
      <c r="AJ5" s="806"/>
      <c r="AK5" s="806"/>
      <c r="AL5" s="806"/>
      <c r="AM5" s="806"/>
      <c r="AN5" s="806"/>
      <c r="AO5" s="806"/>
      <c r="AP5" s="806"/>
      <c r="AQ5" s="806"/>
      <c r="AR5" s="806"/>
      <c r="AS5" s="806"/>
      <c r="AT5" s="806"/>
      <c r="AU5" s="806"/>
      <c r="AV5" s="806"/>
      <c r="AW5" s="806"/>
      <c r="AX5" s="806"/>
      <c r="AY5" s="806"/>
      <c r="AZ5" s="806"/>
      <c r="BA5" s="806"/>
      <c r="BB5" s="806"/>
      <c r="BC5" s="806"/>
      <c r="BD5" s="806"/>
      <c r="BE5" s="806"/>
      <c r="BF5" s="806"/>
      <c r="BG5" s="806"/>
      <c r="BH5" s="806"/>
      <c r="BI5" s="806"/>
      <c r="BJ5" s="806"/>
      <c r="BK5" s="806"/>
      <c r="BL5" s="806"/>
      <c r="BM5" s="806"/>
      <c r="BN5" s="806"/>
      <c r="BO5" s="806"/>
      <c r="BP5" s="806"/>
      <c r="BQ5" s="806"/>
      <c r="BR5" s="806"/>
      <c r="BS5" s="806"/>
      <c r="BT5" s="806"/>
      <c r="BU5" s="806"/>
      <c r="BV5" s="806"/>
      <c r="BW5" s="806"/>
      <c r="BX5" s="806"/>
      <c r="BY5" s="806"/>
      <c r="BZ5" s="806"/>
      <c r="CA5" s="806"/>
      <c r="CB5" s="806"/>
      <c r="CC5" s="806"/>
      <c r="CD5" s="806"/>
      <c r="CE5" s="806"/>
      <c r="CF5" s="806"/>
      <c r="CG5" s="806"/>
      <c r="CH5" s="806"/>
      <c r="CI5" s="806"/>
      <c r="CJ5" s="806"/>
      <c r="CK5" s="806"/>
      <c r="CL5" s="806"/>
      <c r="CM5" s="806"/>
      <c r="CN5" s="806"/>
      <c r="CO5" s="806"/>
      <c r="CP5" s="806"/>
      <c r="CQ5" s="806"/>
      <c r="CR5" s="806"/>
      <c r="CS5" s="806"/>
      <c r="CT5" s="806"/>
      <c r="CU5" s="116"/>
    </row>
    <row r="6" spans="1:100" ht="24" customHeight="1">
      <c r="A6" s="239"/>
      <c r="B6" s="239"/>
      <c r="C6" s="239"/>
      <c r="D6" s="239"/>
      <c r="E6" s="239"/>
      <c r="F6" s="239"/>
      <c r="G6" s="239"/>
      <c r="H6" s="239"/>
      <c r="I6" s="239"/>
      <c r="J6" s="239"/>
      <c r="K6" s="239"/>
      <c r="L6" s="239"/>
      <c r="M6" s="239"/>
      <c r="N6" s="239"/>
      <c r="O6" s="239"/>
      <c r="P6" s="239"/>
      <c r="Q6" s="239"/>
      <c r="R6" s="239"/>
      <c r="S6" s="239"/>
      <c r="T6" s="239"/>
      <c r="U6" s="239"/>
      <c r="V6" s="239"/>
      <c r="W6" s="239"/>
      <c r="X6" s="239"/>
      <c r="Y6" s="239"/>
      <c r="Z6" s="239"/>
      <c r="AA6" s="239"/>
      <c r="AB6" s="239"/>
      <c r="AC6" s="239"/>
      <c r="AD6" s="239"/>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116"/>
    </row>
    <row r="7" spans="1:100" ht="22.5" customHeight="1">
      <c r="A7" s="499"/>
      <c r="B7" s="499"/>
      <c r="C7" s="499"/>
      <c r="D7" s="499"/>
      <c r="E7" s="499"/>
      <c r="F7" s="499"/>
      <c r="G7" s="499"/>
      <c r="H7" s="499"/>
      <c r="I7" s="499"/>
      <c r="J7" s="499"/>
      <c r="K7" s="499"/>
      <c r="L7" s="499"/>
      <c r="M7" s="499"/>
      <c r="N7" s="499"/>
      <c r="O7" s="499"/>
      <c r="P7" s="499"/>
      <c r="Q7" s="499"/>
      <c r="R7" s="499"/>
      <c r="S7" s="499"/>
      <c r="T7" s="499"/>
      <c r="U7" s="499"/>
      <c r="V7" s="500"/>
      <c r="W7" s="500"/>
      <c r="X7" s="500"/>
      <c r="Y7" s="499"/>
      <c r="Z7" s="499"/>
      <c r="AA7" s="499"/>
      <c r="AB7" s="499"/>
      <c r="AC7" s="499"/>
      <c r="AD7" s="499"/>
      <c r="AE7" s="499"/>
      <c r="AF7" s="499"/>
      <c r="AG7" s="499"/>
      <c r="AH7" s="499"/>
      <c r="AI7" s="499"/>
      <c r="AJ7" s="499"/>
      <c r="AK7" s="499"/>
      <c r="AL7" s="499"/>
      <c r="AM7" s="499"/>
      <c r="AN7" s="499"/>
      <c r="AO7" s="499"/>
      <c r="AP7" s="499"/>
      <c r="AQ7" s="499"/>
      <c r="AR7" s="499"/>
      <c r="AS7" s="499"/>
      <c r="AT7" s="499"/>
      <c r="AU7" s="499"/>
      <c r="AV7" s="499"/>
      <c r="AW7" s="499"/>
      <c r="AX7" s="499"/>
      <c r="AY7" s="499"/>
      <c r="AZ7" s="499"/>
      <c r="BA7" s="499"/>
      <c r="BB7" s="499"/>
      <c r="BC7" s="499"/>
      <c r="BD7" s="499"/>
      <c r="BE7" s="499"/>
      <c r="BF7" s="499"/>
      <c r="BG7" s="499"/>
      <c r="BH7" s="499"/>
      <c r="BI7" s="499"/>
      <c r="BJ7" s="499"/>
      <c r="BK7" s="499"/>
      <c r="BL7" s="499"/>
      <c r="BM7" s="807" t="s">
        <v>1224</v>
      </c>
      <c r="BN7" s="807"/>
      <c r="BO7" s="807"/>
      <c r="BP7" s="807"/>
      <c r="BQ7" s="807"/>
      <c r="BR7" s="807"/>
      <c r="BS7" s="807"/>
      <c r="BT7" s="807"/>
      <c r="BU7" s="807"/>
      <c r="BV7" s="807"/>
      <c r="BW7" s="807"/>
      <c r="BX7" s="807"/>
      <c r="BY7" s="807"/>
      <c r="BZ7" s="807"/>
      <c r="CA7" s="807"/>
      <c r="CB7" s="807"/>
      <c r="CC7" s="807"/>
      <c r="CD7" s="807"/>
      <c r="CE7" s="807"/>
      <c r="CF7" s="807"/>
      <c r="CG7" s="807"/>
      <c r="CH7" s="807"/>
      <c r="CI7" s="807"/>
      <c r="CJ7" s="807"/>
      <c r="CK7" s="807"/>
      <c r="CL7" s="807"/>
      <c r="CM7" s="807"/>
      <c r="CN7" s="807"/>
      <c r="CO7" s="807"/>
      <c r="CP7" s="807"/>
      <c r="CQ7" s="807"/>
      <c r="CR7" s="807"/>
      <c r="CS7" s="807"/>
      <c r="CT7" s="807"/>
      <c r="CU7" s="131"/>
    </row>
    <row r="8" spans="1:100" ht="45" customHeight="1">
      <c r="A8" s="808" t="s">
        <v>16</v>
      </c>
      <c r="B8" s="808" t="s">
        <v>301</v>
      </c>
      <c r="C8" s="808" t="s">
        <v>2998</v>
      </c>
      <c r="D8" s="808" t="s">
        <v>2999</v>
      </c>
      <c r="E8" s="808" t="s">
        <v>3000</v>
      </c>
      <c r="F8" s="808" t="s">
        <v>3001</v>
      </c>
      <c r="G8" s="808" t="s">
        <v>3002</v>
      </c>
      <c r="H8" s="808" t="s">
        <v>3003</v>
      </c>
      <c r="I8" s="808" t="s">
        <v>3673</v>
      </c>
      <c r="J8" s="808" t="s">
        <v>18</v>
      </c>
      <c r="K8" s="808" t="s">
        <v>3004</v>
      </c>
      <c r="L8" s="808" t="s">
        <v>23</v>
      </c>
      <c r="M8" s="808" t="s">
        <v>3005</v>
      </c>
      <c r="N8" s="808" t="s">
        <v>1904</v>
      </c>
      <c r="O8" s="808"/>
      <c r="P8" s="808"/>
      <c r="Q8" s="808"/>
      <c r="R8" s="808"/>
      <c r="S8" s="808"/>
      <c r="T8" s="808"/>
      <c r="U8" s="808" t="s">
        <v>3006</v>
      </c>
      <c r="V8" s="808" t="s">
        <v>3004</v>
      </c>
      <c r="W8" s="808" t="s">
        <v>3007</v>
      </c>
      <c r="X8" s="808" t="s">
        <v>3008</v>
      </c>
      <c r="Y8" s="808" t="s">
        <v>3009</v>
      </c>
      <c r="Z8" s="808"/>
      <c r="AA8" s="808"/>
      <c r="AB8" s="808"/>
      <c r="AC8" s="262" t="s">
        <v>317</v>
      </c>
      <c r="AD8" s="262"/>
      <c r="AE8" s="262"/>
      <c r="AF8" s="808" t="s">
        <v>317</v>
      </c>
      <c r="AG8" s="808"/>
      <c r="AH8" s="808"/>
      <c r="AI8" s="808"/>
      <c r="AJ8" s="808"/>
      <c r="AK8" s="808"/>
      <c r="AL8" s="262"/>
      <c r="AM8" s="262"/>
      <c r="AN8" s="262"/>
      <c r="AO8" s="262"/>
      <c r="AP8" s="262"/>
      <c r="AQ8" s="262"/>
      <c r="AR8" s="262"/>
      <c r="AS8" s="262"/>
      <c r="AT8" s="262"/>
      <c r="AU8" s="262"/>
      <c r="AV8" s="262"/>
      <c r="AW8" s="262"/>
      <c r="AX8" s="262"/>
      <c r="AY8" s="262"/>
      <c r="AZ8" s="262"/>
      <c r="BA8" s="262"/>
      <c r="BB8" s="262"/>
      <c r="BC8" s="262"/>
      <c r="BD8" s="262"/>
      <c r="BE8" s="262"/>
      <c r="BF8" s="808" t="s">
        <v>6</v>
      </c>
      <c r="BG8" s="808"/>
      <c r="BH8" s="808"/>
      <c r="BI8" s="808"/>
      <c r="BJ8" s="808"/>
      <c r="BK8" s="808"/>
      <c r="BL8" s="808"/>
      <c r="BM8" s="808"/>
      <c r="BN8" s="808"/>
      <c r="BO8" s="808"/>
      <c r="BP8" s="808"/>
      <c r="BQ8" s="808"/>
      <c r="BR8" s="808"/>
      <c r="BS8" s="808"/>
      <c r="BT8" s="808"/>
      <c r="BU8" s="808"/>
      <c r="BV8" s="808"/>
      <c r="BW8" s="808"/>
      <c r="BX8" s="808"/>
      <c r="BY8" s="808"/>
      <c r="BZ8" s="808" t="s">
        <v>3010</v>
      </c>
      <c r="CA8" s="808"/>
      <c r="CB8" s="808"/>
      <c r="CC8" s="808"/>
      <c r="CD8" s="808"/>
      <c r="CE8" s="808"/>
      <c r="CF8" s="808"/>
      <c r="CG8" s="808"/>
      <c r="CH8" s="808"/>
      <c r="CI8" s="808"/>
      <c r="CJ8" s="808"/>
      <c r="CK8" s="808" t="s">
        <v>318</v>
      </c>
      <c r="CL8" s="808"/>
      <c r="CM8" s="808"/>
      <c r="CN8" s="808"/>
      <c r="CO8" s="808" t="s">
        <v>3011</v>
      </c>
      <c r="CP8" s="808" t="s">
        <v>3012</v>
      </c>
      <c r="CQ8" s="808" t="s">
        <v>3013</v>
      </c>
      <c r="CR8" s="808" t="s">
        <v>0</v>
      </c>
      <c r="CS8" s="808" t="s">
        <v>3662</v>
      </c>
      <c r="CT8" s="811" t="s">
        <v>0</v>
      </c>
      <c r="CU8" s="160"/>
    </row>
    <row r="9" spans="1:100" ht="25.5" customHeight="1">
      <c r="A9" s="808"/>
      <c r="B9" s="808"/>
      <c r="C9" s="808"/>
      <c r="D9" s="808"/>
      <c r="E9" s="808"/>
      <c r="F9" s="808"/>
      <c r="G9" s="808"/>
      <c r="H9" s="808"/>
      <c r="I9" s="808"/>
      <c r="J9" s="808"/>
      <c r="K9" s="808"/>
      <c r="L9" s="808"/>
      <c r="M9" s="808"/>
      <c r="N9" s="808" t="s">
        <v>31</v>
      </c>
      <c r="O9" s="808" t="s">
        <v>32</v>
      </c>
      <c r="P9" s="810" t="s">
        <v>33</v>
      </c>
      <c r="Q9" s="808" t="s">
        <v>300</v>
      </c>
      <c r="R9" s="808"/>
      <c r="S9" s="808"/>
      <c r="T9" s="808"/>
      <c r="U9" s="808"/>
      <c r="V9" s="808"/>
      <c r="W9" s="808"/>
      <c r="X9" s="808"/>
      <c r="Y9" s="808" t="s">
        <v>2</v>
      </c>
      <c r="Z9" s="808" t="s">
        <v>42</v>
      </c>
      <c r="AA9" s="808"/>
      <c r="AB9" s="808"/>
      <c r="AC9" s="262"/>
      <c r="AD9" s="262"/>
      <c r="AE9" s="262"/>
      <c r="AF9" s="808" t="s">
        <v>3014</v>
      </c>
      <c r="AG9" s="808" t="s">
        <v>42</v>
      </c>
      <c r="AH9" s="808"/>
      <c r="AI9" s="808"/>
      <c r="AJ9" s="808"/>
      <c r="AK9" s="808"/>
      <c r="AL9" s="262"/>
      <c r="AM9" s="808" t="s">
        <v>3015</v>
      </c>
      <c r="AN9" s="808"/>
      <c r="AO9" s="808"/>
      <c r="AP9" s="808"/>
      <c r="AQ9" s="808"/>
      <c r="AR9" s="808"/>
      <c r="AS9" s="808"/>
      <c r="AT9" s="808"/>
      <c r="AU9" s="808"/>
      <c r="AV9" s="808" t="s">
        <v>3016</v>
      </c>
      <c r="AW9" s="808"/>
      <c r="AX9" s="808"/>
      <c r="AY9" s="808"/>
      <c r="AZ9" s="808"/>
      <c r="BA9" s="808"/>
      <c r="BB9" s="808"/>
      <c r="BC9" s="808"/>
      <c r="BD9" s="808"/>
      <c r="BE9" s="808" t="s">
        <v>3017</v>
      </c>
      <c r="BF9" s="262" t="s">
        <v>3018</v>
      </c>
      <c r="BG9" s="262"/>
      <c r="BH9" s="262"/>
      <c r="BI9" s="808" t="s">
        <v>3014</v>
      </c>
      <c r="BJ9" s="808" t="s">
        <v>42</v>
      </c>
      <c r="BK9" s="808"/>
      <c r="BL9" s="808"/>
      <c r="BM9" s="808"/>
      <c r="BN9" s="808"/>
      <c r="BO9" s="262"/>
      <c r="BP9" s="808" t="s">
        <v>3019</v>
      </c>
      <c r="BQ9" s="808"/>
      <c r="BR9" s="808"/>
      <c r="BS9" s="808"/>
      <c r="BT9" s="808"/>
      <c r="BU9" s="808"/>
      <c r="BV9" s="808"/>
      <c r="BW9" s="808"/>
      <c r="BX9" s="808"/>
      <c r="BY9" s="808" t="s">
        <v>3017</v>
      </c>
      <c r="BZ9" s="808" t="s">
        <v>3020</v>
      </c>
      <c r="CA9" s="808"/>
      <c r="CB9" s="808"/>
      <c r="CC9" s="808"/>
      <c r="CD9" s="808"/>
      <c r="CE9" s="808" t="s">
        <v>3021</v>
      </c>
      <c r="CF9" s="808"/>
      <c r="CG9" s="808"/>
      <c r="CH9" s="808"/>
      <c r="CI9" s="808"/>
      <c r="CJ9" s="808" t="s">
        <v>3017</v>
      </c>
      <c r="CK9" s="808"/>
      <c r="CL9" s="808"/>
      <c r="CM9" s="808"/>
      <c r="CN9" s="808"/>
      <c r="CO9" s="808"/>
      <c r="CP9" s="808"/>
      <c r="CQ9" s="808"/>
      <c r="CR9" s="808"/>
      <c r="CS9" s="808"/>
      <c r="CT9" s="811"/>
      <c r="CU9" s="160"/>
    </row>
    <row r="10" spans="1:100" ht="5.25" customHeight="1">
      <c r="A10" s="808"/>
      <c r="B10" s="808"/>
      <c r="C10" s="808"/>
      <c r="D10" s="808"/>
      <c r="E10" s="808"/>
      <c r="F10" s="808"/>
      <c r="G10" s="808"/>
      <c r="H10" s="808"/>
      <c r="I10" s="808"/>
      <c r="J10" s="808"/>
      <c r="K10" s="808"/>
      <c r="L10" s="808"/>
      <c r="M10" s="808"/>
      <c r="N10" s="808"/>
      <c r="O10" s="808"/>
      <c r="P10" s="810"/>
      <c r="Q10" s="808"/>
      <c r="R10" s="808"/>
      <c r="S10" s="808"/>
      <c r="T10" s="808"/>
      <c r="U10" s="808"/>
      <c r="V10" s="808"/>
      <c r="W10" s="808"/>
      <c r="X10" s="808"/>
      <c r="Y10" s="808"/>
      <c r="Z10" s="808"/>
      <c r="AA10" s="808"/>
      <c r="AB10" s="808"/>
      <c r="AC10" s="810" t="s">
        <v>3014</v>
      </c>
      <c r="AD10" s="263"/>
      <c r="AE10" s="263"/>
      <c r="AF10" s="808"/>
      <c r="AG10" s="809" t="s">
        <v>8</v>
      </c>
      <c r="AH10" s="809" t="s">
        <v>3022</v>
      </c>
      <c r="AI10" s="809" t="s">
        <v>3023</v>
      </c>
      <c r="AJ10" s="809" t="s">
        <v>304</v>
      </c>
      <c r="AK10" s="809" t="s">
        <v>38</v>
      </c>
      <c r="AL10" s="263"/>
      <c r="AM10" s="810" t="s">
        <v>3014</v>
      </c>
      <c r="AN10" s="812" t="s">
        <v>3026</v>
      </c>
      <c r="AO10" s="812"/>
      <c r="AP10" s="812"/>
      <c r="AQ10" s="812"/>
      <c r="AR10" s="812"/>
      <c r="AS10" s="812"/>
      <c r="AT10" s="812"/>
      <c r="AU10" s="812"/>
      <c r="AV10" s="810" t="s">
        <v>3014</v>
      </c>
      <c r="AW10" s="812" t="s">
        <v>3026</v>
      </c>
      <c r="AX10" s="812"/>
      <c r="AY10" s="812"/>
      <c r="AZ10" s="812"/>
      <c r="BA10" s="812"/>
      <c r="BB10" s="812"/>
      <c r="BC10" s="812"/>
      <c r="BD10" s="812"/>
      <c r="BE10" s="808"/>
      <c r="BF10" s="810" t="s">
        <v>3014</v>
      </c>
      <c r="BG10" s="263" t="s">
        <v>3026</v>
      </c>
      <c r="BH10" s="263"/>
      <c r="BI10" s="808"/>
      <c r="BJ10" s="809" t="s">
        <v>8</v>
      </c>
      <c r="BK10" s="809" t="s">
        <v>3022</v>
      </c>
      <c r="BL10" s="809" t="s">
        <v>3023</v>
      </c>
      <c r="BM10" s="809" t="s">
        <v>304</v>
      </c>
      <c r="BN10" s="809" t="s">
        <v>38</v>
      </c>
      <c r="BO10" s="263"/>
      <c r="BP10" s="810" t="s">
        <v>3014</v>
      </c>
      <c r="BQ10" s="812" t="s">
        <v>3026</v>
      </c>
      <c r="BR10" s="812"/>
      <c r="BS10" s="812"/>
      <c r="BT10" s="812"/>
      <c r="BU10" s="812"/>
      <c r="BV10" s="812"/>
      <c r="BW10" s="812"/>
      <c r="BX10" s="812"/>
      <c r="BY10" s="808"/>
      <c r="BZ10" s="810" t="s">
        <v>3014</v>
      </c>
      <c r="CA10" s="812" t="s">
        <v>3026</v>
      </c>
      <c r="CB10" s="812"/>
      <c r="CC10" s="812"/>
      <c r="CD10" s="812"/>
      <c r="CE10" s="810" t="s">
        <v>3014</v>
      </c>
      <c r="CF10" s="812" t="s">
        <v>3026</v>
      </c>
      <c r="CG10" s="812"/>
      <c r="CH10" s="812"/>
      <c r="CI10" s="812"/>
      <c r="CJ10" s="808"/>
      <c r="CK10" s="808" t="s">
        <v>29</v>
      </c>
      <c r="CL10" s="808" t="s">
        <v>1</v>
      </c>
      <c r="CM10" s="808"/>
      <c r="CN10" s="808"/>
      <c r="CO10" s="808"/>
      <c r="CP10" s="808"/>
      <c r="CQ10" s="808"/>
      <c r="CR10" s="808"/>
      <c r="CS10" s="808"/>
      <c r="CT10" s="811"/>
      <c r="CU10" s="160"/>
    </row>
    <row r="11" spans="1:100" ht="18" customHeight="1">
      <c r="A11" s="808"/>
      <c r="B11" s="808"/>
      <c r="C11" s="808"/>
      <c r="D11" s="808"/>
      <c r="E11" s="808"/>
      <c r="F11" s="808"/>
      <c r="G11" s="808"/>
      <c r="H11" s="808"/>
      <c r="I11" s="808"/>
      <c r="J11" s="808"/>
      <c r="K11" s="808"/>
      <c r="L11" s="808"/>
      <c r="M11" s="808"/>
      <c r="N11" s="808"/>
      <c r="O11" s="808"/>
      <c r="P11" s="810"/>
      <c r="Q11" s="810" t="s">
        <v>3027</v>
      </c>
      <c r="R11" s="808" t="s">
        <v>79</v>
      </c>
      <c r="S11" s="808" t="s">
        <v>36</v>
      </c>
      <c r="T11" s="808" t="s">
        <v>3030</v>
      </c>
      <c r="U11" s="808"/>
      <c r="V11" s="808"/>
      <c r="W11" s="808"/>
      <c r="X11" s="808"/>
      <c r="Y11" s="808"/>
      <c r="Z11" s="810" t="s">
        <v>3027</v>
      </c>
      <c r="AA11" s="810" t="s">
        <v>3028</v>
      </c>
      <c r="AB11" s="808" t="s">
        <v>36</v>
      </c>
      <c r="AC11" s="810"/>
      <c r="AD11" s="810" t="s">
        <v>3027</v>
      </c>
      <c r="AE11" s="810" t="s">
        <v>3028</v>
      </c>
      <c r="AF11" s="808"/>
      <c r="AG11" s="809"/>
      <c r="AH11" s="809"/>
      <c r="AI11" s="809"/>
      <c r="AJ11" s="809"/>
      <c r="AK11" s="809"/>
      <c r="AL11" s="808" t="s">
        <v>3030</v>
      </c>
      <c r="AM11" s="810"/>
      <c r="AN11" s="810" t="s">
        <v>3027</v>
      </c>
      <c r="AO11" s="810" t="s">
        <v>3028</v>
      </c>
      <c r="AP11" s="808" t="s">
        <v>3029</v>
      </c>
      <c r="AQ11" s="808" t="s">
        <v>42</v>
      </c>
      <c r="AR11" s="808"/>
      <c r="AS11" s="808"/>
      <c r="AT11" s="808"/>
      <c r="AU11" s="808" t="s">
        <v>3030</v>
      </c>
      <c r="AV11" s="810"/>
      <c r="AW11" s="810" t="s">
        <v>3027</v>
      </c>
      <c r="AX11" s="810" t="s">
        <v>3028</v>
      </c>
      <c r="AY11" s="808" t="s">
        <v>3029</v>
      </c>
      <c r="AZ11" s="808" t="s">
        <v>42</v>
      </c>
      <c r="BA11" s="808"/>
      <c r="BB11" s="808"/>
      <c r="BC11" s="808"/>
      <c r="BD11" s="808" t="s">
        <v>3030</v>
      </c>
      <c r="BE11" s="808"/>
      <c r="BF11" s="810"/>
      <c r="BG11" s="810" t="s">
        <v>3027</v>
      </c>
      <c r="BH11" s="810" t="s">
        <v>3028</v>
      </c>
      <c r="BI11" s="808"/>
      <c r="BJ11" s="809"/>
      <c r="BK11" s="809"/>
      <c r="BL11" s="809"/>
      <c r="BM11" s="809"/>
      <c r="BN11" s="809"/>
      <c r="BO11" s="808" t="s">
        <v>3030</v>
      </c>
      <c r="BP11" s="810"/>
      <c r="BQ11" s="810" t="s">
        <v>3027</v>
      </c>
      <c r="BR11" s="810" t="s">
        <v>3028</v>
      </c>
      <c r="BS11" s="808" t="s">
        <v>3029</v>
      </c>
      <c r="BT11" s="808" t="s">
        <v>42</v>
      </c>
      <c r="BU11" s="808"/>
      <c r="BV11" s="808"/>
      <c r="BW11" s="808"/>
      <c r="BX11" s="808" t="s">
        <v>3030</v>
      </c>
      <c r="BY11" s="808"/>
      <c r="BZ11" s="810"/>
      <c r="CA11" s="810" t="s">
        <v>3027</v>
      </c>
      <c r="CB11" s="810" t="s">
        <v>3028</v>
      </c>
      <c r="CC11" s="808" t="s">
        <v>3029</v>
      </c>
      <c r="CD11" s="808" t="s">
        <v>3030</v>
      </c>
      <c r="CE11" s="810"/>
      <c r="CF11" s="810" t="s">
        <v>3027</v>
      </c>
      <c r="CG11" s="810" t="s">
        <v>3028</v>
      </c>
      <c r="CH11" s="808" t="s">
        <v>3029</v>
      </c>
      <c r="CI11" s="808" t="s">
        <v>3030</v>
      </c>
      <c r="CJ11" s="808"/>
      <c r="CK11" s="808"/>
      <c r="CL11" s="808" t="s">
        <v>34</v>
      </c>
      <c r="CM11" s="808" t="s">
        <v>35</v>
      </c>
      <c r="CN11" s="808" t="s">
        <v>39</v>
      </c>
      <c r="CO11" s="808"/>
      <c r="CP11" s="808"/>
      <c r="CQ11" s="808"/>
      <c r="CR11" s="808"/>
      <c r="CS11" s="808"/>
      <c r="CT11" s="811"/>
      <c r="CU11" s="160"/>
    </row>
    <row r="12" spans="1:100" ht="73.5" customHeight="1">
      <c r="A12" s="808"/>
      <c r="B12" s="808"/>
      <c r="C12" s="808"/>
      <c r="D12" s="808"/>
      <c r="E12" s="808"/>
      <c r="F12" s="808"/>
      <c r="G12" s="808"/>
      <c r="H12" s="808"/>
      <c r="I12" s="808"/>
      <c r="J12" s="808"/>
      <c r="K12" s="808"/>
      <c r="L12" s="808"/>
      <c r="M12" s="808"/>
      <c r="N12" s="808"/>
      <c r="O12" s="808"/>
      <c r="P12" s="810"/>
      <c r="Q12" s="810"/>
      <c r="R12" s="808"/>
      <c r="S12" s="808"/>
      <c r="T12" s="808"/>
      <c r="U12" s="808"/>
      <c r="V12" s="808"/>
      <c r="W12" s="808"/>
      <c r="X12" s="808"/>
      <c r="Y12" s="808"/>
      <c r="Z12" s="810"/>
      <c r="AA12" s="810"/>
      <c r="AB12" s="808"/>
      <c r="AC12" s="810"/>
      <c r="AD12" s="810"/>
      <c r="AE12" s="810"/>
      <c r="AF12" s="808"/>
      <c r="AG12" s="809"/>
      <c r="AH12" s="809"/>
      <c r="AI12" s="809"/>
      <c r="AJ12" s="809"/>
      <c r="AK12" s="809"/>
      <c r="AL12" s="808"/>
      <c r="AM12" s="810"/>
      <c r="AN12" s="810"/>
      <c r="AO12" s="810"/>
      <c r="AP12" s="808"/>
      <c r="AQ12" s="381" t="s">
        <v>3022</v>
      </c>
      <c r="AR12" s="381" t="s">
        <v>3023</v>
      </c>
      <c r="AS12" s="381" t="s">
        <v>3024</v>
      </c>
      <c r="AT12" s="381" t="s">
        <v>3025</v>
      </c>
      <c r="AU12" s="808"/>
      <c r="AV12" s="810"/>
      <c r="AW12" s="810"/>
      <c r="AX12" s="810"/>
      <c r="AY12" s="808"/>
      <c r="AZ12" s="381" t="s">
        <v>3022</v>
      </c>
      <c r="BA12" s="381" t="s">
        <v>3023</v>
      </c>
      <c r="BB12" s="381" t="s">
        <v>3024</v>
      </c>
      <c r="BC12" s="381" t="s">
        <v>3025</v>
      </c>
      <c r="BD12" s="808"/>
      <c r="BE12" s="808"/>
      <c r="BF12" s="810"/>
      <c r="BG12" s="810"/>
      <c r="BH12" s="810"/>
      <c r="BI12" s="808"/>
      <c r="BJ12" s="809"/>
      <c r="BK12" s="809"/>
      <c r="BL12" s="809"/>
      <c r="BM12" s="809"/>
      <c r="BN12" s="809"/>
      <c r="BO12" s="808"/>
      <c r="BP12" s="810"/>
      <c r="BQ12" s="810"/>
      <c r="BR12" s="810"/>
      <c r="BS12" s="808"/>
      <c r="BT12" s="381" t="s">
        <v>3022</v>
      </c>
      <c r="BU12" s="381" t="s">
        <v>3023</v>
      </c>
      <c r="BV12" s="381" t="s">
        <v>3024</v>
      </c>
      <c r="BW12" s="381" t="s">
        <v>3025</v>
      </c>
      <c r="BX12" s="808"/>
      <c r="BY12" s="808"/>
      <c r="BZ12" s="810"/>
      <c r="CA12" s="810"/>
      <c r="CB12" s="810"/>
      <c r="CC12" s="808"/>
      <c r="CD12" s="808"/>
      <c r="CE12" s="810"/>
      <c r="CF12" s="810"/>
      <c r="CG12" s="810"/>
      <c r="CH12" s="808"/>
      <c r="CI12" s="808"/>
      <c r="CJ12" s="808"/>
      <c r="CK12" s="808"/>
      <c r="CL12" s="808"/>
      <c r="CM12" s="808"/>
      <c r="CN12" s="808"/>
      <c r="CO12" s="808"/>
      <c r="CP12" s="808"/>
      <c r="CQ12" s="808"/>
      <c r="CR12" s="808"/>
      <c r="CS12" s="808"/>
      <c r="CT12" s="811"/>
      <c r="CU12" s="160"/>
      <c r="CV12" s="114"/>
    </row>
    <row r="13" spans="1:100" ht="25.5" hidden="1" customHeight="1">
      <c r="A13" s="264">
        <v>1</v>
      </c>
      <c r="B13" s="264">
        <v>2</v>
      </c>
      <c r="C13" s="264"/>
      <c r="D13" s="264"/>
      <c r="E13" s="264">
        <v>4</v>
      </c>
      <c r="F13" s="264">
        <v>4</v>
      </c>
      <c r="G13" s="264">
        <v>5</v>
      </c>
      <c r="H13" s="264">
        <v>6</v>
      </c>
      <c r="I13" s="264">
        <v>77</v>
      </c>
      <c r="J13" s="264">
        <v>4</v>
      </c>
      <c r="K13" s="264">
        <v>16</v>
      </c>
      <c r="L13" s="264">
        <v>7</v>
      </c>
      <c r="M13" s="265">
        <v>8</v>
      </c>
      <c r="N13" s="266">
        <v>9</v>
      </c>
      <c r="O13" s="266">
        <v>10</v>
      </c>
      <c r="P13" s="266">
        <v>11</v>
      </c>
      <c r="Q13" s="266">
        <v>12</v>
      </c>
      <c r="R13" s="267"/>
      <c r="S13" s="267"/>
      <c r="T13" s="266"/>
      <c r="U13" s="266">
        <v>15</v>
      </c>
      <c r="V13" s="266">
        <v>16</v>
      </c>
      <c r="W13" s="266">
        <v>17</v>
      </c>
      <c r="X13" s="266">
        <v>77</v>
      </c>
      <c r="Y13" s="266">
        <v>19</v>
      </c>
      <c r="Z13" s="266">
        <v>20</v>
      </c>
      <c r="AA13" s="266">
        <v>21</v>
      </c>
      <c r="AB13" s="266">
        <v>22</v>
      </c>
      <c r="AC13" s="266">
        <v>23</v>
      </c>
      <c r="AD13" s="266">
        <v>24</v>
      </c>
      <c r="AE13" s="266">
        <v>25</v>
      </c>
      <c r="AF13" s="266">
        <v>26</v>
      </c>
      <c r="AG13" s="266"/>
      <c r="AH13" s="266">
        <v>27</v>
      </c>
      <c r="AI13" s="266">
        <v>28</v>
      </c>
      <c r="AJ13" s="266">
        <v>29</v>
      </c>
      <c r="AK13" s="266">
        <v>30</v>
      </c>
      <c r="AL13" s="266"/>
      <c r="AM13" s="266">
        <v>27</v>
      </c>
      <c r="AN13" s="266">
        <v>28</v>
      </c>
      <c r="AO13" s="266">
        <v>31</v>
      </c>
      <c r="AP13" s="266">
        <v>32</v>
      </c>
      <c r="AQ13" s="266"/>
      <c r="AR13" s="266"/>
      <c r="AS13" s="266"/>
      <c r="AT13" s="266"/>
      <c r="AU13" s="266">
        <v>34</v>
      </c>
      <c r="AV13" s="266">
        <v>35</v>
      </c>
      <c r="AW13" s="266">
        <v>36</v>
      </c>
      <c r="AX13" s="266">
        <v>37</v>
      </c>
      <c r="AY13" s="266">
        <v>38</v>
      </c>
      <c r="AZ13" s="266"/>
      <c r="BA13" s="266"/>
      <c r="BB13" s="266"/>
      <c r="BC13" s="266"/>
      <c r="BD13" s="266">
        <v>40</v>
      </c>
      <c r="BE13" s="266">
        <v>41</v>
      </c>
      <c r="BF13" s="266">
        <v>42</v>
      </c>
      <c r="BG13" s="266">
        <v>43</v>
      </c>
      <c r="BH13" s="266">
        <v>46</v>
      </c>
      <c r="BI13" s="266">
        <v>47</v>
      </c>
      <c r="BJ13" s="266"/>
      <c r="BK13" s="266"/>
      <c r="BL13" s="266"/>
      <c r="BM13" s="266"/>
      <c r="BN13" s="266"/>
      <c r="BO13" s="266">
        <v>49</v>
      </c>
      <c r="BP13" s="266">
        <v>50</v>
      </c>
      <c r="BQ13" s="266">
        <v>51</v>
      </c>
      <c r="BR13" s="266">
        <v>54</v>
      </c>
      <c r="BS13" s="266">
        <v>55</v>
      </c>
      <c r="BT13" s="266"/>
      <c r="BU13" s="266"/>
      <c r="BV13" s="266"/>
      <c r="BW13" s="266"/>
      <c r="BX13" s="266">
        <v>57</v>
      </c>
      <c r="BY13" s="266">
        <v>58</v>
      </c>
      <c r="BZ13" s="266">
        <v>59</v>
      </c>
      <c r="CA13" s="266">
        <v>60</v>
      </c>
      <c r="CB13" s="266">
        <v>63</v>
      </c>
      <c r="CC13" s="266">
        <v>64</v>
      </c>
      <c r="CD13" s="266">
        <v>66</v>
      </c>
      <c r="CE13" s="266">
        <v>67</v>
      </c>
      <c r="CF13" s="266">
        <v>68</v>
      </c>
      <c r="CG13" s="266">
        <v>71</v>
      </c>
      <c r="CH13" s="266">
        <v>72</v>
      </c>
      <c r="CI13" s="266">
        <v>74</v>
      </c>
      <c r="CJ13" s="266">
        <v>75</v>
      </c>
      <c r="CK13" s="266"/>
      <c r="CL13" s="266"/>
      <c r="CM13" s="266"/>
      <c r="CN13" s="266"/>
      <c r="CO13" s="266"/>
      <c r="CP13" s="266">
        <v>79</v>
      </c>
      <c r="CQ13" s="266"/>
      <c r="CR13" s="266">
        <v>81</v>
      </c>
      <c r="CS13" s="266"/>
      <c r="CT13" s="268"/>
      <c r="CU13" s="156"/>
    </row>
    <row r="14" spans="1:100" ht="18.75" customHeight="1">
      <c r="A14" s="269">
        <v>1</v>
      </c>
      <c r="B14" s="269">
        <v>2</v>
      </c>
      <c r="C14" s="269"/>
      <c r="D14" s="269"/>
      <c r="E14" s="269">
        <v>3</v>
      </c>
      <c r="F14" s="269">
        <v>4</v>
      </c>
      <c r="G14" s="269"/>
      <c r="H14" s="269"/>
      <c r="I14" s="269">
        <v>4</v>
      </c>
      <c r="J14" s="269">
        <v>5</v>
      </c>
      <c r="K14" s="269">
        <v>6</v>
      </c>
      <c r="L14" s="269">
        <v>7</v>
      </c>
      <c r="M14" s="269"/>
      <c r="N14" s="269"/>
      <c r="O14" s="269">
        <v>8</v>
      </c>
      <c r="P14" s="269">
        <v>9</v>
      </c>
      <c r="Q14" s="269"/>
      <c r="R14" s="269">
        <v>10</v>
      </c>
      <c r="S14" s="269">
        <v>10</v>
      </c>
      <c r="T14" s="269"/>
      <c r="U14" s="269"/>
      <c r="V14" s="269"/>
      <c r="W14" s="269"/>
      <c r="X14" s="269"/>
      <c r="Y14" s="269">
        <v>11</v>
      </c>
      <c r="Z14" s="269"/>
      <c r="AA14" s="269">
        <v>12</v>
      </c>
      <c r="AB14" s="269">
        <v>12</v>
      </c>
      <c r="AC14" s="269"/>
      <c r="AD14" s="269"/>
      <c r="AE14" s="269"/>
      <c r="AF14" s="269">
        <v>13</v>
      </c>
      <c r="AG14" s="269">
        <v>14</v>
      </c>
      <c r="AH14" s="269"/>
      <c r="AI14" s="269"/>
      <c r="AJ14" s="269">
        <v>15</v>
      </c>
      <c r="AK14" s="269">
        <v>16</v>
      </c>
      <c r="AL14" s="269"/>
      <c r="AM14" s="269"/>
      <c r="AN14" s="269"/>
      <c r="AO14" s="269"/>
      <c r="AP14" s="269"/>
      <c r="AQ14" s="269"/>
      <c r="AR14" s="269"/>
      <c r="AS14" s="269"/>
      <c r="AT14" s="269"/>
      <c r="AU14" s="269"/>
      <c r="AV14" s="269"/>
      <c r="AW14" s="269"/>
      <c r="AX14" s="269"/>
      <c r="AY14" s="269"/>
      <c r="AZ14" s="269"/>
      <c r="BA14" s="269"/>
      <c r="BB14" s="269"/>
      <c r="BC14" s="269"/>
      <c r="BD14" s="269"/>
      <c r="BE14" s="269"/>
      <c r="BF14" s="269"/>
      <c r="BG14" s="269"/>
      <c r="BH14" s="269"/>
      <c r="BI14" s="269">
        <v>17</v>
      </c>
      <c r="BJ14" s="269">
        <v>18</v>
      </c>
      <c r="BK14" s="269"/>
      <c r="BL14" s="269"/>
      <c r="BM14" s="269">
        <v>19</v>
      </c>
      <c r="BN14" s="269">
        <v>20</v>
      </c>
      <c r="BO14" s="269"/>
      <c r="BP14" s="269"/>
      <c r="BQ14" s="269"/>
      <c r="BR14" s="269"/>
      <c r="BS14" s="269"/>
      <c r="BT14" s="269"/>
      <c r="BU14" s="269"/>
      <c r="BV14" s="269"/>
      <c r="BW14" s="269"/>
      <c r="BX14" s="269"/>
      <c r="BY14" s="269"/>
      <c r="BZ14" s="269"/>
      <c r="CA14" s="269"/>
      <c r="CB14" s="269"/>
      <c r="CC14" s="269"/>
      <c r="CD14" s="269"/>
      <c r="CE14" s="269"/>
      <c r="CF14" s="269"/>
      <c r="CG14" s="269"/>
      <c r="CH14" s="269"/>
      <c r="CI14" s="269"/>
      <c r="CJ14" s="269"/>
      <c r="CK14" s="269"/>
      <c r="CL14" s="269"/>
      <c r="CM14" s="269"/>
      <c r="CN14" s="269"/>
      <c r="CO14" s="269"/>
      <c r="CP14" s="269"/>
      <c r="CQ14" s="269"/>
      <c r="CR14" s="269"/>
      <c r="CS14" s="269">
        <v>21</v>
      </c>
      <c r="CT14" s="270">
        <v>21</v>
      </c>
      <c r="CU14" s="157"/>
    </row>
    <row r="15" spans="1:100" ht="33.75" customHeight="1">
      <c r="A15" s="271"/>
      <c r="B15" s="272" t="s">
        <v>3031</v>
      </c>
      <c r="C15" s="272"/>
      <c r="D15" s="273"/>
      <c r="E15" s="272"/>
      <c r="F15" s="272"/>
      <c r="G15" s="272"/>
      <c r="H15" s="272"/>
      <c r="I15" s="274"/>
      <c r="J15" s="272"/>
      <c r="K15" s="274"/>
      <c r="L15" s="273"/>
      <c r="M15" s="273"/>
      <c r="N15" s="275"/>
      <c r="O15" s="275"/>
      <c r="P15" s="276">
        <f>P23+P194+P231+P16+P192</f>
        <v>1559113.429981</v>
      </c>
      <c r="Q15" s="276">
        <f t="shared" ref="Q15:CB15" si="0">Q23+Q194+Q231+Q16+Q192</f>
        <v>517316.29585699999</v>
      </c>
      <c r="R15" s="276">
        <f t="shared" si="0"/>
        <v>70000</v>
      </c>
      <c r="S15" s="276">
        <f t="shared" si="0"/>
        <v>964212.47012399987</v>
      </c>
      <c r="T15" s="276">
        <f t="shared" si="0"/>
        <v>19742.683000000001</v>
      </c>
      <c r="U15" s="276">
        <f t="shared" si="0"/>
        <v>0</v>
      </c>
      <c r="V15" s="276" t="e">
        <f t="shared" si="0"/>
        <v>#VALUE!</v>
      </c>
      <c r="W15" s="276" t="e">
        <f t="shared" si="0"/>
        <v>#VALUE!</v>
      </c>
      <c r="X15" s="276" t="e">
        <f t="shared" si="0"/>
        <v>#VALUE!</v>
      </c>
      <c r="Y15" s="276">
        <f t="shared" si="0"/>
        <v>14540</v>
      </c>
      <c r="Z15" s="276">
        <f t="shared" si="0"/>
        <v>0</v>
      </c>
      <c r="AA15" s="276">
        <f t="shared" si="0"/>
        <v>0</v>
      </c>
      <c r="AB15" s="276">
        <f t="shared" si="0"/>
        <v>14540</v>
      </c>
      <c r="AC15" s="276">
        <f t="shared" si="0"/>
        <v>918438.3075</v>
      </c>
      <c r="AD15" s="276">
        <f t="shared" si="0"/>
        <v>76293.443499999994</v>
      </c>
      <c r="AE15" s="276">
        <f t="shared" si="0"/>
        <v>0</v>
      </c>
      <c r="AF15" s="276">
        <f t="shared" si="0"/>
        <v>772143.86399999983</v>
      </c>
      <c r="AG15" s="276">
        <f t="shared" si="0"/>
        <v>105475.019</v>
      </c>
      <c r="AH15" s="276">
        <f t="shared" si="0"/>
        <v>98280.019</v>
      </c>
      <c r="AI15" s="276">
        <f t="shared" si="0"/>
        <v>7195</v>
      </c>
      <c r="AJ15" s="276">
        <f t="shared" si="0"/>
        <v>425218.09224800003</v>
      </c>
      <c r="AK15" s="276">
        <f t="shared" si="0"/>
        <v>241450.752752</v>
      </c>
      <c r="AL15" s="276">
        <f t="shared" si="0"/>
        <v>30944.560147</v>
      </c>
      <c r="AM15" s="276">
        <f t="shared" si="0"/>
        <v>364245.61050000001</v>
      </c>
      <c r="AN15" s="276">
        <f t="shared" si="0"/>
        <v>76293.443499999994</v>
      </c>
      <c r="AO15" s="276">
        <f t="shared" si="0"/>
        <v>0</v>
      </c>
      <c r="AP15" s="276">
        <f t="shared" si="0"/>
        <v>287952.16700000002</v>
      </c>
      <c r="AQ15" s="276">
        <f t="shared" si="0"/>
        <v>95622.981</v>
      </c>
      <c r="AR15" s="276">
        <f t="shared" si="0"/>
        <v>3548</v>
      </c>
      <c r="AS15" s="276">
        <f t="shared" si="0"/>
        <v>148050.88374400002</v>
      </c>
      <c r="AT15" s="276">
        <f t="shared" si="0"/>
        <v>40730.302256000003</v>
      </c>
      <c r="AU15" s="276">
        <f t="shared" si="0"/>
        <v>22974.340065</v>
      </c>
      <c r="AV15" s="276">
        <f t="shared" si="0"/>
        <v>322046.795461</v>
      </c>
      <c r="AW15" s="276">
        <f t="shared" si="0"/>
        <v>58658.468463999998</v>
      </c>
      <c r="AX15" s="276">
        <f t="shared" si="0"/>
        <v>0</v>
      </c>
      <c r="AY15" s="276">
        <f t="shared" si="0"/>
        <v>263388.32699700003</v>
      </c>
      <c r="AZ15" s="276">
        <f t="shared" si="0"/>
        <v>77833.618988999995</v>
      </c>
      <c r="BA15" s="276">
        <f t="shared" si="0"/>
        <v>3548</v>
      </c>
      <c r="BB15" s="276">
        <f t="shared" si="0"/>
        <v>141420.65963400001</v>
      </c>
      <c r="BC15" s="276">
        <f t="shared" si="0"/>
        <v>40586.048373999998</v>
      </c>
      <c r="BD15" s="276">
        <f t="shared" si="0"/>
        <v>22974.340065</v>
      </c>
      <c r="BE15" s="276">
        <f t="shared" si="0"/>
        <v>6993.6023115433227</v>
      </c>
      <c r="BF15" s="276">
        <f t="shared" si="0"/>
        <v>109025.12699999999</v>
      </c>
      <c r="BG15" s="276">
        <f t="shared" si="0"/>
        <v>40641</v>
      </c>
      <c r="BH15" s="276">
        <f t="shared" si="0"/>
        <v>0</v>
      </c>
      <c r="BI15" s="276">
        <f t="shared" si="0"/>
        <v>68384.127000000008</v>
      </c>
      <c r="BJ15" s="276">
        <f t="shared" si="0"/>
        <v>23550</v>
      </c>
      <c r="BK15" s="276">
        <f t="shared" si="0"/>
        <v>23550</v>
      </c>
      <c r="BL15" s="276">
        <f t="shared" si="0"/>
        <v>0</v>
      </c>
      <c r="BM15" s="276">
        <f t="shared" si="0"/>
        <v>30027.262744</v>
      </c>
      <c r="BN15" s="276">
        <f t="shared" si="0"/>
        <v>14806.864256000001</v>
      </c>
      <c r="BO15" s="276" t="e">
        <f t="shared" si="0"/>
        <v>#REF!</v>
      </c>
      <c r="BP15" s="276">
        <f t="shared" si="0"/>
        <v>65908.091688</v>
      </c>
      <c r="BQ15" s="276">
        <f t="shared" si="0"/>
        <v>26471.481307999999</v>
      </c>
      <c r="BR15" s="276">
        <f t="shared" si="0"/>
        <v>0</v>
      </c>
      <c r="BS15" s="276">
        <f t="shared" si="0"/>
        <v>39436.610379999998</v>
      </c>
      <c r="BT15" s="276">
        <f t="shared" si="0"/>
        <v>6464.8965599999992</v>
      </c>
      <c r="BU15" s="276">
        <f t="shared" si="0"/>
        <v>0</v>
      </c>
      <c r="BV15" s="276">
        <f t="shared" si="0"/>
        <v>18257.250564000002</v>
      </c>
      <c r="BW15" s="276">
        <f t="shared" si="0"/>
        <v>14714.463255999999</v>
      </c>
      <c r="BX15" s="276">
        <f t="shared" si="0"/>
        <v>9807.7799180000002</v>
      </c>
      <c r="BY15" s="276">
        <f t="shared" si="0"/>
        <v>1791.0785313704171</v>
      </c>
      <c r="BZ15" s="276">
        <f t="shared" si="0"/>
        <v>10.249154000000001</v>
      </c>
      <c r="CA15" s="276">
        <f t="shared" si="0"/>
        <v>0</v>
      </c>
      <c r="CB15" s="276">
        <f t="shared" si="0"/>
        <v>0</v>
      </c>
      <c r="CC15" s="276">
        <f t="shared" ref="CC15:CS15" si="1">CC23+CC194+CC231+CC16+CC192</f>
        <v>10.249154000000001</v>
      </c>
      <c r="CD15" s="276">
        <f t="shared" si="1"/>
        <v>0</v>
      </c>
      <c r="CE15" s="276">
        <f t="shared" si="1"/>
        <v>10.249154000000001</v>
      </c>
      <c r="CF15" s="276">
        <f t="shared" si="1"/>
        <v>0</v>
      </c>
      <c r="CG15" s="276">
        <f t="shared" si="1"/>
        <v>0</v>
      </c>
      <c r="CH15" s="276">
        <f t="shared" si="1"/>
        <v>10.249154000000001</v>
      </c>
      <c r="CI15" s="276">
        <f t="shared" si="1"/>
        <v>0</v>
      </c>
      <c r="CJ15" s="276">
        <f t="shared" si="1"/>
        <v>0</v>
      </c>
      <c r="CK15" s="276">
        <f t="shared" si="1"/>
        <v>159475</v>
      </c>
      <c r="CL15" s="276">
        <f t="shared" si="1"/>
        <v>0</v>
      </c>
      <c r="CM15" s="276">
        <f t="shared" si="1"/>
        <v>70000</v>
      </c>
      <c r="CN15" s="276">
        <f t="shared" si="1"/>
        <v>97986.564998999995</v>
      </c>
      <c r="CO15" s="276">
        <f t="shared" si="1"/>
        <v>18046.771013000001</v>
      </c>
      <c r="CP15" s="276">
        <f t="shared" si="1"/>
        <v>0</v>
      </c>
      <c r="CQ15" s="276" t="e">
        <f t="shared" si="1"/>
        <v>#VALUE!</v>
      </c>
      <c r="CR15" s="276" t="e">
        <f t="shared" si="1"/>
        <v>#VALUE!</v>
      </c>
      <c r="CS15" s="277">
        <f t="shared" si="1"/>
        <v>10.249154000000001</v>
      </c>
      <c r="CT15" s="278"/>
      <c r="CU15" s="158"/>
    </row>
    <row r="16" spans="1:100" ht="35.25" customHeight="1">
      <c r="A16" s="477" t="s">
        <v>11</v>
      </c>
      <c r="B16" s="418" t="s">
        <v>879</v>
      </c>
      <c r="C16" s="191"/>
      <c r="D16" s="478"/>
      <c r="E16" s="191"/>
      <c r="F16" s="191"/>
      <c r="G16" s="191"/>
      <c r="H16" s="191"/>
      <c r="I16" s="479"/>
      <c r="J16" s="191"/>
      <c r="K16" s="479"/>
      <c r="L16" s="478"/>
      <c r="M16" s="478"/>
      <c r="N16" s="298"/>
      <c r="O16" s="298"/>
      <c r="P16" s="303">
        <f>P17+P18+P22+P19+P20+P21</f>
        <v>15430</v>
      </c>
      <c r="Q16" s="303">
        <f t="shared" ref="Q16:CB16" si="2">Q17+Q18+Q22+Q19+Q20+Q21</f>
        <v>0</v>
      </c>
      <c r="R16" s="303">
        <f t="shared" si="2"/>
        <v>0</v>
      </c>
      <c r="S16" s="303">
        <f t="shared" si="2"/>
        <v>15430</v>
      </c>
      <c r="T16" s="303">
        <f t="shared" si="2"/>
        <v>0</v>
      </c>
      <c r="U16" s="303">
        <f t="shared" si="2"/>
        <v>0</v>
      </c>
      <c r="V16" s="298"/>
      <c r="W16" s="298"/>
      <c r="X16" s="298"/>
      <c r="Y16" s="303">
        <f t="shared" si="2"/>
        <v>0</v>
      </c>
      <c r="Z16" s="303">
        <f t="shared" si="2"/>
        <v>0</v>
      </c>
      <c r="AA16" s="303">
        <f t="shared" si="2"/>
        <v>0</v>
      </c>
      <c r="AB16" s="303">
        <f t="shared" si="2"/>
        <v>0</v>
      </c>
      <c r="AC16" s="303">
        <f t="shared" si="2"/>
        <v>21727</v>
      </c>
      <c r="AD16" s="303">
        <f t="shared" si="2"/>
        <v>0</v>
      </c>
      <c r="AE16" s="303">
        <f t="shared" si="2"/>
        <v>0</v>
      </c>
      <c r="AF16" s="303">
        <f t="shared" si="2"/>
        <v>21727</v>
      </c>
      <c r="AG16" s="303">
        <f t="shared" si="2"/>
        <v>0</v>
      </c>
      <c r="AH16" s="303">
        <f>AH17+AH18+AH22+AH19+AH20+AH21</f>
        <v>0</v>
      </c>
      <c r="AI16" s="303">
        <f t="shared" si="2"/>
        <v>0</v>
      </c>
      <c r="AJ16" s="303">
        <f t="shared" si="2"/>
        <v>13027</v>
      </c>
      <c r="AK16" s="303">
        <f t="shared" si="2"/>
        <v>8700</v>
      </c>
      <c r="AL16" s="303">
        <f t="shared" si="2"/>
        <v>0</v>
      </c>
      <c r="AM16" s="303">
        <f t="shared" si="2"/>
        <v>23901</v>
      </c>
      <c r="AN16" s="303">
        <f t="shared" si="2"/>
        <v>0</v>
      </c>
      <c r="AO16" s="303">
        <f t="shared" si="2"/>
        <v>0</v>
      </c>
      <c r="AP16" s="303">
        <f t="shared" si="2"/>
        <v>23901</v>
      </c>
      <c r="AQ16" s="303">
        <f t="shared" si="2"/>
        <v>0</v>
      </c>
      <c r="AR16" s="303">
        <f t="shared" si="2"/>
        <v>0</v>
      </c>
      <c r="AS16" s="303">
        <f t="shared" si="2"/>
        <v>16401</v>
      </c>
      <c r="AT16" s="303">
        <f t="shared" si="2"/>
        <v>7500</v>
      </c>
      <c r="AU16" s="303">
        <f t="shared" si="2"/>
        <v>0</v>
      </c>
      <c r="AV16" s="303">
        <f t="shared" si="2"/>
        <v>23901</v>
      </c>
      <c r="AW16" s="303">
        <f t="shared" si="2"/>
        <v>0</v>
      </c>
      <c r="AX16" s="303">
        <f t="shared" si="2"/>
        <v>0</v>
      </c>
      <c r="AY16" s="303">
        <f t="shared" si="2"/>
        <v>23901</v>
      </c>
      <c r="AZ16" s="303">
        <f t="shared" si="2"/>
        <v>0</v>
      </c>
      <c r="BA16" s="303">
        <f t="shared" si="2"/>
        <v>0</v>
      </c>
      <c r="BB16" s="303">
        <f t="shared" si="2"/>
        <v>16401</v>
      </c>
      <c r="BC16" s="303">
        <f t="shared" si="2"/>
        <v>7500</v>
      </c>
      <c r="BD16" s="303">
        <f t="shared" si="2"/>
        <v>0</v>
      </c>
      <c r="BE16" s="303">
        <f t="shared" si="2"/>
        <v>300</v>
      </c>
      <c r="BF16" s="303">
        <f t="shared" si="2"/>
        <v>10100</v>
      </c>
      <c r="BG16" s="303">
        <f t="shared" si="2"/>
        <v>0</v>
      </c>
      <c r="BH16" s="303">
        <f t="shared" si="2"/>
        <v>0</v>
      </c>
      <c r="BI16" s="303">
        <f t="shared" si="2"/>
        <v>10100</v>
      </c>
      <c r="BJ16" s="303">
        <f t="shared" si="2"/>
        <v>0</v>
      </c>
      <c r="BK16" s="303">
        <f t="shared" si="2"/>
        <v>0</v>
      </c>
      <c r="BL16" s="303">
        <f t="shared" si="2"/>
        <v>0</v>
      </c>
      <c r="BM16" s="303">
        <f t="shared" si="2"/>
        <v>7600</v>
      </c>
      <c r="BN16" s="303">
        <f t="shared" si="2"/>
        <v>2500</v>
      </c>
      <c r="BO16" s="303">
        <f t="shared" si="2"/>
        <v>0</v>
      </c>
      <c r="BP16" s="303">
        <f t="shared" si="2"/>
        <v>2500</v>
      </c>
      <c r="BQ16" s="303">
        <f t="shared" si="2"/>
        <v>0</v>
      </c>
      <c r="BR16" s="303">
        <f t="shared" si="2"/>
        <v>0</v>
      </c>
      <c r="BS16" s="303">
        <f t="shared" si="2"/>
        <v>2500</v>
      </c>
      <c r="BT16" s="303">
        <f t="shared" si="2"/>
        <v>0</v>
      </c>
      <c r="BU16" s="303">
        <f t="shared" si="2"/>
        <v>0</v>
      </c>
      <c r="BV16" s="303">
        <f t="shared" si="2"/>
        <v>0</v>
      </c>
      <c r="BW16" s="303">
        <f t="shared" si="2"/>
        <v>2500</v>
      </c>
      <c r="BX16" s="303">
        <f t="shared" si="2"/>
        <v>0</v>
      </c>
      <c r="BY16" s="303">
        <f t="shared" si="2"/>
        <v>100</v>
      </c>
      <c r="BZ16" s="303">
        <f t="shared" si="2"/>
        <v>0</v>
      </c>
      <c r="CA16" s="303">
        <f t="shared" si="2"/>
        <v>0</v>
      </c>
      <c r="CB16" s="303">
        <f t="shared" si="2"/>
        <v>0</v>
      </c>
      <c r="CC16" s="303">
        <f t="shared" ref="CC16:CS16" si="3">CC17+CC18+CC22+CC19+CC20+CC21</f>
        <v>0</v>
      </c>
      <c r="CD16" s="303">
        <f t="shared" si="3"/>
        <v>0</v>
      </c>
      <c r="CE16" s="303">
        <f t="shared" si="3"/>
        <v>0</v>
      </c>
      <c r="CF16" s="303">
        <f t="shared" si="3"/>
        <v>0</v>
      </c>
      <c r="CG16" s="303">
        <f t="shared" si="3"/>
        <v>0</v>
      </c>
      <c r="CH16" s="303">
        <f t="shared" si="3"/>
        <v>0</v>
      </c>
      <c r="CI16" s="303">
        <f t="shared" si="3"/>
        <v>0</v>
      </c>
      <c r="CJ16" s="303">
        <f t="shared" si="3"/>
        <v>0</v>
      </c>
      <c r="CK16" s="303">
        <f t="shared" si="3"/>
        <v>0</v>
      </c>
      <c r="CL16" s="303">
        <f t="shared" si="3"/>
        <v>0</v>
      </c>
      <c r="CM16" s="303">
        <f t="shared" si="3"/>
        <v>0</v>
      </c>
      <c r="CN16" s="303">
        <f t="shared" si="3"/>
        <v>0</v>
      </c>
      <c r="CO16" s="303">
        <f t="shared" si="3"/>
        <v>7600</v>
      </c>
      <c r="CP16" s="303">
        <f t="shared" si="3"/>
        <v>0</v>
      </c>
      <c r="CQ16" s="303" t="e">
        <f t="shared" si="3"/>
        <v>#VALUE!</v>
      </c>
      <c r="CR16" s="303" t="e">
        <f t="shared" si="3"/>
        <v>#VALUE!</v>
      </c>
      <c r="CS16" s="480">
        <f t="shared" si="3"/>
        <v>0</v>
      </c>
      <c r="CT16" s="291"/>
      <c r="CU16" s="160"/>
    </row>
    <row r="17" spans="1:99" ht="76.900000000000006" outlineLevel="1">
      <c r="A17" s="183">
        <v>1</v>
      </c>
      <c r="B17" s="279" t="s">
        <v>3032</v>
      </c>
      <c r="C17" s="280" t="s">
        <v>3033</v>
      </c>
      <c r="D17" s="183" t="s">
        <v>3034</v>
      </c>
      <c r="E17" s="183" t="s">
        <v>3035</v>
      </c>
      <c r="F17" s="183" t="s">
        <v>49</v>
      </c>
      <c r="G17" s="183" t="s">
        <v>1122</v>
      </c>
      <c r="H17" s="183"/>
      <c r="I17" s="184" t="s">
        <v>3036</v>
      </c>
      <c r="J17" s="183" t="s">
        <v>49</v>
      </c>
      <c r="K17" s="183" t="s">
        <v>3037</v>
      </c>
      <c r="L17" s="183" t="s">
        <v>75</v>
      </c>
      <c r="M17" s="281">
        <v>2021</v>
      </c>
      <c r="N17" s="282"/>
      <c r="O17" s="282" t="s">
        <v>3038</v>
      </c>
      <c r="P17" s="283">
        <v>5500</v>
      </c>
      <c r="Q17" s="283"/>
      <c r="R17" s="283"/>
      <c r="S17" s="283">
        <v>5500</v>
      </c>
      <c r="T17" s="186">
        <v>0</v>
      </c>
      <c r="U17" s="186"/>
      <c r="V17" s="282" t="s">
        <v>3037</v>
      </c>
      <c r="W17" s="282" t="s">
        <v>3039</v>
      </c>
      <c r="X17" s="282" t="s">
        <v>311</v>
      </c>
      <c r="Y17" s="283"/>
      <c r="Z17" s="283"/>
      <c r="AA17" s="283"/>
      <c r="AB17" s="283"/>
      <c r="AC17" s="186">
        <v>5500</v>
      </c>
      <c r="AD17" s="283"/>
      <c r="AE17" s="283"/>
      <c r="AF17" s="186">
        <v>5500</v>
      </c>
      <c r="AG17" s="283">
        <f t="shared" ref="AG17:AG20" si="4">AH17+AI17</f>
        <v>0</v>
      </c>
      <c r="AH17" s="283"/>
      <c r="AI17" s="283"/>
      <c r="AJ17" s="283"/>
      <c r="AK17" s="283">
        <v>5500</v>
      </c>
      <c r="AL17" s="186">
        <v>0</v>
      </c>
      <c r="AM17" s="186">
        <v>5000</v>
      </c>
      <c r="AN17" s="283"/>
      <c r="AO17" s="283"/>
      <c r="AP17" s="186">
        <v>5000</v>
      </c>
      <c r="AQ17" s="283"/>
      <c r="AR17" s="283"/>
      <c r="AS17" s="283"/>
      <c r="AT17" s="283">
        <v>5000</v>
      </c>
      <c r="AU17" s="186">
        <v>0</v>
      </c>
      <c r="AV17" s="186">
        <v>5000</v>
      </c>
      <c r="AW17" s="283"/>
      <c r="AX17" s="283"/>
      <c r="AY17" s="186">
        <v>5000</v>
      </c>
      <c r="AZ17" s="283"/>
      <c r="BA17" s="283"/>
      <c r="BB17" s="283"/>
      <c r="BC17" s="283">
        <v>5000</v>
      </c>
      <c r="BD17" s="186">
        <v>0</v>
      </c>
      <c r="BE17" s="186">
        <v>100</v>
      </c>
      <c r="BF17" s="186">
        <v>0</v>
      </c>
      <c r="BG17" s="283"/>
      <c r="BH17" s="283"/>
      <c r="BI17" s="186">
        <v>0</v>
      </c>
      <c r="BJ17" s="283">
        <f>BK17+BL17</f>
        <v>0</v>
      </c>
      <c r="BK17" s="283"/>
      <c r="BL17" s="283"/>
      <c r="BM17" s="283"/>
      <c r="BN17" s="283"/>
      <c r="BO17" s="186">
        <v>0</v>
      </c>
      <c r="BP17" s="284">
        <v>0</v>
      </c>
      <c r="BQ17" s="283"/>
      <c r="BR17" s="283"/>
      <c r="BS17" s="283"/>
      <c r="BT17" s="283"/>
      <c r="BU17" s="283"/>
      <c r="BV17" s="283"/>
      <c r="BW17" s="283"/>
      <c r="BX17" s="186">
        <v>0</v>
      </c>
      <c r="BY17" s="285"/>
      <c r="BZ17" s="286">
        <v>0</v>
      </c>
      <c r="CA17" s="287"/>
      <c r="CB17" s="287"/>
      <c r="CC17" s="287"/>
      <c r="CD17" s="187">
        <v>0</v>
      </c>
      <c r="CE17" s="286">
        <v>0</v>
      </c>
      <c r="CF17" s="287"/>
      <c r="CG17" s="287"/>
      <c r="CH17" s="287"/>
      <c r="CI17" s="187"/>
      <c r="CJ17" s="288"/>
      <c r="CK17" s="288"/>
      <c r="CL17" s="288"/>
      <c r="CM17" s="288"/>
      <c r="CN17" s="288"/>
      <c r="CO17" s="187">
        <v>0</v>
      </c>
      <c r="CP17" s="184"/>
      <c r="CQ17" s="184" t="s">
        <v>488</v>
      </c>
      <c r="CR17" s="289" t="s">
        <v>3040</v>
      </c>
      <c r="CS17" s="290"/>
      <c r="CT17" s="291"/>
      <c r="CU17" s="160"/>
    </row>
    <row r="18" spans="1:99" ht="86.25" customHeight="1" outlineLevel="1">
      <c r="A18" s="183">
        <v>2</v>
      </c>
      <c r="B18" s="292" t="s">
        <v>3041</v>
      </c>
      <c r="C18" s="280" t="s">
        <v>3042</v>
      </c>
      <c r="D18" s="183" t="s">
        <v>3043</v>
      </c>
      <c r="E18" s="183" t="s">
        <v>3597</v>
      </c>
      <c r="F18" s="420"/>
      <c r="G18" s="289" t="s">
        <v>3044</v>
      </c>
      <c r="H18" s="289" t="s">
        <v>3045</v>
      </c>
      <c r="I18" s="420" t="s">
        <v>3596</v>
      </c>
      <c r="J18" s="420"/>
      <c r="K18" s="183" t="s">
        <v>3037</v>
      </c>
      <c r="L18" s="183">
        <v>2025</v>
      </c>
      <c r="M18" s="183">
        <v>2025</v>
      </c>
      <c r="N18" s="282"/>
      <c r="O18" s="282" t="s">
        <v>3046</v>
      </c>
      <c r="P18" s="283">
        <v>2500</v>
      </c>
      <c r="Q18" s="283"/>
      <c r="R18" s="283"/>
      <c r="S18" s="283">
        <v>2500</v>
      </c>
      <c r="T18" s="186">
        <v>0</v>
      </c>
      <c r="U18" s="186"/>
      <c r="V18" s="282" t="s">
        <v>3037</v>
      </c>
      <c r="W18" s="70" t="s">
        <v>3039</v>
      </c>
      <c r="X18" s="282" t="s">
        <v>311</v>
      </c>
      <c r="Y18" s="283"/>
      <c r="Z18" s="283"/>
      <c r="AA18" s="283"/>
      <c r="AB18" s="283"/>
      <c r="AC18" s="186">
        <f t="shared" ref="AC18:AC20" si="5">AD18+AE18+AF18</f>
        <v>2500</v>
      </c>
      <c r="AD18" s="283"/>
      <c r="AE18" s="283"/>
      <c r="AF18" s="186">
        <f t="shared" ref="AF18:AF20" si="6">SUM(AH18:AK18)</f>
        <v>2500</v>
      </c>
      <c r="AG18" s="283">
        <f t="shared" si="4"/>
        <v>0</v>
      </c>
      <c r="AH18" s="283"/>
      <c r="AI18" s="283"/>
      <c r="AJ18" s="283"/>
      <c r="AK18" s="283">
        <v>2500</v>
      </c>
      <c r="AL18" s="186">
        <v>0</v>
      </c>
      <c r="AM18" s="186">
        <f t="shared" ref="AM18:AM20" si="7">AN18+AO18+AP18</f>
        <v>2500</v>
      </c>
      <c r="AN18" s="283"/>
      <c r="AO18" s="283"/>
      <c r="AP18" s="186">
        <f t="shared" ref="AP18:AP20" si="8">SUM(AQ18:AT18)</f>
        <v>2500</v>
      </c>
      <c r="AQ18" s="283"/>
      <c r="AR18" s="283">
        <v>0</v>
      </c>
      <c r="AS18" s="283"/>
      <c r="AT18" s="283">
        <v>2500</v>
      </c>
      <c r="AU18" s="186">
        <v>0</v>
      </c>
      <c r="AV18" s="186">
        <f t="shared" ref="AV18:AV20" si="9">AW18+AX18+AY18</f>
        <v>2500</v>
      </c>
      <c r="AW18" s="283"/>
      <c r="AX18" s="283"/>
      <c r="AY18" s="186">
        <f t="shared" ref="AY18:AY20" si="10">SUM(AZ18:BC18)</f>
        <v>2500</v>
      </c>
      <c r="AZ18" s="283"/>
      <c r="BA18" s="283"/>
      <c r="BB18" s="283"/>
      <c r="BC18" s="283">
        <v>2500</v>
      </c>
      <c r="BD18" s="186">
        <v>0</v>
      </c>
      <c r="BE18" s="186">
        <f>AV18/AM18*100</f>
        <v>100</v>
      </c>
      <c r="BF18" s="186">
        <f t="shared" ref="BF18:BF20" si="11">BG18+BH18+BI18</f>
        <v>2500</v>
      </c>
      <c r="BG18" s="283"/>
      <c r="BH18" s="283"/>
      <c r="BI18" s="186">
        <f t="shared" ref="BI18:BI20" si="12">SUM(BK18:BN18)</f>
        <v>2500</v>
      </c>
      <c r="BJ18" s="283">
        <f t="shared" ref="BJ18:BJ20" si="13">BK18+BL18</f>
        <v>0</v>
      </c>
      <c r="BK18" s="283"/>
      <c r="BL18" s="283"/>
      <c r="BM18" s="283"/>
      <c r="BN18" s="283">
        <v>2500</v>
      </c>
      <c r="BO18" s="186">
        <v>0</v>
      </c>
      <c r="BP18" s="284">
        <f t="shared" ref="BP18:BP20" si="14">BQ18+BR18+BS18</f>
        <v>2500</v>
      </c>
      <c r="BQ18" s="283"/>
      <c r="BR18" s="283"/>
      <c r="BS18" s="283">
        <f>SUM(BT18:BW18)</f>
        <v>2500</v>
      </c>
      <c r="BT18" s="283"/>
      <c r="BU18" s="283"/>
      <c r="BV18" s="283"/>
      <c r="BW18" s="283">
        <v>2500</v>
      </c>
      <c r="BX18" s="186">
        <v>0</v>
      </c>
      <c r="BY18" s="285">
        <f>BP18/BF18*100</f>
        <v>100</v>
      </c>
      <c r="BZ18" s="286">
        <f>CA18+CC18+CD18</f>
        <v>0</v>
      </c>
      <c r="CA18" s="287"/>
      <c r="CB18" s="287"/>
      <c r="CC18" s="287"/>
      <c r="CD18" s="187">
        <v>0</v>
      </c>
      <c r="CE18" s="286">
        <f>CF18+CH18+CI18</f>
        <v>0</v>
      </c>
      <c r="CF18" s="287"/>
      <c r="CG18" s="287"/>
      <c r="CH18" s="287"/>
      <c r="CI18" s="187"/>
      <c r="CJ18" s="288"/>
      <c r="CK18" s="288"/>
      <c r="CL18" s="288"/>
      <c r="CM18" s="288"/>
      <c r="CN18" s="288"/>
      <c r="CO18" s="187">
        <f t="shared" ref="CO18:CO20" si="15">BF18-BP18</f>
        <v>0</v>
      </c>
      <c r="CP18" s="184"/>
      <c r="CQ18" s="184" t="s">
        <v>488</v>
      </c>
      <c r="CR18" s="289"/>
      <c r="CS18" s="290"/>
      <c r="CT18" s="291"/>
      <c r="CU18" s="160"/>
    </row>
    <row r="19" spans="1:99" ht="51" customHeight="1" outlineLevel="1">
      <c r="A19" s="183">
        <v>3</v>
      </c>
      <c r="B19" s="293" t="s">
        <v>3047</v>
      </c>
      <c r="C19" s="183" t="s">
        <v>304</v>
      </c>
      <c r="D19" s="183" t="s">
        <v>3037</v>
      </c>
      <c r="E19" s="294" t="s">
        <v>3048</v>
      </c>
      <c r="F19" s="183" t="s">
        <v>49</v>
      </c>
      <c r="G19" s="183" t="s">
        <v>3049</v>
      </c>
      <c r="H19" s="183" t="s">
        <v>3045</v>
      </c>
      <c r="I19" s="183" t="s">
        <v>570</v>
      </c>
      <c r="J19" s="183" t="s">
        <v>49</v>
      </c>
      <c r="K19" s="294" t="s">
        <v>3037</v>
      </c>
      <c r="L19" s="183" t="s">
        <v>75</v>
      </c>
      <c r="M19" s="183">
        <v>2021</v>
      </c>
      <c r="N19" s="284"/>
      <c r="O19" s="282" t="s">
        <v>3050</v>
      </c>
      <c r="P19" s="283">
        <v>4233</v>
      </c>
      <c r="Q19" s="283"/>
      <c r="R19" s="283"/>
      <c r="S19" s="283">
        <v>4233</v>
      </c>
      <c r="T19" s="186"/>
      <c r="U19" s="186"/>
      <c r="V19" s="70" t="s">
        <v>3037</v>
      </c>
      <c r="W19" s="70" t="s">
        <v>3039</v>
      </c>
      <c r="X19" s="282" t="s">
        <v>311</v>
      </c>
      <c r="Y19" s="186"/>
      <c r="Z19" s="186"/>
      <c r="AA19" s="186"/>
      <c r="AB19" s="186"/>
      <c r="AC19" s="186">
        <f t="shared" si="5"/>
        <v>4233</v>
      </c>
      <c r="AD19" s="283"/>
      <c r="AE19" s="283"/>
      <c r="AF19" s="186">
        <f t="shared" si="6"/>
        <v>4233</v>
      </c>
      <c r="AG19" s="283">
        <f t="shared" si="4"/>
        <v>0</v>
      </c>
      <c r="AH19" s="283"/>
      <c r="AI19" s="283"/>
      <c r="AJ19" s="283">
        <v>4233</v>
      </c>
      <c r="AK19" s="283"/>
      <c r="AL19" s="186"/>
      <c r="AM19" s="186">
        <f t="shared" si="7"/>
        <v>4233</v>
      </c>
      <c r="AN19" s="283"/>
      <c r="AO19" s="283"/>
      <c r="AP19" s="186">
        <f t="shared" si="8"/>
        <v>4233</v>
      </c>
      <c r="AQ19" s="283"/>
      <c r="AR19" s="283"/>
      <c r="AS19" s="283">
        <v>4233</v>
      </c>
      <c r="AT19" s="283"/>
      <c r="AU19" s="186"/>
      <c r="AV19" s="186">
        <f t="shared" si="9"/>
        <v>4233</v>
      </c>
      <c r="AW19" s="283"/>
      <c r="AX19" s="283"/>
      <c r="AY19" s="186">
        <f t="shared" si="10"/>
        <v>4233</v>
      </c>
      <c r="AZ19" s="283"/>
      <c r="BA19" s="283"/>
      <c r="BB19" s="283">
        <v>4233</v>
      </c>
      <c r="BC19" s="283"/>
      <c r="BD19" s="186"/>
      <c r="BE19" s="186"/>
      <c r="BF19" s="186">
        <f t="shared" si="11"/>
        <v>0</v>
      </c>
      <c r="BG19" s="283"/>
      <c r="BH19" s="283"/>
      <c r="BI19" s="186">
        <f t="shared" si="12"/>
        <v>0</v>
      </c>
      <c r="BJ19" s="283">
        <f t="shared" si="13"/>
        <v>0</v>
      </c>
      <c r="BK19" s="283"/>
      <c r="BL19" s="283"/>
      <c r="BM19" s="283"/>
      <c r="BN19" s="283"/>
      <c r="BO19" s="186"/>
      <c r="BP19" s="284">
        <f t="shared" si="14"/>
        <v>0</v>
      </c>
      <c r="BQ19" s="283"/>
      <c r="BR19" s="283"/>
      <c r="BS19" s="283"/>
      <c r="BT19" s="283"/>
      <c r="BU19" s="283"/>
      <c r="BV19" s="283"/>
      <c r="BW19" s="283"/>
      <c r="BX19" s="186"/>
      <c r="BY19" s="186"/>
      <c r="BZ19" s="287"/>
      <c r="CA19" s="287"/>
      <c r="CB19" s="287"/>
      <c r="CC19" s="287"/>
      <c r="CD19" s="187"/>
      <c r="CE19" s="287"/>
      <c r="CF19" s="287"/>
      <c r="CG19" s="287"/>
      <c r="CH19" s="287"/>
      <c r="CI19" s="187"/>
      <c r="CJ19" s="187"/>
      <c r="CK19" s="187"/>
      <c r="CL19" s="187"/>
      <c r="CM19" s="187"/>
      <c r="CN19" s="187"/>
      <c r="CO19" s="187">
        <f t="shared" si="15"/>
        <v>0</v>
      </c>
      <c r="CP19" s="187"/>
      <c r="CQ19" s="187"/>
      <c r="CR19" s="289" t="s">
        <v>3040</v>
      </c>
      <c r="CS19" s="290"/>
      <c r="CT19" s="291"/>
      <c r="CU19" s="160"/>
    </row>
    <row r="20" spans="1:99" ht="51" customHeight="1" outlineLevel="1">
      <c r="A20" s="183">
        <v>4</v>
      </c>
      <c r="B20" s="293" t="s">
        <v>3051</v>
      </c>
      <c r="C20" s="183" t="s">
        <v>304</v>
      </c>
      <c r="D20" s="183" t="s">
        <v>3037</v>
      </c>
      <c r="E20" s="294" t="s">
        <v>3048</v>
      </c>
      <c r="F20" s="183" t="s">
        <v>49</v>
      </c>
      <c r="G20" s="183" t="s">
        <v>3049</v>
      </c>
      <c r="H20" s="183" t="s">
        <v>3045</v>
      </c>
      <c r="I20" s="183" t="s">
        <v>570</v>
      </c>
      <c r="J20" s="183" t="s">
        <v>49</v>
      </c>
      <c r="K20" s="294" t="s">
        <v>3037</v>
      </c>
      <c r="L20" s="183" t="s">
        <v>75</v>
      </c>
      <c r="M20" s="183">
        <v>2023</v>
      </c>
      <c r="N20" s="284"/>
      <c r="O20" s="282" t="s">
        <v>3052</v>
      </c>
      <c r="P20" s="283">
        <v>765</v>
      </c>
      <c r="Q20" s="283"/>
      <c r="R20" s="283"/>
      <c r="S20" s="283">
        <v>765</v>
      </c>
      <c r="T20" s="186"/>
      <c r="U20" s="186"/>
      <c r="V20" s="70" t="s">
        <v>3037</v>
      </c>
      <c r="W20" s="70" t="s">
        <v>3039</v>
      </c>
      <c r="X20" s="282" t="s">
        <v>311</v>
      </c>
      <c r="Y20" s="186"/>
      <c r="Z20" s="186"/>
      <c r="AA20" s="186"/>
      <c r="AB20" s="186"/>
      <c r="AC20" s="186">
        <f t="shared" si="5"/>
        <v>765</v>
      </c>
      <c r="AD20" s="283"/>
      <c r="AE20" s="283"/>
      <c r="AF20" s="186">
        <f t="shared" si="6"/>
        <v>765</v>
      </c>
      <c r="AG20" s="283">
        <f t="shared" si="4"/>
        <v>0</v>
      </c>
      <c r="AH20" s="283"/>
      <c r="AI20" s="283"/>
      <c r="AJ20" s="283">
        <v>765</v>
      </c>
      <c r="AK20" s="283"/>
      <c r="AL20" s="186"/>
      <c r="AM20" s="186">
        <f t="shared" si="7"/>
        <v>765</v>
      </c>
      <c r="AN20" s="283"/>
      <c r="AO20" s="283"/>
      <c r="AP20" s="186">
        <f t="shared" si="8"/>
        <v>765</v>
      </c>
      <c r="AQ20" s="283"/>
      <c r="AR20" s="283"/>
      <c r="AS20" s="283">
        <v>765</v>
      </c>
      <c r="AT20" s="283"/>
      <c r="AU20" s="186"/>
      <c r="AV20" s="186">
        <f t="shared" si="9"/>
        <v>765</v>
      </c>
      <c r="AW20" s="283"/>
      <c r="AX20" s="283"/>
      <c r="AY20" s="186">
        <f t="shared" si="10"/>
        <v>765</v>
      </c>
      <c r="AZ20" s="283"/>
      <c r="BA20" s="283"/>
      <c r="BB20" s="283">
        <v>765</v>
      </c>
      <c r="BC20" s="283"/>
      <c r="BD20" s="186"/>
      <c r="BE20" s="186"/>
      <c r="BF20" s="186">
        <f t="shared" si="11"/>
        <v>0</v>
      </c>
      <c r="BG20" s="283"/>
      <c r="BH20" s="283"/>
      <c r="BI20" s="186">
        <f t="shared" si="12"/>
        <v>0</v>
      </c>
      <c r="BJ20" s="283">
        <f t="shared" si="13"/>
        <v>0</v>
      </c>
      <c r="BK20" s="283"/>
      <c r="BL20" s="283"/>
      <c r="BM20" s="283"/>
      <c r="BN20" s="283"/>
      <c r="BO20" s="186"/>
      <c r="BP20" s="284">
        <f t="shared" si="14"/>
        <v>0</v>
      </c>
      <c r="BQ20" s="283"/>
      <c r="BR20" s="283"/>
      <c r="BS20" s="283"/>
      <c r="BT20" s="283"/>
      <c r="BU20" s="283"/>
      <c r="BV20" s="283"/>
      <c r="BW20" s="283"/>
      <c r="BX20" s="186"/>
      <c r="BY20" s="186"/>
      <c r="BZ20" s="287"/>
      <c r="CA20" s="287"/>
      <c r="CB20" s="287"/>
      <c r="CC20" s="287"/>
      <c r="CD20" s="187"/>
      <c r="CE20" s="287"/>
      <c r="CF20" s="287"/>
      <c r="CG20" s="287"/>
      <c r="CH20" s="287"/>
      <c r="CI20" s="187"/>
      <c r="CJ20" s="187"/>
      <c r="CK20" s="187"/>
      <c r="CL20" s="187"/>
      <c r="CM20" s="187"/>
      <c r="CN20" s="187"/>
      <c r="CO20" s="187">
        <f t="shared" si="15"/>
        <v>0</v>
      </c>
      <c r="CP20" s="187"/>
      <c r="CQ20" s="187"/>
      <c r="CR20" s="289" t="s">
        <v>3040</v>
      </c>
      <c r="CS20" s="290"/>
      <c r="CT20" s="291"/>
      <c r="CU20" s="160"/>
    </row>
    <row r="21" spans="1:99" ht="51" customHeight="1" outlineLevel="1">
      <c r="A21" s="183">
        <v>5</v>
      </c>
      <c r="B21" s="293" t="s">
        <v>3053</v>
      </c>
      <c r="C21" s="183" t="s">
        <v>304</v>
      </c>
      <c r="D21" s="183" t="s">
        <v>3037</v>
      </c>
      <c r="E21" s="294" t="s">
        <v>3048</v>
      </c>
      <c r="F21" s="183" t="s">
        <v>49</v>
      </c>
      <c r="G21" s="183" t="s">
        <v>3049</v>
      </c>
      <c r="H21" s="183" t="s">
        <v>3045</v>
      </c>
      <c r="I21" s="184" t="s">
        <v>570</v>
      </c>
      <c r="J21" s="183" t="s">
        <v>49</v>
      </c>
      <c r="K21" s="294" t="s">
        <v>3037</v>
      </c>
      <c r="L21" s="183" t="s">
        <v>75</v>
      </c>
      <c r="M21" s="183">
        <v>2021</v>
      </c>
      <c r="N21" s="284"/>
      <c r="O21" s="282" t="s">
        <v>3054</v>
      </c>
      <c r="P21" s="283">
        <v>2432</v>
      </c>
      <c r="Q21" s="283"/>
      <c r="R21" s="283"/>
      <c r="S21" s="283">
        <v>2432</v>
      </c>
      <c r="T21" s="186"/>
      <c r="U21" s="186"/>
      <c r="V21" s="70" t="s">
        <v>3037</v>
      </c>
      <c r="W21" s="70" t="s">
        <v>3039</v>
      </c>
      <c r="X21" s="282" t="s">
        <v>311</v>
      </c>
      <c r="Y21" s="186"/>
      <c r="Z21" s="186"/>
      <c r="AA21" s="186"/>
      <c r="AB21" s="186"/>
      <c r="AC21" s="186">
        <f>AD21+AE21+AF21</f>
        <v>2432</v>
      </c>
      <c r="AD21" s="283"/>
      <c r="AE21" s="283"/>
      <c r="AF21" s="186">
        <f>SUM(AH21:AK21)</f>
        <v>2432</v>
      </c>
      <c r="AG21" s="283">
        <f>AH21+AI21</f>
        <v>0</v>
      </c>
      <c r="AH21" s="283"/>
      <c r="AI21" s="283"/>
      <c r="AJ21" s="283">
        <v>1732</v>
      </c>
      <c r="AK21" s="283">
        <v>700</v>
      </c>
      <c r="AL21" s="186"/>
      <c r="AM21" s="186">
        <f>AN21+AO21+AP21</f>
        <v>1732</v>
      </c>
      <c r="AN21" s="283"/>
      <c r="AO21" s="283"/>
      <c r="AP21" s="186">
        <f>SUM(AQ21:AT21)</f>
        <v>1732</v>
      </c>
      <c r="AQ21" s="283"/>
      <c r="AR21" s="283"/>
      <c r="AS21" s="283">
        <v>1732</v>
      </c>
      <c r="AT21" s="283"/>
      <c r="AU21" s="186"/>
      <c r="AV21" s="186">
        <f>AW21+AX21+AY21</f>
        <v>1732</v>
      </c>
      <c r="AW21" s="283"/>
      <c r="AX21" s="283"/>
      <c r="AY21" s="186">
        <f>SUM(AZ21:BC21)</f>
        <v>1732</v>
      </c>
      <c r="AZ21" s="283"/>
      <c r="BA21" s="283"/>
      <c r="BB21" s="283">
        <v>1732</v>
      </c>
      <c r="BC21" s="283"/>
      <c r="BD21" s="186"/>
      <c r="BE21" s="186"/>
      <c r="BF21" s="186">
        <f>BG21+BH21+BI21</f>
        <v>0</v>
      </c>
      <c r="BG21" s="283"/>
      <c r="BH21" s="283"/>
      <c r="BI21" s="186">
        <f>SUM(BK21:BN21)</f>
        <v>0</v>
      </c>
      <c r="BJ21" s="283">
        <f>BK21+BL21</f>
        <v>0</v>
      </c>
      <c r="BK21" s="283"/>
      <c r="BL21" s="283"/>
      <c r="BM21" s="283"/>
      <c r="BN21" s="283"/>
      <c r="BO21" s="186"/>
      <c r="BP21" s="284">
        <f>BQ21+BR21+BS21</f>
        <v>0</v>
      </c>
      <c r="BQ21" s="283"/>
      <c r="BR21" s="283"/>
      <c r="BS21" s="283"/>
      <c r="BT21" s="283"/>
      <c r="BU21" s="283"/>
      <c r="BV21" s="283"/>
      <c r="BW21" s="283"/>
      <c r="BX21" s="186"/>
      <c r="BY21" s="186"/>
      <c r="BZ21" s="287"/>
      <c r="CA21" s="287"/>
      <c r="CB21" s="287"/>
      <c r="CC21" s="287"/>
      <c r="CD21" s="187"/>
      <c r="CE21" s="287"/>
      <c r="CF21" s="287"/>
      <c r="CG21" s="287"/>
      <c r="CH21" s="287"/>
      <c r="CI21" s="187"/>
      <c r="CJ21" s="187"/>
      <c r="CK21" s="187"/>
      <c r="CL21" s="187"/>
      <c r="CM21" s="187"/>
      <c r="CN21" s="187"/>
      <c r="CO21" s="187">
        <f>BF21-BP21</f>
        <v>0</v>
      </c>
      <c r="CP21" s="187"/>
      <c r="CQ21" s="187"/>
      <c r="CR21" s="289" t="s">
        <v>3040</v>
      </c>
      <c r="CS21" s="290"/>
      <c r="CT21" s="291"/>
      <c r="CU21" s="160"/>
    </row>
    <row r="22" spans="1:99" ht="59.25" customHeight="1" outlineLevel="1">
      <c r="A22" s="183">
        <v>6</v>
      </c>
      <c r="B22" s="481" t="s">
        <v>880</v>
      </c>
      <c r="C22" s="280" t="s">
        <v>3033</v>
      </c>
      <c r="D22" s="183" t="s">
        <v>3055</v>
      </c>
      <c r="E22" s="183" t="s">
        <v>881</v>
      </c>
      <c r="F22" s="183"/>
      <c r="G22" s="183" t="s">
        <v>3049</v>
      </c>
      <c r="H22" s="183" t="s">
        <v>3045</v>
      </c>
      <c r="I22" s="183" t="s">
        <v>570</v>
      </c>
      <c r="J22" s="183"/>
      <c r="K22" s="183" t="s">
        <v>3037</v>
      </c>
      <c r="L22" s="183" t="s">
        <v>75</v>
      </c>
      <c r="M22" s="183">
        <v>2021</v>
      </c>
      <c r="N22" s="282" t="s">
        <v>3056</v>
      </c>
      <c r="O22" s="282"/>
      <c r="P22" s="186"/>
      <c r="Q22" s="186"/>
      <c r="R22" s="186"/>
      <c r="S22" s="186"/>
      <c r="T22" s="186"/>
      <c r="U22" s="186"/>
      <c r="V22" s="282" t="s">
        <v>3037</v>
      </c>
      <c r="W22" s="282" t="s">
        <v>3039</v>
      </c>
      <c r="X22" s="282" t="s">
        <v>311</v>
      </c>
      <c r="Y22" s="186"/>
      <c r="Z22" s="186"/>
      <c r="AA22" s="186"/>
      <c r="AB22" s="186"/>
      <c r="AC22" s="186">
        <f>AD22+AE22+AF22</f>
        <v>6297</v>
      </c>
      <c r="AD22" s="186"/>
      <c r="AE22" s="186"/>
      <c r="AF22" s="186">
        <f>SUM(AH22:AK22)</f>
        <v>6297</v>
      </c>
      <c r="AG22" s="283">
        <f>AH22+AI22</f>
        <v>0</v>
      </c>
      <c r="AH22" s="186"/>
      <c r="AI22" s="186"/>
      <c r="AJ22" s="186">
        <f>6297</f>
        <v>6297</v>
      </c>
      <c r="AK22" s="186">
        <f>SUM(AK19:AK20)</f>
        <v>0</v>
      </c>
      <c r="AL22" s="186"/>
      <c r="AM22" s="186">
        <f>AN22+AO22+AP22</f>
        <v>9671</v>
      </c>
      <c r="AN22" s="186"/>
      <c r="AO22" s="186"/>
      <c r="AP22" s="186">
        <f>SUM(AQ22:AT22)</f>
        <v>9671</v>
      </c>
      <c r="AQ22" s="186"/>
      <c r="AR22" s="186">
        <v>0</v>
      </c>
      <c r="AS22" s="186">
        <f>(1497+998+1337+90+559+192)+SUM(AS19:AS20)</f>
        <v>9671</v>
      </c>
      <c r="AT22" s="186"/>
      <c r="AU22" s="186"/>
      <c r="AV22" s="186">
        <f>AW22+AX22+AY22</f>
        <v>9671</v>
      </c>
      <c r="AW22" s="186"/>
      <c r="AX22" s="186"/>
      <c r="AY22" s="186">
        <f>SUM(AZ22:BC22)</f>
        <v>9671</v>
      </c>
      <c r="AZ22" s="186"/>
      <c r="BA22" s="186"/>
      <c r="BB22" s="186">
        <f>(1497+998+1337+90+559+192)+SUM(BB19:BB20)</f>
        <v>9671</v>
      </c>
      <c r="BC22" s="186"/>
      <c r="BD22" s="186"/>
      <c r="BE22" s="186">
        <f>AV22/AM22*100</f>
        <v>100</v>
      </c>
      <c r="BF22" s="186">
        <f>BG22+BH22+BI22</f>
        <v>7600</v>
      </c>
      <c r="BG22" s="186"/>
      <c r="BH22" s="186"/>
      <c r="BI22" s="186">
        <f>SUM(BK22:BN22)</f>
        <v>7600</v>
      </c>
      <c r="BJ22" s="283">
        <f>BK22+BL22</f>
        <v>0</v>
      </c>
      <c r="BK22" s="186"/>
      <c r="BL22" s="186"/>
      <c r="BM22" s="186">
        <f>1000+1500+5100</f>
        <v>7600</v>
      </c>
      <c r="BN22" s="186"/>
      <c r="BO22" s="186"/>
      <c r="BP22" s="284">
        <f>BQ22+BR22+BS22</f>
        <v>0</v>
      </c>
      <c r="BQ22" s="186"/>
      <c r="BR22" s="186"/>
      <c r="BS22" s="186"/>
      <c r="BT22" s="186"/>
      <c r="BU22" s="186"/>
      <c r="BV22" s="186"/>
      <c r="BW22" s="186"/>
      <c r="BX22" s="186"/>
      <c r="BY22" s="285"/>
      <c r="BZ22" s="286"/>
      <c r="CA22" s="187"/>
      <c r="CB22" s="187"/>
      <c r="CC22" s="187"/>
      <c r="CD22" s="187"/>
      <c r="CE22" s="286"/>
      <c r="CF22" s="187"/>
      <c r="CG22" s="187"/>
      <c r="CH22" s="187"/>
      <c r="CI22" s="187"/>
      <c r="CJ22" s="288"/>
      <c r="CK22" s="288"/>
      <c r="CL22" s="288"/>
      <c r="CM22" s="288"/>
      <c r="CN22" s="288"/>
      <c r="CO22" s="187">
        <f>BF22-BP22</f>
        <v>7600</v>
      </c>
      <c r="CP22" s="184"/>
      <c r="CQ22" s="184"/>
      <c r="CR22" s="289" t="s">
        <v>3040</v>
      </c>
      <c r="CS22" s="290"/>
      <c r="CT22" s="291"/>
      <c r="CU22" s="160"/>
    </row>
    <row r="23" spans="1:99" ht="46.5" customHeight="1">
      <c r="A23" s="418" t="s">
        <v>10</v>
      </c>
      <c r="B23" s="418" t="s">
        <v>3665</v>
      </c>
      <c r="C23" s="482"/>
      <c r="D23" s="482"/>
      <c r="E23" s="482"/>
      <c r="F23" s="482"/>
      <c r="G23" s="482"/>
      <c r="H23" s="482"/>
      <c r="I23" s="483"/>
      <c r="J23" s="482"/>
      <c r="K23" s="483"/>
      <c r="L23" s="482"/>
      <c r="M23" s="482"/>
      <c r="N23" s="484"/>
      <c r="O23" s="484"/>
      <c r="P23" s="99">
        <f>P24+P41+P135+P168+P179</f>
        <v>1265828.311496</v>
      </c>
      <c r="Q23" s="99">
        <f>Q24+Q41+Q135+Q168+Q179</f>
        <v>294943.136857</v>
      </c>
      <c r="R23" s="99">
        <f>R24+R41+R135+R168+R179</f>
        <v>70000</v>
      </c>
      <c r="S23" s="99">
        <f>S24+S41+S135+S168+S179</f>
        <v>881142.4916389999</v>
      </c>
      <c r="T23" s="99">
        <f>T24+T41+T135+T168+T179</f>
        <v>19742.683000000001</v>
      </c>
      <c r="U23" s="99"/>
      <c r="V23" s="67"/>
      <c r="W23" s="67"/>
      <c r="X23" s="67"/>
      <c r="Y23" s="99">
        <f t="shared" ref="Y23:BD23" si="16">Y24+Y41+Y135+Y168+Y179</f>
        <v>14540</v>
      </c>
      <c r="Z23" s="99">
        <f t="shared" si="16"/>
        <v>0</v>
      </c>
      <c r="AA23" s="99">
        <f t="shared" si="16"/>
        <v>0</v>
      </c>
      <c r="AB23" s="99">
        <f t="shared" si="16"/>
        <v>14540</v>
      </c>
      <c r="AC23" s="99">
        <f t="shared" si="16"/>
        <v>754214.00849599997</v>
      </c>
      <c r="AD23" s="99">
        <f t="shared" si="16"/>
        <v>0</v>
      </c>
      <c r="AE23" s="99">
        <f t="shared" si="16"/>
        <v>0</v>
      </c>
      <c r="AF23" s="99">
        <f t="shared" si="16"/>
        <v>684213.00849599985</v>
      </c>
      <c r="AG23" s="99">
        <f t="shared" si="16"/>
        <v>94038</v>
      </c>
      <c r="AH23" s="99">
        <f t="shared" si="16"/>
        <v>86843</v>
      </c>
      <c r="AI23" s="99">
        <f t="shared" si="16"/>
        <v>7195</v>
      </c>
      <c r="AJ23" s="99">
        <f t="shared" si="16"/>
        <v>360424.25574400002</v>
      </c>
      <c r="AK23" s="99">
        <f t="shared" si="16"/>
        <v>229750.752752</v>
      </c>
      <c r="AL23" s="99">
        <f t="shared" si="16"/>
        <v>19742.683000000001</v>
      </c>
      <c r="AM23" s="99">
        <f t="shared" si="16"/>
        <v>245296.22899999999</v>
      </c>
      <c r="AN23" s="99">
        <f t="shared" si="16"/>
        <v>0</v>
      </c>
      <c r="AO23" s="99">
        <f t="shared" si="16"/>
        <v>0</v>
      </c>
      <c r="AP23" s="99">
        <f t="shared" si="16"/>
        <v>245296.22899999999</v>
      </c>
      <c r="AQ23" s="99">
        <f t="shared" si="16"/>
        <v>87427</v>
      </c>
      <c r="AR23" s="99">
        <f t="shared" si="16"/>
        <v>3548</v>
      </c>
      <c r="AS23" s="99">
        <f t="shared" si="16"/>
        <v>121090.92674400001</v>
      </c>
      <c r="AT23" s="99">
        <f t="shared" si="16"/>
        <v>33230.302256000003</v>
      </c>
      <c r="AU23" s="99">
        <f t="shared" si="16"/>
        <v>6028.683</v>
      </c>
      <c r="AV23" s="99">
        <f t="shared" si="16"/>
        <v>226254.484685</v>
      </c>
      <c r="AW23" s="99">
        <f t="shared" si="16"/>
        <v>0</v>
      </c>
      <c r="AX23" s="99">
        <f t="shared" si="16"/>
        <v>0</v>
      </c>
      <c r="AY23" s="99">
        <f t="shared" si="16"/>
        <v>226254.484685</v>
      </c>
      <c r="AZ23" s="99">
        <f t="shared" si="16"/>
        <v>73562.449330999996</v>
      </c>
      <c r="BA23" s="99">
        <f t="shared" si="16"/>
        <v>3548</v>
      </c>
      <c r="BB23" s="99">
        <f t="shared" si="16"/>
        <v>116057.98698000002</v>
      </c>
      <c r="BC23" s="99">
        <f t="shared" si="16"/>
        <v>33086.048373999998</v>
      </c>
      <c r="BD23" s="99">
        <f t="shared" si="16"/>
        <v>6028.683</v>
      </c>
      <c r="BE23" s="99">
        <f t="shared" ref="BE23:CJ23" si="17">BE24+BE41+BE135+BE168+BE179</f>
        <v>6617.9657676680335</v>
      </c>
      <c r="BF23" s="99">
        <f t="shared" si="17"/>
        <v>48113.642</v>
      </c>
      <c r="BG23" s="99">
        <f t="shared" si="17"/>
        <v>0</v>
      </c>
      <c r="BH23" s="99">
        <f t="shared" si="17"/>
        <v>0</v>
      </c>
      <c r="BI23" s="99">
        <f t="shared" si="17"/>
        <v>48113.642</v>
      </c>
      <c r="BJ23" s="99">
        <f t="shared" si="17"/>
        <v>18317</v>
      </c>
      <c r="BK23" s="99">
        <f t="shared" si="17"/>
        <v>18317</v>
      </c>
      <c r="BL23" s="99">
        <f t="shared" si="17"/>
        <v>0</v>
      </c>
      <c r="BM23" s="99">
        <f t="shared" si="17"/>
        <v>17489.777743999999</v>
      </c>
      <c r="BN23" s="99">
        <f t="shared" si="17"/>
        <v>12306.864256000001</v>
      </c>
      <c r="BO23" s="99">
        <f t="shared" si="17"/>
        <v>4064</v>
      </c>
      <c r="BP23" s="99">
        <f t="shared" si="17"/>
        <v>32181.605476000001</v>
      </c>
      <c r="BQ23" s="99">
        <f t="shared" si="17"/>
        <v>0</v>
      </c>
      <c r="BR23" s="99">
        <f t="shared" si="17"/>
        <v>0</v>
      </c>
      <c r="BS23" s="99">
        <f t="shared" si="17"/>
        <v>32181.605476000001</v>
      </c>
      <c r="BT23" s="99">
        <f t="shared" si="17"/>
        <v>6162.0104169999995</v>
      </c>
      <c r="BU23" s="99">
        <f t="shared" si="17"/>
        <v>0</v>
      </c>
      <c r="BV23" s="99">
        <f t="shared" si="17"/>
        <v>13805.131803</v>
      </c>
      <c r="BW23" s="99">
        <f t="shared" si="17"/>
        <v>12214.463255999999</v>
      </c>
      <c r="BX23" s="99">
        <f t="shared" si="17"/>
        <v>4064</v>
      </c>
      <c r="BY23" s="99">
        <f t="shared" si="17"/>
        <v>1691.0785313704171</v>
      </c>
      <c r="BZ23" s="99">
        <f t="shared" si="17"/>
        <v>10.249154000000001</v>
      </c>
      <c r="CA23" s="99">
        <f t="shared" si="17"/>
        <v>0</v>
      </c>
      <c r="CB23" s="99">
        <f t="shared" si="17"/>
        <v>0</v>
      </c>
      <c r="CC23" s="99">
        <f t="shared" si="17"/>
        <v>10.249154000000001</v>
      </c>
      <c r="CD23" s="99">
        <f t="shared" si="17"/>
        <v>0</v>
      </c>
      <c r="CE23" s="99">
        <f t="shared" si="17"/>
        <v>10.249154000000001</v>
      </c>
      <c r="CF23" s="99">
        <f t="shared" si="17"/>
        <v>0</v>
      </c>
      <c r="CG23" s="99">
        <f t="shared" si="17"/>
        <v>0</v>
      </c>
      <c r="CH23" s="99">
        <f t="shared" si="17"/>
        <v>10.249154000000001</v>
      </c>
      <c r="CI23" s="99">
        <f t="shared" si="17"/>
        <v>0</v>
      </c>
      <c r="CJ23" s="99">
        <f t="shared" si="17"/>
        <v>0</v>
      </c>
      <c r="CK23" s="99">
        <f t="shared" ref="CK23:CS23" si="18">CK24+CK41+CK135+CK168+CK179</f>
        <v>159475</v>
      </c>
      <c r="CL23" s="99">
        <f t="shared" si="18"/>
        <v>0</v>
      </c>
      <c r="CM23" s="99">
        <f t="shared" si="18"/>
        <v>70000</v>
      </c>
      <c r="CN23" s="99">
        <f t="shared" si="18"/>
        <v>97986.564998999995</v>
      </c>
      <c r="CO23" s="99">
        <f t="shared" si="18"/>
        <v>2699.0570000000002</v>
      </c>
      <c r="CP23" s="99">
        <f t="shared" si="18"/>
        <v>0</v>
      </c>
      <c r="CQ23" s="99" t="e">
        <f t="shared" si="18"/>
        <v>#VALUE!</v>
      </c>
      <c r="CR23" s="99">
        <f t="shared" si="18"/>
        <v>0</v>
      </c>
      <c r="CS23" s="295">
        <f t="shared" si="18"/>
        <v>10.249154000000001</v>
      </c>
      <c r="CT23" s="418" t="s">
        <v>3692</v>
      </c>
      <c r="CU23" s="165"/>
    </row>
    <row r="24" spans="1:99" ht="32.25" customHeight="1">
      <c r="A24" s="418" t="s">
        <v>12</v>
      </c>
      <c r="B24" s="418" t="s">
        <v>3057</v>
      </c>
      <c r="C24" s="482"/>
      <c r="D24" s="482"/>
      <c r="E24" s="482"/>
      <c r="F24" s="482"/>
      <c r="G24" s="482"/>
      <c r="H24" s="482"/>
      <c r="I24" s="483"/>
      <c r="J24" s="482"/>
      <c r="K24" s="483"/>
      <c r="L24" s="482"/>
      <c r="M24" s="482"/>
      <c r="N24" s="484"/>
      <c r="O24" s="484"/>
      <c r="P24" s="99">
        <f t="shared" ref="P24:AU24" si="19">P25+P27+P35</f>
        <v>303657.04100000003</v>
      </c>
      <c r="Q24" s="99">
        <f t="shared" si="19"/>
        <v>234943.136857</v>
      </c>
      <c r="R24" s="99">
        <f t="shared" si="19"/>
        <v>0</v>
      </c>
      <c r="S24" s="99">
        <f t="shared" si="19"/>
        <v>67977.863142999995</v>
      </c>
      <c r="T24" s="99">
        <f t="shared" si="19"/>
        <v>736.04100000000017</v>
      </c>
      <c r="U24" s="99">
        <f t="shared" si="19"/>
        <v>0</v>
      </c>
      <c r="V24" s="67">
        <f t="shared" si="19"/>
        <v>0</v>
      </c>
      <c r="W24" s="67">
        <f t="shared" si="19"/>
        <v>0</v>
      </c>
      <c r="X24" s="67">
        <f t="shared" si="19"/>
        <v>0</v>
      </c>
      <c r="Y24" s="99">
        <f t="shared" si="19"/>
        <v>0</v>
      </c>
      <c r="Z24" s="99">
        <f t="shared" si="19"/>
        <v>0</v>
      </c>
      <c r="AA24" s="99">
        <f t="shared" si="19"/>
        <v>0</v>
      </c>
      <c r="AB24" s="99">
        <f t="shared" si="19"/>
        <v>0</v>
      </c>
      <c r="AC24" s="99">
        <f t="shared" si="19"/>
        <v>52774</v>
      </c>
      <c r="AD24" s="99">
        <f t="shared" si="19"/>
        <v>0</v>
      </c>
      <c r="AE24" s="99">
        <f t="shared" si="19"/>
        <v>0</v>
      </c>
      <c r="AF24" s="99">
        <f t="shared" si="19"/>
        <v>52774</v>
      </c>
      <c r="AG24" s="99">
        <f t="shared" si="19"/>
        <v>16172</v>
      </c>
      <c r="AH24" s="99">
        <f t="shared" si="19"/>
        <v>16172</v>
      </c>
      <c r="AI24" s="99">
        <f t="shared" si="19"/>
        <v>0</v>
      </c>
      <c r="AJ24" s="99">
        <f t="shared" si="19"/>
        <v>9493</v>
      </c>
      <c r="AK24" s="99">
        <f t="shared" si="19"/>
        <v>27109</v>
      </c>
      <c r="AL24" s="99">
        <f t="shared" si="19"/>
        <v>736.04100000000017</v>
      </c>
      <c r="AM24" s="99">
        <f t="shared" si="19"/>
        <v>33382.32</v>
      </c>
      <c r="AN24" s="99">
        <f t="shared" si="19"/>
        <v>0</v>
      </c>
      <c r="AO24" s="99">
        <f t="shared" si="19"/>
        <v>0</v>
      </c>
      <c r="AP24" s="99">
        <f t="shared" si="19"/>
        <v>33382.32</v>
      </c>
      <c r="AQ24" s="99">
        <f t="shared" si="19"/>
        <v>28150</v>
      </c>
      <c r="AR24" s="99">
        <f t="shared" si="19"/>
        <v>0</v>
      </c>
      <c r="AS24" s="99">
        <f t="shared" si="19"/>
        <v>3482.32</v>
      </c>
      <c r="AT24" s="99">
        <f t="shared" si="19"/>
        <v>1750</v>
      </c>
      <c r="AU24" s="99">
        <f t="shared" si="19"/>
        <v>736.04100000000017</v>
      </c>
      <c r="AV24" s="99">
        <f t="shared" ref="AV24:CA24" si="20">AV25+AV27+AV35</f>
        <v>28481.147118000001</v>
      </c>
      <c r="AW24" s="99">
        <f t="shared" si="20"/>
        <v>0</v>
      </c>
      <c r="AX24" s="99">
        <f t="shared" si="20"/>
        <v>0</v>
      </c>
      <c r="AY24" s="99">
        <f t="shared" si="20"/>
        <v>28481.147118000001</v>
      </c>
      <c r="AZ24" s="99">
        <f t="shared" si="20"/>
        <v>26783</v>
      </c>
      <c r="BA24" s="99">
        <f t="shared" si="20"/>
        <v>0</v>
      </c>
      <c r="BB24" s="99">
        <f t="shared" si="20"/>
        <v>0</v>
      </c>
      <c r="BC24" s="99">
        <f t="shared" si="20"/>
        <v>1698.1471180000001</v>
      </c>
      <c r="BD24" s="99">
        <f t="shared" si="20"/>
        <v>736.04100000000017</v>
      </c>
      <c r="BE24" s="99">
        <f t="shared" si="20"/>
        <v>596.15904577777781</v>
      </c>
      <c r="BF24" s="99">
        <f t="shared" si="20"/>
        <v>3123.9430000000002</v>
      </c>
      <c r="BG24" s="99">
        <f t="shared" si="20"/>
        <v>0</v>
      </c>
      <c r="BH24" s="99">
        <f t="shared" si="20"/>
        <v>0</v>
      </c>
      <c r="BI24" s="99">
        <f t="shared" si="20"/>
        <v>3123.9430000000002</v>
      </c>
      <c r="BJ24" s="99">
        <f t="shared" si="20"/>
        <v>1367</v>
      </c>
      <c r="BK24" s="99">
        <f t="shared" si="20"/>
        <v>1367</v>
      </c>
      <c r="BL24" s="99">
        <f t="shared" si="20"/>
        <v>0</v>
      </c>
      <c r="BM24" s="99">
        <f t="shared" si="20"/>
        <v>1756.9430000000002</v>
      </c>
      <c r="BN24" s="99">
        <f t="shared" si="20"/>
        <v>0</v>
      </c>
      <c r="BO24" s="99">
        <f t="shared" si="20"/>
        <v>0</v>
      </c>
      <c r="BP24" s="99">
        <f t="shared" si="20"/>
        <v>424.88600000000002</v>
      </c>
      <c r="BQ24" s="99">
        <f t="shared" si="20"/>
        <v>0</v>
      </c>
      <c r="BR24" s="99">
        <f t="shared" si="20"/>
        <v>0</v>
      </c>
      <c r="BS24" s="99">
        <f t="shared" si="20"/>
        <v>424.88600000000002</v>
      </c>
      <c r="BT24" s="99">
        <f t="shared" si="20"/>
        <v>424.88600000000002</v>
      </c>
      <c r="BU24" s="99">
        <f t="shared" si="20"/>
        <v>0</v>
      </c>
      <c r="BV24" s="99">
        <f t="shared" si="20"/>
        <v>0</v>
      </c>
      <c r="BW24" s="99">
        <f t="shared" si="20"/>
        <v>0</v>
      </c>
      <c r="BX24" s="99">
        <f t="shared" si="20"/>
        <v>0</v>
      </c>
      <c r="BY24" s="99">
        <f t="shared" si="20"/>
        <v>31.081638624725677</v>
      </c>
      <c r="BZ24" s="99">
        <f t="shared" si="20"/>
        <v>10.249154000000001</v>
      </c>
      <c r="CA24" s="99">
        <f t="shared" si="20"/>
        <v>0</v>
      </c>
      <c r="CB24" s="99">
        <f t="shared" ref="CB24:CS24" si="21">CB25+CB27+CB35</f>
        <v>0</v>
      </c>
      <c r="CC24" s="99">
        <f t="shared" si="21"/>
        <v>10.249154000000001</v>
      </c>
      <c r="CD24" s="99">
        <f t="shared" si="21"/>
        <v>0</v>
      </c>
      <c r="CE24" s="99">
        <f t="shared" si="21"/>
        <v>10.249154000000001</v>
      </c>
      <c r="CF24" s="99">
        <f t="shared" si="21"/>
        <v>0</v>
      </c>
      <c r="CG24" s="99">
        <f t="shared" si="21"/>
        <v>0</v>
      </c>
      <c r="CH24" s="99">
        <f t="shared" si="21"/>
        <v>10.249154000000001</v>
      </c>
      <c r="CI24" s="99">
        <f t="shared" si="21"/>
        <v>0</v>
      </c>
      <c r="CJ24" s="99">
        <f t="shared" si="21"/>
        <v>0</v>
      </c>
      <c r="CK24" s="99">
        <f t="shared" si="21"/>
        <v>0</v>
      </c>
      <c r="CL24" s="99">
        <f t="shared" si="21"/>
        <v>0</v>
      </c>
      <c r="CM24" s="99">
        <f t="shared" si="21"/>
        <v>0</v>
      </c>
      <c r="CN24" s="99">
        <f t="shared" si="21"/>
        <v>0</v>
      </c>
      <c r="CO24" s="99">
        <f t="shared" si="21"/>
        <v>2699.0570000000002</v>
      </c>
      <c r="CP24" s="99">
        <f t="shared" si="21"/>
        <v>0</v>
      </c>
      <c r="CQ24" s="99" t="e">
        <f t="shared" si="21"/>
        <v>#VALUE!</v>
      </c>
      <c r="CR24" s="99">
        <f t="shared" si="21"/>
        <v>0</v>
      </c>
      <c r="CS24" s="295">
        <f t="shared" si="21"/>
        <v>10.249154000000001</v>
      </c>
      <c r="CT24" s="482"/>
      <c r="CU24" s="165"/>
    </row>
    <row r="25" spans="1:99" ht="24" customHeight="1" outlineLevel="1">
      <c r="A25" s="430" t="s">
        <v>45</v>
      </c>
      <c r="B25" s="456" t="s">
        <v>46</v>
      </c>
      <c r="C25" s="485"/>
      <c r="D25" s="485"/>
      <c r="E25" s="485"/>
      <c r="F25" s="485"/>
      <c r="G25" s="485"/>
      <c r="H25" s="485"/>
      <c r="I25" s="485"/>
      <c r="J25" s="485"/>
      <c r="K25" s="485"/>
      <c r="L25" s="485"/>
      <c r="M25" s="485"/>
      <c r="N25" s="72"/>
      <c r="O25" s="72"/>
      <c r="P25" s="99">
        <f>P26</f>
        <v>270000</v>
      </c>
      <c r="Q25" s="99">
        <f t="shared" ref="Q25:T25" si="22">Q26</f>
        <v>234943.136857</v>
      </c>
      <c r="R25" s="99">
        <f t="shared" si="22"/>
        <v>0</v>
      </c>
      <c r="S25" s="99">
        <f t="shared" si="22"/>
        <v>35056.863143000002</v>
      </c>
      <c r="T25" s="99">
        <f t="shared" si="22"/>
        <v>0</v>
      </c>
      <c r="U25" s="99"/>
      <c r="V25" s="67"/>
      <c r="W25" s="67"/>
      <c r="X25" s="67"/>
      <c r="Y25" s="99">
        <f t="shared" ref="Y25:CJ25" si="23">Y26</f>
        <v>0</v>
      </c>
      <c r="Z25" s="99">
        <f t="shared" si="23"/>
        <v>0</v>
      </c>
      <c r="AA25" s="99">
        <f t="shared" si="23"/>
        <v>0</v>
      </c>
      <c r="AB25" s="99">
        <f t="shared" si="23"/>
        <v>0</v>
      </c>
      <c r="AC25" s="99">
        <f t="shared" si="23"/>
        <v>20053</v>
      </c>
      <c r="AD25" s="99">
        <f t="shared" si="23"/>
        <v>0</v>
      </c>
      <c r="AE25" s="99">
        <f t="shared" si="23"/>
        <v>0</v>
      </c>
      <c r="AF25" s="99">
        <f t="shared" si="23"/>
        <v>20053</v>
      </c>
      <c r="AG25" s="99">
        <f t="shared" si="23"/>
        <v>6725</v>
      </c>
      <c r="AH25" s="99">
        <f t="shared" si="23"/>
        <v>6725</v>
      </c>
      <c r="AI25" s="99">
        <f t="shared" si="23"/>
        <v>0</v>
      </c>
      <c r="AJ25" s="99">
        <f t="shared" si="23"/>
        <v>0</v>
      </c>
      <c r="AK25" s="99">
        <f t="shared" si="23"/>
        <v>13328</v>
      </c>
      <c r="AL25" s="99">
        <f t="shared" si="23"/>
        <v>0</v>
      </c>
      <c r="AM25" s="99">
        <f t="shared" si="23"/>
        <v>20053</v>
      </c>
      <c r="AN25" s="99">
        <f t="shared" si="23"/>
        <v>0</v>
      </c>
      <c r="AO25" s="99">
        <f t="shared" si="23"/>
        <v>0</v>
      </c>
      <c r="AP25" s="99">
        <f t="shared" si="23"/>
        <v>20053</v>
      </c>
      <c r="AQ25" s="99">
        <f t="shared" si="23"/>
        <v>20053</v>
      </c>
      <c r="AR25" s="99">
        <f t="shared" si="23"/>
        <v>0</v>
      </c>
      <c r="AS25" s="99">
        <f t="shared" si="23"/>
        <v>0</v>
      </c>
      <c r="AT25" s="99">
        <f t="shared" si="23"/>
        <v>0</v>
      </c>
      <c r="AU25" s="99">
        <f t="shared" si="23"/>
        <v>0</v>
      </c>
      <c r="AV25" s="99">
        <f t="shared" si="23"/>
        <v>20053</v>
      </c>
      <c r="AW25" s="99">
        <f t="shared" si="23"/>
        <v>0</v>
      </c>
      <c r="AX25" s="99">
        <f t="shared" si="23"/>
        <v>0</v>
      </c>
      <c r="AY25" s="99">
        <f t="shared" si="23"/>
        <v>20053</v>
      </c>
      <c r="AZ25" s="99">
        <f t="shared" si="23"/>
        <v>20053</v>
      </c>
      <c r="BA25" s="99">
        <f t="shared" si="23"/>
        <v>0</v>
      </c>
      <c r="BB25" s="99">
        <f t="shared" si="23"/>
        <v>0</v>
      </c>
      <c r="BC25" s="99">
        <f t="shared" si="23"/>
        <v>0</v>
      </c>
      <c r="BD25" s="99">
        <f t="shared" si="23"/>
        <v>0</v>
      </c>
      <c r="BE25" s="99">
        <f t="shared" si="23"/>
        <v>100</v>
      </c>
      <c r="BF25" s="99">
        <f t="shared" si="23"/>
        <v>0</v>
      </c>
      <c r="BG25" s="99">
        <f t="shared" si="23"/>
        <v>0</v>
      </c>
      <c r="BH25" s="99">
        <f t="shared" si="23"/>
        <v>0</v>
      </c>
      <c r="BI25" s="99">
        <f t="shared" si="23"/>
        <v>0</v>
      </c>
      <c r="BJ25" s="99">
        <f t="shared" si="23"/>
        <v>0</v>
      </c>
      <c r="BK25" s="99">
        <f t="shared" si="23"/>
        <v>0</v>
      </c>
      <c r="BL25" s="99">
        <f t="shared" si="23"/>
        <v>0</v>
      </c>
      <c r="BM25" s="99">
        <f t="shared" si="23"/>
        <v>0</v>
      </c>
      <c r="BN25" s="99">
        <f t="shared" si="23"/>
        <v>0</v>
      </c>
      <c r="BO25" s="99">
        <f t="shared" si="23"/>
        <v>0</v>
      </c>
      <c r="BP25" s="99">
        <f t="shared" si="23"/>
        <v>0</v>
      </c>
      <c r="BQ25" s="99">
        <f t="shared" si="23"/>
        <v>0</v>
      </c>
      <c r="BR25" s="99">
        <f t="shared" si="23"/>
        <v>0</v>
      </c>
      <c r="BS25" s="99">
        <f t="shared" si="23"/>
        <v>0</v>
      </c>
      <c r="BT25" s="99">
        <f t="shared" si="23"/>
        <v>0</v>
      </c>
      <c r="BU25" s="99">
        <f t="shared" si="23"/>
        <v>0</v>
      </c>
      <c r="BV25" s="99">
        <f t="shared" si="23"/>
        <v>0</v>
      </c>
      <c r="BW25" s="99">
        <f t="shared" si="23"/>
        <v>0</v>
      </c>
      <c r="BX25" s="99">
        <f t="shared" si="23"/>
        <v>0</v>
      </c>
      <c r="BY25" s="99">
        <f t="shared" si="23"/>
        <v>0</v>
      </c>
      <c r="BZ25" s="99">
        <f t="shared" si="23"/>
        <v>0</v>
      </c>
      <c r="CA25" s="99">
        <f t="shared" si="23"/>
        <v>0</v>
      </c>
      <c r="CB25" s="99">
        <f t="shared" si="23"/>
        <v>0</v>
      </c>
      <c r="CC25" s="99">
        <f t="shared" si="23"/>
        <v>0</v>
      </c>
      <c r="CD25" s="99">
        <f t="shared" si="23"/>
        <v>0</v>
      </c>
      <c r="CE25" s="99">
        <f t="shared" si="23"/>
        <v>0</v>
      </c>
      <c r="CF25" s="99">
        <f t="shared" si="23"/>
        <v>0</v>
      </c>
      <c r="CG25" s="99">
        <f t="shared" si="23"/>
        <v>0</v>
      </c>
      <c r="CH25" s="99">
        <f t="shared" si="23"/>
        <v>0</v>
      </c>
      <c r="CI25" s="99">
        <f t="shared" si="23"/>
        <v>0</v>
      </c>
      <c r="CJ25" s="99">
        <f t="shared" si="23"/>
        <v>0</v>
      </c>
      <c r="CK25" s="99">
        <f t="shared" ref="CK25:CS25" si="24">CK26</f>
        <v>0</v>
      </c>
      <c r="CL25" s="99">
        <f t="shared" si="24"/>
        <v>0</v>
      </c>
      <c r="CM25" s="99">
        <f t="shared" si="24"/>
        <v>0</v>
      </c>
      <c r="CN25" s="99">
        <f t="shared" si="24"/>
        <v>0</v>
      </c>
      <c r="CO25" s="99">
        <f t="shared" si="24"/>
        <v>0</v>
      </c>
      <c r="CP25" s="99">
        <f t="shared" si="24"/>
        <v>0</v>
      </c>
      <c r="CQ25" s="99" t="str">
        <f t="shared" si="24"/>
        <v>X</v>
      </c>
      <c r="CR25" s="99">
        <f t="shared" si="24"/>
        <v>0</v>
      </c>
      <c r="CS25" s="295">
        <f t="shared" si="24"/>
        <v>0</v>
      </c>
      <c r="CT25" s="485"/>
      <c r="CU25" s="166"/>
    </row>
    <row r="26" spans="1:99" ht="34.9" customHeight="1" outlineLevel="1">
      <c r="A26" s="183">
        <v>1</v>
      </c>
      <c r="B26" s="292" t="s">
        <v>3058</v>
      </c>
      <c r="C26" s="183" t="s">
        <v>3059</v>
      </c>
      <c r="D26" s="184" t="s">
        <v>3060</v>
      </c>
      <c r="E26" s="183" t="s">
        <v>3061</v>
      </c>
      <c r="F26" s="183" t="s">
        <v>10</v>
      </c>
      <c r="G26" s="183" t="s">
        <v>48</v>
      </c>
      <c r="H26" s="428">
        <v>7214180</v>
      </c>
      <c r="I26" s="184" t="s">
        <v>3062</v>
      </c>
      <c r="J26" s="183" t="s">
        <v>10</v>
      </c>
      <c r="K26" s="183" t="s">
        <v>3057</v>
      </c>
      <c r="L26" s="183" t="s">
        <v>3063</v>
      </c>
      <c r="M26" s="183">
        <v>2011</v>
      </c>
      <c r="N26" s="282"/>
      <c r="O26" s="282" t="s">
        <v>3064</v>
      </c>
      <c r="P26" s="186">
        <f>SUM(Q26:T26)</f>
        <v>270000</v>
      </c>
      <c r="Q26" s="186">
        <f>234943136857/1000000</f>
        <v>234943.136857</v>
      </c>
      <c r="R26" s="186"/>
      <c r="S26" s="283">
        <f>35056863143/1000000</f>
        <v>35056.863143000002</v>
      </c>
      <c r="T26" s="186">
        <v>0</v>
      </c>
      <c r="U26" s="186"/>
      <c r="V26" s="282" t="s">
        <v>3057</v>
      </c>
      <c r="W26" s="282" t="s">
        <v>3057</v>
      </c>
      <c r="X26" s="282" t="s">
        <v>3062</v>
      </c>
      <c r="Y26" s="283"/>
      <c r="Z26" s="283"/>
      <c r="AA26" s="283"/>
      <c r="AB26" s="283"/>
      <c r="AC26" s="186">
        <f>AD26+AE26+AF26</f>
        <v>20053</v>
      </c>
      <c r="AD26" s="186"/>
      <c r="AE26" s="186"/>
      <c r="AF26" s="186">
        <f>SUM(AH26:AK26)</f>
        <v>20053</v>
      </c>
      <c r="AG26" s="283">
        <f t="shared" ref="AG26:AG89" si="25">AH26+AI26</f>
        <v>6725</v>
      </c>
      <c r="AH26" s="186">
        <v>6725</v>
      </c>
      <c r="AI26" s="186"/>
      <c r="AJ26" s="186"/>
      <c r="AK26" s="283">
        <v>13328</v>
      </c>
      <c r="AL26" s="186">
        <v>0</v>
      </c>
      <c r="AM26" s="186">
        <f>AN26+AO26+AP26</f>
        <v>20053</v>
      </c>
      <c r="AN26" s="186"/>
      <c r="AO26" s="186"/>
      <c r="AP26" s="186">
        <f>SUM(AQ26:AT26)</f>
        <v>20053</v>
      </c>
      <c r="AQ26" s="186">
        <f>6725+13328</f>
        <v>20053</v>
      </c>
      <c r="AR26" s="186"/>
      <c r="AS26" s="186"/>
      <c r="AT26" s="186"/>
      <c r="AU26" s="186">
        <v>0</v>
      </c>
      <c r="AV26" s="186">
        <f>AW26+AX26+AY26</f>
        <v>20053</v>
      </c>
      <c r="AW26" s="186"/>
      <c r="AX26" s="186"/>
      <c r="AY26" s="186">
        <f>SUM(AZ26:BC26)</f>
        <v>20053</v>
      </c>
      <c r="AZ26" s="186">
        <f>6725+13328</f>
        <v>20053</v>
      </c>
      <c r="BA26" s="186"/>
      <c r="BB26" s="186"/>
      <c r="BC26" s="186"/>
      <c r="BD26" s="186">
        <v>0</v>
      </c>
      <c r="BE26" s="186">
        <f t="shared" ref="BE26" si="26">AV26/AM26*100</f>
        <v>100</v>
      </c>
      <c r="BF26" s="186">
        <f>BG26+BH26+BI26</f>
        <v>0</v>
      </c>
      <c r="BG26" s="186"/>
      <c r="BH26" s="186"/>
      <c r="BI26" s="283">
        <f>SUM(BK26:BN26)</f>
        <v>0</v>
      </c>
      <c r="BJ26" s="283">
        <f t="shared" ref="BJ26:BJ89" si="27">BK26+BL26</f>
        <v>0</v>
      </c>
      <c r="BK26" s="186"/>
      <c r="BL26" s="186"/>
      <c r="BM26" s="186"/>
      <c r="BN26" s="186"/>
      <c r="BO26" s="186">
        <v>0</v>
      </c>
      <c r="BP26" s="186">
        <f>BQ26+BR26+BS26</f>
        <v>0</v>
      </c>
      <c r="BQ26" s="186"/>
      <c r="BR26" s="186"/>
      <c r="BS26" s="186"/>
      <c r="BT26" s="186"/>
      <c r="BU26" s="186"/>
      <c r="BV26" s="186"/>
      <c r="BW26" s="186"/>
      <c r="BX26" s="186">
        <v>0</v>
      </c>
      <c r="BY26" s="186"/>
      <c r="BZ26" s="187">
        <f t="shared" ref="BZ26" si="28">CA26+CC26+CD26</f>
        <v>0</v>
      </c>
      <c r="CA26" s="187"/>
      <c r="CB26" s="187"/>
      <c r="CC26" s="187"/>
      <c r="CD26" s="187">
        <v>0</v>
      </c>
      <c r="CE26" s="187">
        <f t="shared" ref="CE26" si="29">CF26+CH26+CI26</f>
        <v>0</v>
      </c>
      <c r="CF26" s="187"/>
      <c r="CG26" s="187"/>
      <c r="CH26" s="187"/>
      <c r="CI26" s="187"/>
      <c r="CJ26" s="296"/>
      <c r="CK26" s="296"/>
      <c r="CL26" s="296"/>
      <c r="CM26" s="296"/>
      <c r="CN26" s="296"/>
      <c r="CO26" s="187">
        <f>BF26-BP26</f>
        <v>0</v>
      </c>
      <c r="CP26" s="287"/>
      <c r="CQ26" s="287" t="s">
        <v>488</v>
      </c>
      <c r="CR26" s="297"/>
      <c r="CS26" s="297"/>
      <c r="CT26" s="291"/>
      <c r="CU26" s="160"/>
    </row>
    <row r="27" spans="1:99" ht="15" outlineLevel="1">
      <c r="A27" s="430" t="s">
        <v>45</v>
      </c>
      <c r="B27" s="456" t="s">
        <v>3065</v>
      </c>
      <c r="C27" s="191"/>
      <c r="D27" s="192"/>
      <c r="E27" s="191"/>
      <c r="F27" s="191"/>
      <c r="G27" s="191"/>
      <c r="H27" s="486"/>
      <c r="I27" s="192"/>
      <c r="J27" s="191"/>
      <c r="K27" s="191"/>
      <c r="L27" s="191"/>
      <c r="M27" s="191"/>
      <c r="N27" s="298"/>
      <c r="O27" s="298"/>
      <c r="P27" s="194">
        <f t="shared" ref="P27:AU27" si="30">SUM(P28:P34)</f>
        <v>19576.041000000001</v>
      </c>
      <c r="Q27" s="194">
        <f t="shared" si="30"/>
        <v>0</v>
      </c>
      <c r="R27" s="99">
        <f t="shared" si="30"/>
        <v>0</v>
      </c>
      <c r="S27" s="194">
        <f t="shared" si="30"/>
        <v>18840</v>
      </c>
      <c r="T27" s="194">
        <f t="shared" si="30"/>
        <v>736.04100000000017</v>
      </c>
      <c r="U27" s="194">
        <f t="shared" si="30"/>
        <v>0</v>
      </c>
      <c r="V27" s="299">
        <f t="shared" si="30"/>
        <v>0</v>
      </c>
      <c r="W27" s="299">
        <f t="shared" si="30"/>
        <v>0</v>
      </c>
      <c r="X27" s="299">
        <f t="shared" si="30"/>
        <v>0</v>
      </c>
      <c r="Y27" s="99">
        <f t="shared" si="30"/>
        <v>0</v>
      </c>
      <c r="Z27" s="99">
        <f t="shared" si="30"/>
        <v>0</v>
      </c>
      <c r="AA27" s="99">
        <f t="shared" si="30"/>
        <v>0</v>
      </c>
      <c r="AB27" s="99">
        <f t="shared" si="30"/>
        <v>0</v>
      </c>
      <c r="AC27" s="194">
        <f t="shared" si="30"/>
        <v>18840</v>
      </c>
      <c r="AD27" s="194">
        <f t="shared" si="30"/>
        <v>0</v>
      </c>
      <c r="AE27" s="194">
        <f t="shared" si="30"/>
        <v>0</v>
      </c>
      <c r="AF27" s="194">
        <f t="shared" si="30"/>
        <v>18840</v>
      </c>
      <c r="AG27" s="194">
        <f t="shared" si="30"/>
        <v>9447</v>
      </c>
      <c r="AH27" s="194">
        <f t="shared" si="30"/>
        <v>9447</v>
      </c>
      <c r="AI27" s="194">
        <f t="shared" si="30"/>
        <v>0</v>
      </c>
      <c r="AJ27" s="194">
        <f t="shared" si="30"/>
        <v>3993</v>
      </c>
      <c r="AK27" s="194">
        <f t="shared" si="30"/>
        <v>5400</v>
      </c>
      <c r="AL27" s="194">
        <f t="shared" si="30"/>
        <v>736.04100000000017</v>
      </c>
      <c r="AM27" s="194">
        <f t="shared" si="30"/>
        <v>13329.32</v>
      </c>
      <c r="AN27" s="194">
        <f t="shared" si="30"/>
        <v>0</v>
      </c>
      <c r="AO27" s="194">
        <f t="shared" si="30"/>
        <v>0</v>
      </c>
      <c r="AP27" s="194">
        <f t="shared" si="30"/>
        <v>13329.32</v>
      </c>
      <c r="AQ27" s="194">
        <f t="shared" si="30"/>
        <v>8097</v>
      </c>
      <c r="AR27" s="194">
        <f t="shared" si="30"/>
        <v>0</v>
      </c>
      <c r="AS27" s="194">
        <f t="shared" si="30"/>
        <v>3482.32</v>
      </c>
      <c r="AT27" s="194">
        <f t="shared" si="30"/>
        <v>1750</v>
      </c>
      <c r="AU27" s="194">
        <f t="shared" si="30"/>
        <v>736.04100000000017</v>
      </c>
      <c r="AV27" s="194">
        <f t="shared" ref="AV27:CA27" si="31">SUM(AV28:AV34)</f>
        <v>8428.1471180000008</v>
      </c>
      <c r="AW27" s="194">
        <f t="shared" si="31"/>
        <v>0</v>
      </c>
      <c r="AX27" s="194">
        <f t="shared" si="31"/>
        <v>0</v>
      </c>
      <c r="AY27" s="194">
        <f t="shared" si="31"/>
        <v>8428.1471180000008</v>
      </c>
      <c r="AZ27" s="194">
        <f t="shared" si="31"/>
        <v>6730</v>
      </c>
      <c r="BA27" s="194">
        <f t="shared" si="31"/>
        <v>0</v>
      </c>
      <c r="BB27" s="194">
        <f t="shared" si="31"/>
        <v>0</v>
      </c>
      <c r="BC27" s="194">
        <f t="shared" si="31"/>
        <v>1698.1471180000001</v>
      </c>
      <c r="BD27" s="194">
        <f t="shared" si="31"/>
        <v>736.04100000000017</v>
      </c>
      <c r="BE27" s="194">
        <f t="shared" si="31"/>
        <v>496.15904577777781</v>
      </c>
      <c r="BF27" s="194">
        <f t="shared" si="31"/>
        <v>3123.9430000000002</v>
      </c>
      <c r="BG27" s="194">
        <f t="shared" si="31"/>
        <v>0</v>
      </c>
      <c r="BH27" s="194">
        <f t="shared" si="31"/>
        <v>0</v>
      </c>
      <c r="BI27" s="194">
        <f t="shared" si="31"/>
        <v>3123.9430000000002</v>
      </c>
      <c r="BJ27" s="194">
        <f t="shared" si="31"/>
        <v>1367</v>
      </c>
      <c r="BK27" s="194">
        <f t="shared" si="31"/>
        <v>1367</v>
      </c>
      <c r="BL27" s="194">
        <f t="shared" si="31"/>
        <v>0</v>
      </c>
      <c r="BM27" s="194">
        <f t="shared" si="31"/>
        <v>1756.9430000000002</v>
      </c>
      <c r="BN27" s="194">
        <f t="shared" si="31"/>
        <v>0</v>
      </c>
      <c r="BO27" s="194">
        <f t="shared" si="31"/>
        <v>0</v>
      </c>
      <c r="BP27" s="194">
        <f t="shared" si="31"/>
        <v>424.88600000000002</v>
      </c>
      <c r="BQ27" s="194">
        <f t="shared" si="31"/>
        <v>0</v>
      </c>
      <c r="BR27" s="194">
        <f t="shared" si="31"/>
        <v>0</v>
      </c>
      <c r="BS27" s="194">
        <f t="shared" si="31"/>
        <v>424.88600000000002</v>
      </c>
      <c r="BT27" s="194">
        <f t="shared" si="31"/>
        <v>424.88600000000002</v>
      </c>
      <c r="BU27" s="194">
        <f t="shared" si="31"/>
        <v>0</v>
      </c>
      <c r="BV27" s="194">
        <f t="shared" si="31"/>
        <v>0</v>
      </c>
      <c r="BW27" s="194">
        <f t="shared" si="31"/>
        <v>0</v>
      </c>
      <c r="BX27" s="194">
        <f t="shared" si="31"/>
        <v>0</v>
      </c>
      <c r="BY27" s="194">
        <f t="shared" si="31"/>
        <v>31.081638624725677</v>
      </c>
      <c r="BZ27" s="194">
        <f t="shared" si="31"/>
        <v>10.249154000000001</v>
      </c>
      <c r="CA27" s="194">
        <f t="shared" si="31"/>
        <v>0</v>
      </c>
      <c r="CB27" s="194">
        <f t="shared" ref="CB27:CS27" si="32">SUM(CB28:CB34)</f>
        <v>0</v>
      </c>
      <c r="CC27" s="194">
        <f t="shared" si="32"/>
        <v>10.249154000000001</v>
      </c>
      <c r="CD27" s="194">
        <f t="shared" si="32"/>
        <v>0</v>
      </c>
      <c r="CE27" s="194">
        <f t="shared" si="32"/>
        <v>10.249154000000001</v>
      </c>
      <c r="CF27" s="194">
        <f t="shared" si="32"/>
        <v>0</v>
      </c>
      <c r="CG27" s="194">
        <f t="shared" si="32"/>
        <v>0</v>
      </c>
      <c r="CH27" s="194">
        <f t="shared" si="32"/>
        <v>10.249154000000001</v>
      </c>
      <c r="CI27" s="194">
        <f t="shared" si="32"/>
        <v>0</v>
      </c>
      <c r="CJ27" s="194">
        <f t="shared" si="32"/>
        <v>0</v>
      </c>
      <c r="CK27" s="194">
        <f t="shared" si="32"/>
        <v>0</v>
      </c>
      <c r="CL27" s="194">
        <f t="shared" si="32"/>
        <v>0</v>
      </c>
      <c r="CM27" s="194">
        <f t="shared" si="32"/>
        <v>0</v>
      </c>
      <c r="CN27" s="194">
        <f t="shared" si="32"/>
        <v>0</v>
      </c>
      <c r="CO27" s="194">
        <f t="shared" si="32"/>
        <v>2699.0570000000002</v>
      </c>
      <c r="CP27" s="194">
        <f t="shared" si="32"/>
        <v>0</v>
      </c>
      <c r="CQ27" s="194">
        <f t="shared" si="32"/>
        <v>0</v>
      </c>
      <c r="CR27" s="194">
        <f t="shared" si="32"/>
        <v>0</v>
      </c>
      <c r="CS27" s="300">
        <f t="shared" si="32"/>
        <v>10.249154000000001</v>
      </c>
      <c r="CT27" s="301"/>
      <c r="CU27" s="161"/>
    </row>
    <row r="28" spans="1:99" ht="61.5" outlineLevel="1">
      <c r="A28" s="183">
        <v>1</v>
      </c>
      <c r="B28" s="292" t="s">
        <v>3066</v>
      </c>
      <c r="C28" s="183" t="s">
        <v>304</v>
      </c>
      <c r="D28" s="302" t="s">
        <v>3067</v>
      </c>
      <c r="E28" s="183" t="s">
        <v>3061</v>
      </c>
      <c r="F28" s="183" t="s">
        <v>49</v>
      </c>
      <c r="G28" s="183" t="s">
        <v>3068</v>
      </c>
      <c r="H28" s="183"/>
      <c r="I28" s="184" t="s">
        <v>3062</v>
      </c>
      <c r="J28" s="183" t="s">
        <v>49</v>
      </c>
      <c r="K28" s="183" t="s">
        <v>3069</v>
      </c>
      <c r="L28" s="183" t="s">
        <v>54</v>
      </c>
      <c r="M28" s="183">
        <v>2024</v>
      </c>
      <c r="N28" s="282"/>
      <c r="O28" s="282" t="s">
        <v>3070</v>
      </c>
      <c r="P28" s="283">
        <v>3993</v>
      </c>
      <c r="Q28" s="283"/>
      <c r="R28" s="283"/>
      <c r="S28" s="283">
        <v>3993</v>
      </c>
      <c r="T28" s="186">
        <v>0</v>
      </c>
      <c r="U28" s="186"/>
      <c r="V28" s="282" t="s">
        <v>3069</v>
      </c>
      <c r="W28" s="282" t="s">
        <v>3069</v>
      </c>
      <c r="X28" s="282" t="s">
        <v>3062</v>
      </c>
      <c r="Y28" s="283"/>
      <c r="Z28" s="283"/>
      <c r="AA28" s="283"/>
      <c r="AB28" s="283"/>
      <c r="AC28" s="186">
        <v>3993</v>
      </c>
      <c r="AD28" s="283"/>
      <c r="AE28" s="283"/>
      <c r="AF28" s="186">
        <v>3993</v>
      </c>
      <c r="AG28" s="283">
        <f t="shared" si="25"/>
        <v>0</v>
      </c>
      <c r="AH28" s="283"/>
      <c r="AI28" s="283"/>
      <c r="AJ28" s="283">
        <v>3993</v>
      </c>
      <c r="AK28" s="283"/>
      <c r="AL28" s="186">
        <v>0</v>
      </c>
      <c r="AM28" s="186">
        <v>3482.32</v>
      </c>
      <c r="AN28" s="283"/>
      <c r="AO28" s="283"/>
      <c r="AP28" s="186">
        <v>3482.32</v>
      </c>
      <c r="AQ28" s="283"/>
      <c r="AR28" s="283"/>
      <c r="AS28" s="283">
        <v>3482.32</v>
      </c>
      <c r="AT28" s="283"/>
      <c r="AU28" s="186">
        <v>0</v>
      </c>
      <c r="AV28" s="186">
        <v>0</v>
      </c>
      <c r="AW28" s="283"/>
      <c r="AX28" s="283"/>
      <c r="AY28" s="186">
        <v>0</v>
      </c>
      <c r="AZ28" s="283"/>
      <c r="BA28" s="283"/>
      <c r="BB28" s="283"/>
      <c r="BC28" s="283"/>
      <c r="BD28" s="186">
        <v>0</v>
      </c>
      <c r="BE28" s="186">
        <v>0</v>
      </c>
      <c r="BF28" s="186">
        <v>1756.9430000000002</v>
      </c>
      <c r="BG28" s="283"/>
      <c r="BH28" s="283"/>
      <c r="BI28" s="186">
        <v>1756.9430000000002</v>
      </c>
      <c r="BJ28" s="283">
        <f>BK28+BL28</f>
        <v>0</v>
      </c>
      <c r="BK28" s="283"/>
      <c r="BL28" s="283"/>
      <c r="BM28" s="283">
        <v>1756.9430000000002</v>
      </c>
      <c r="BN28" s="283"/>
      <c r="BO28" s="186">
        <v>0</v>
      </c>
      <c r="BP28" s="284">
        <v>0</v>
      </c>
      <c r="BQ28" s="283"/>
      <c r="BR28" s="283"/>
      <c r="BS28" s="283">
        <v>0</v>
      </c>
      <c r="BT28" s="283"/>
      <c r="BU28" s="283"/>
      <c r="BV28" s="283"/>
      <c r="BW28" s="283"/>
      <c r="BX28" s="186">
        <v>0</v>
      </c>
      <c r="BY28" s="285">
        <v>0</v>
      </c>
      <c r="BZ28" s="286">
        <v>0</v>
      </c>
      <c r="CA28" s="287"/>
      <c r="CB28" s="287"/>
      <c r="CC28" s="287"/>
      <c r="CD28" s="187"/>
      <c r="CE28" s="286">
        <v>0</v>
      </c>
      <c r="CF28" s="287"/>
      <c r="CG28" s="287"/>
      <c r="CH28" s="287"/>
      <c r="CI28" s="187"/>
      <c r="CJ28" s="288"/>
      <c r="CK28" s="288"/>
      <c r="CL28" s="288"/>
      <c r="CM28" s="288"/>
      <c r="CN28" s="288"/>
      <c r="CO28" s="187">
        <v>1756.9430000000002</v>
      </c>
      <c r="CP28" s="184" t="s">
        <v>3071</v>
      </c>
      <c r="CQ28" s="184"/>
      <c r="CR28" s="184"/>
      <c r="CS28" s="184"/>
      <c r="CT28" s="291"/>
      <c r="CU28" s="160"/>
    </row>
    <row r="29" spans="1:99" ht="75" customHeight="1" outlineLevel="1">
      <c r="A29" s="183">
        <v>2</v>
      </c>
      <c r="B29" s="279" t="s">
        <v>3072</v>
      </c>
      <c r="C29" s="280" t="s">
        <v>3042</v>
      </c>
      <c r="D29" s="183" t="s">
        <v>3073</v>
      </c>
      <c r="E29" s="183" t="s">
        <v>3061</v>
      </c>
      <c r="F29" s="183" t="s">
        <v>49</v>
      </c>
      <c r="G29" s="183" t="s">
        <v>1528</v>
      </c>
      <c r="H29" s="183"/>
      <c r="I29" s="184" t="s">
        <v>3062</v>
      </c>
      <c r="J29" s="183" t="s">
        <v>49</v>
      </c>
      <c r="K29" s="183" t="s">
        <v>3069</v>
      </c>
      <c r="L29" s="183">
        <v>2021</v>
      </c>
      <c r="M29" s="183">
        <v>2021</v>
      </c>
      <c r="N29" s="282"/>
      <c r="O29" s="282" t="s">
        <v>3074</v>
      </c>
      <c r="P29" s="186">
        <v>5400</v>
      </c>
      <c r="Q29" s="186"/>
      <c r="R29" s="186"/>
      <c r="S29" s="186">
        <v>5400</v>
      </c>
      <c r="T29" s="186">
        <v>0</v>
      </c>
      <c r="U29" s="186"/>
      <c r="V29" s="282" t="s">
        <v>3069</v>
      </c>
      <c r="W29" s="282" t="s">
        <v>3069</v>
      </c>
      <c r="X29" s="282" t="s">
        <v>3062</v>
      </c>
      <c r="Y29" s="303"/>
      <c r="Z29" s="303"/>
      <c r="AA29" s="303"/>
      <c r="AB29" s="303"/>
      <c r="AC29" s="186">
        <v>5400</v>
      </c>
      <c r="AD29" s="186"/>
      <c r="AE29" s="186"/>
      <c r="AF29" s="186">
        <v>5400</v>
      </c>
      <c r="AG29" s="283">
        <f t="shared" si="25"/>
        <v>0</v>
      </c>
      <c r="AH29" s="186"/>
      <c r="AI29" s="186"/>
      <c r="AJ29" s="186"/>
      <c r="AK29" s="186">
        <v>5400</v>
      </c>
      <c r="AL29" s="186">
        <v>0</v>
      </c>
      <c r="AM29" s="186">
        <v>400</v>
      </c>
      <c r="AN29" s="186"/>
      <c r="AO29" s="186"/>
      <c r="AP29" s="186">
        <v>400</v>
      </c>
      <c r="AQ29" s="186"/>
      <c r="AR29" s="186"/>
      <c r="AS29" s="186"/>
      <c r="AT29" s="186">
        <v>400</v>
      </c>
      <c r="AU29" s="186">
        <v>0</v>
      </c>
      <c r="AV29" s="186">
        <v>400</v>
      </c>
      <c r="AW29" s="186"/>
      <c r="AX29" s="186"/>
      <c r="AY29" s="186">
        <v>400</v>
      </c>
      <c r="AZ29" s="186"/>
      <c r="BA29" s="186"/>
      <c r="BB29" s="186"/>
      <c r="BC29" s="186">
        <v>400</v>
      </c>
      <c r="BD29" s="186">
        <v>0</v>
      </c>
      <c r="BE29" s="186">
        <v>100</v>
      </c>
      <c r="BF29" s="186">
        <v>0</v>
      </c>
      <c r="BG29" s="186"/>
      <c r="BH29" s="186"/>
      <c r="BI29" s="283">
        <v>0</v>
      </c>
      <c r="BJ29" s="283">
        <f t="shared" si="27"/>
        <v>0</v>
      </c>
      <c r="BK29" s="186"/>
      <c r="BL29" s="186"/>
      <c r="BM29" s="186"/>
      <c r="BN29" s="186"/>
      <c r="BO29" s="186">
        <v>0</v>
      </c>
      <c r="BP29" s="284">
        <v>0</v>
      </c>
      <c r="BQ29" s="284"/>
      <c r="BR29" s="284"/>
      <c r="BS29" s="284"/>
      <c r="BT29" s="284"/>
      <c r="BU29" s="284"/>
      <c r="BV29" s="284"/>
      <c r="BW29" s="284"/>
      <c r="BX29" s="186">
        <v>0</v>
      </c>
      <c r="BY29" s="285"/>
      <c r="BZ29" s="286">
        <v>0</v>
      </c>
      <c r="CA29" s="286"/>
      <c r="CB29" s="286"/>
      <c r="CC29" s="286"/>
      <c r="CD29" s="187">
        <v>0</v>
      </c>
      <c r="CE29" s="286">
        <v>0</v>
      </c>
      <c r="CF29" s="286"/>
      <c r="CG29" s="286"/>
      <c r="CH29" s="286"/>
      <c r="CI29" s="187"/>
      <c r="CJ29" s="288"/>
      <c r="CK29" s="288"/>
      <c r="CL29" s="288"/>
      <c r="CM29" s="288"/>
      <c r="CN29" s="288"/>
      <c r="CO29" s="187">
        <v>0</v>
      </c>
      <c r="CP29" s="184"/>
      <c r="CQ29" s="184" t="s">
        <v>488</v>
      </c>
      <c r="CR29" s="280"/>
      <c r="CS29" s="280"/>
      <c r="CT29" s="301"/>
      <c r="CU29" s="161"/>
    </row>
    <row r="30" spans="1:99" ht="92.25" outlineLevel="1">
      <c r="A30" s="183">
        <v>3</v>
      </c>
      <c r="B30" s="292" t="s">
        <v>3075</v>
      </c>
      <c r="C30" s="280" t="s">
        <v>3076</v>
      </c>
      <c r="D30" s="183" t="s">
        <v>3077</v>
      </c>
      <c r="E30" s="183" t="s">
        <v>3061</v>
      </c>
      <c r="F30" s="183" t="s">
        <v>49</v>
      </c>
      <c r="G30" s="183" t="s">
        <v>48</v>
      </c>
      <c r="H30" s="183"/>
      <c r="I30" s="184" t="s">
        <v>3062</v>
      </c>
      <c r="J30" s="183" t="s">
        <v>49</v>
      </c>
      <c r="K30" s="183" t="s">
        <v>3069</v>
      </c>
      <c r="L30" s="183">
        <v>2021</v>
      </c>
      <c r="M30" s="183">
        <v>2021</v>
      </c>
      <c r="N30" s="282"/>
      <c r="O30" s="282" t="s">
        <v>3078</v>
      </c>
      <c r="P30" s="186">
        <v>555</v>
      </c>
      <c r="Q30" s="186"/>
      <c r="R30" s="186"/>
      <c r="S30" s="283">
        <v>530</v>
      </c>
      <c r="T30" s="186">
        <v>25</v>
      </c>
      <c r="U30" s="186"/>
      <c r="V30" s="282" t="s">
        <v>3069</v>
      </c>
      <c r="W30" s="282" t="s">
        <v>3069</v>
      </c>
      <c r="X30" s="282" t="s">
        <v>3062</v>
      </c>
      <c r="Y30" s="283"/>
      <c r="Z30" s="283"/>
      <c r="AA30" s="283"/>
      <c r="AB30" s="283"/>
      <c r="AC30" s="186">
        <f t="shared" ref="AC30:AC31" si="33">AD30+AE30+AF30</f>
        <v>530</v>
      </c>
      <c r="AD30" s="186"/>
      <c r="AE30" s="186"/>
      <c r="AF30" s="186">
        <f t="shared" ref="AF30:AF31" si="34">SUM(AH30:AK30)</f>
        <v>530</v>
      </c>
      <c r="AG30" s="283">
        <f t="shared" si="25"/>
        <v>530</v>
      </c>
      <c r="AH30" s="283">
        <v>530</v>
      </c>
      <c r="AI30" s="283"/>
      <c r="AJ30" s="283"/>
      <c r="AK30" s="283"/>
      <c r="AL30" s="186">
        <v>25</v>
      </c>
      <c r="AM30" s="186">
        <f t="shared" ref="AM30:AM31" si="35">AN30+AO30+AP30</f>
        <v>530</v>
      </c>
      <c r="AN30" s="186"/>
      <c r="AO30" s="186"/>
      <c r="AP30" s="186">
        <f t="shared" ref="AP30:AP31" si="36">SUM(AQ30:AT30)</f>
        <v>530</v>
      </c>
      <c r="AQ30" s="283">
        <v>530</v>
      </c>
      <c r="AR30" s="283"/>
      <c r="AS30" s="283"/>
      <c r="AT30" s="283"/>
      <c r="AU30" s="186">
        <v>25</v>
      </c>
      <c r="AV30" s="186">
        <f t="shared" ref="AV30:AV31" si="37">AW30+AX30+AY30</f>
        <v>530</v>
      </c>
      <c r="AW30" s="186"/>
      <c r="AX30" s="186"/>
      <c r="AY30" s="186">
        <f t="shared" ref="AY30:AY31" si="38">SUM(AZ30:BC30)</f>
        <v>530</v>
      </c>
      <c r="AZ30" s="283">
        <v>530</v>
      </c>
      <c r="BA30" s="283"/>
      <c r="BB30" s="283"/>
      <c r="BC30" s="283"/>
      <c r="BD30" s="186">
        <v>25</v>
      </c>
      <c r="BE30" s="186">
        <f t="shared" ref="BE30:BE31" si="39">AV30/AM30*100</f>
        <v>100</v>
      </c>
      <c r="BF30" s="186">
        <f t="shared" ref="BF30:BF31" si="40">BG30+BH30+BI30</f>
        <v>0</v>
      </c>
      <c r="BG30" s="186"/>
      <c r="BH30" s="186"/>
      <c r="BI30" s="283">
        <f t="shared" ref="BI30:BI31" si="41">SUM(BK30:BN30)</f>
        <v>0</v>
      </c>
      <c r="BJ30" s="283">
        <f t="shared" si="27"/>
        <v>0</v>
      </c>
      <c r="BK30" s="283"/>
      <c r="BL30" s="283"/>
      <c r="BM30" s="283"/>
      <c r="BN30" s="283"/>
      <c r="BO30" s="186"/>
      <c r="BP30" s="284">
        <f t="shared" ref="BP30:BP31" si="42">BQ30+BR30+BS30</f>
        <v>0</v>
      </c>
      <c r="BQ30" s="284"/>
      <c r="BR30" s="284"/>
      <c r="BS30" s="283"/>
      <c r="BT30" s="283"/>
      <c r="BU30" s="283"/>
      <c r="BV30" s="283"/>
      <c r="BW30" s="283"/>
      <c r="BX30" s="186"/>
      <c r="BY30" s="285"/>
      <c r="BZ30" s="286">
        <f t="shared" ref="BZ30:BZ31" si="43">CA30+CC30+CD30</f>
        <v>0</v>
      </c>
      <c r="CA30" s="286"/>
      <c r="CB30" s="286"/>
      <c r="CC30" s="287"/>
      <c r="CD30" s="187"/>
      <c r="CE30" s="286">
        <f t="shared" ref="CE30:CE31" si="44">CF30+CH30+CI30</f>
        <v>0</v>
      </c>
      <c r="CF30" s="286"/>
      <c r="CG30" s="286"/>
      <c r="CH30" s="287"/>
      <c r="CI30" s="187"/>
      <c r="CJ30" s="288"/>
      <c r="CK30" s="288"/>
      <c r="CL30" s="288"/>
      <c r="CM30" s="288"/>
      <c r="CN30" s="288"/>
      <c r="CO30" s="187">
        <f t="shared" ref="CO30:CO31" si="45">BF30-BP30</f>
        <v>0</v>
      </c>
      <c r="CP30" s="184"/>
      <c r="CQ30" s="184" t="s">
        <v>488</v>
      </c>
      <c r="CR30" s="304"/>
      <c r="CS30" s="304"/>
      <c r="CT30" s="487"/>
      <c r="CU30" s="167"/>
    </row>
    <row r="31" spans="1:99" ht="94.5" customHeight="1" outlineLevel="1">
      <c r="A31" s="183">
        <v>4</v>
      </c>
      <c r="B31" s="292" t="s">
        <v>3079</v>
      </c>
      <c r="C31" s="280" t="s">
        <v>3076</v>
      </c>
      <c r="D31" s="183" t="s">
        <v>3077</v>
      </c>
      <c r="E31" s="183" t="s">
        <v>3061</v>
      </c>
      <c r="F31" s="183" t="s">
        <v>49</v>
      </c>
      <c r="G31" s="183" t="s">
        <v>48</v>
      </c>
      <c r="H31" s="183"/>
      <c r="I31" s="184" t="s">
        <v>3062</v>
      </c>
      <c r="J31" s="183" t="s">
        <v>49</v>
      </c>
      <c r="K31" s="183" t="s">
        <v>3069</v>
      </c>
      <c r="L31" s="183">
        <v>2021</v>
      </c>
      <c r="M31" s="183">
        <v>2021</v>
      </c>
      <c r="N31" s="282"/>
      <c r="O31" s="282" t="s">
        <v>3080</v>
      </c>
      <c r="P31" s="186">
        <v>4411.0410000000002</v>
      </c>
      <c r="Q31" s="186"/>
      <c r="R31" s="186"/>
      <c r="S31" s="283">
        <v>4200</v>
      </c>
      <c r="T31" s="186">
        <v>211.04100000000017</v>
      </c>
      <c r="U31" s="186"/>
      <c r="V31" s="282" t="s">
        <v>3069</v>
      </c>
      <c r="W31" s="282" t="s">
        <v>3069</v>
      </c>
      <c r="X31" s="282" t="s">
        <v>3062</v>
      </c>
      <c r="Y31" s="283"/>
      <c r="Z31" s="283"/>
      <c r="AA31" s="283"/>
      <c r="AB31" s="283"/>
      <c r="AC31" s="186">
        <f t="shared" si="33"/>
        <v>4200</v>
      </c>
      <c r="AD31" s="186"/>
      <c r="AE31" s="186"/>
      <c r="AF31" s="186">
        <f t="shared" si="34"/>
        <v>4200</v>
      </c>
      <c r="AG31" s="283">
        <f t="shared" si="25"/>
        <v>4200</v>
      </c>
      <c r="AH31" s="283">
        <v>4200</v>
      </c>
      <c r="AI31" s="283"/>
      <c r="AJ31" s="283"/>
      <c r="AK31" s="283"/>
      <c r="AL31" s="186">
        <v>211.04100000000017</v>
      </c>
      <c r="AM31" s="186">
        <f t="shared" si="35"/>
        <v>4200</v>
      </c>
      <c r="AN31" s="186"/>
      <c r="AO31" s="186"/>
      <c r="AP31" s="186">
        <f t="shared" si="36"/>
        <v>4200</v>
      </c>
      <c r="AQ31" s="283">
        <v>4200</v>
      </c>
      <c r="AR31" s="283"/>
      <c r="AS31" s="283"/>
      <c r="AT31" s="283"/>
      <c r="AU31" s="186">
        <v>211.04100000000017</v>
      </c>
      <c r="AV31" s="186">
        <f t="shared" si="37"/>
        <v>4200</v>
      </c>
      <c r="AW31" s="186"/>
      <c r="AX31" s="186"/>
      <c r="AY31" s="186">
        <f t="shared" si="38"/>
        <v>4200</v>
      </c>
      <c r="AZ31" s="283">
        <v>4200</v>
      </c>
      <c r="BA31" s="283"/>
      <c r="BB31" s="283"/>
      <c r="BC31" s="283"/>
      <c r="BD31" s="186">
        <v>211.04100000000017</v>
      </c>
      <c r="BE31" s="186">
        <f t="shared" si="39"/>
        <v>100</v>
      </c>
      <c r="BF31" s="186">
        <f t="shared" si="40"/>
        <v>0</v>
      </c>
      <c r="BG31" s="186"/>
      <c r="BH31" s="186"/>
      <c r="BI31" s="283">
        <f t="shared" si="41"/>
        <v>0</v>
      </c>
      <c r="BJ31" s="283">
        <f t="shared" si="27"/>
        <v>0</v>
      </c>
      <c r="BK31" s="283"/>
      <c r="BL31" s="283"/>
      <c r="BM31" s="283"/>
      <c r="BN31" s="283"/>
      <c r="BO31" s="186"/>
      <c r="BP31" s="284">
        <f t="shared" si="42"/>
        <v>0</v>
      </c>
      <c r="BQ31" s="284"/>
      <c r="BR31" s="284"/>
      <c r="BS31" s="283"/>
      <c r="BT31" s="283"/>
      <c r="BU31" s="283"/>
      <c r="BV31" s="283"/>
      <c r="BW31" s="283"/>
      <c r="BX31" s="186"/>
      <c r="BY31" s="285"/>
      <c r="BZ31" s="286">
        <f t="shared" si="43"/>
        <v>0</v>
      </c>
      <c r="CA31" s="286"/>
      <c r="CB31" s="286"/>
      <c r="CC31" s="287"/>
      <c r="CD31" s="187"/>
      <c r="CE31" s="286">
        <f t="shared" si="44"/>
        <v>0</v>
      </c>
      <c r="CF31" s="286"/>
      <c r="CG31" s="286"/>
      <c r="CH31" s="287"/>
      <c r="CI31" s="187"/>
      <c r="CJ31" s="288"/>
      <c r="CK31" s="288"/>
      <c r="CL31" s="288"/>
      <c r="CM31" s="288"/>
      <c r="CN31" s="288"/>
      <c r="CO31" s="187">
        <f t="shared" si="45"/>
        <v>0</v>
      </c>
      <c r="CP31" s="184"/>
      <c r="CQ31" s="184" t="s">
        <v>488</v>
      </c>
      <c r="CR31" s="304"/>
      <c r="CS31" s="304"/>
      <c r="CT31" s="487"/>
      <c r="CU31" s="167"/>
    </row>
    <row r="32" spans="1:99" ht="78" customHeight="1" outlineLevel="1">
      <c r="A32" s="183">
        <v>5</v>
      </c>
      <c r="B32" s="279" t="s">
        <v>3081</v>
      </c>
      <c r="C32" s="280" t="s">
        <v>3082</v>
      </c>
      <c r="D32" s="281" t="s">
        <v>3083</v>
      </c>
      <c r="E32" s="280" t="s">
        <v>3061</v>
      </c>
      <c r="F32" s="183" t="s">
        <v>49</v>
      </c>
      <c r="G32" s="183" t="s">
        <v>55</v>
      </c>
      <c r="H32" s="183">
        <v>8141143</v>
      </c>
      <c r="I32" s="184" t="s">
        <v>3062</v>
      </c>
      <c r="J32" s="183" t="s">
        <v>49</v>
      </c>
      <c r="K32" s="183" t="s">
        <v>3084</v>
      </c>
      <c r="L32" s="183" t="s">
        <v>84</v>
      </c>
      <c r="M32" s="183">
        <v>2025</v>
      </c>
      <c r="N32" s="282"/>
      <c r="O32" s="282" t="s">
        <v>3085</v>
      </c>
      <c r="P32" s="186">
        <v>1367</v>
      </c>
      <c r="Q32" s="186"/>
      <c r="R32" s="186"/>
      <c r="S32" s="186">
        <v>1367</v>
      </c>
      <c r="T32" s="186">
        <v>0</v>
      </c>
      <c r="U32" s="186"/>
      <c r="V32" s="282" t="s">
        <v>3084</v>
      </c>
      <c r="W32" s="282" t="s">
        <v>3069</v>
      </c>
      <c r="X32" s="282" t="s">
        <v>3062</v>
      </c>
      <c r="Y32" s="186"/>
      <c r="Z32" s="186"/>
      <c r="AA32" s="186"/>
      <c r="AB32" s="186"/>
      <c r="AC32" s="186">
        <v>1367</v>
      </c>
      <c r="AD32" s="186"/>
      <c r="AE32" s="186"/>
      <c r="AF32" s="186">
        <v>1367</v>
      </c>
      <c r="AG32" s="283">
        <f t="shared" si="25"/>
        <v>1367</v>
      </c>
      <c r="AH32" s="186">
        <v>1367</v>
      </c>
      <c r="AI32" s="186"/>
      <c r="AJ32" s="186"/>
      <c r="AK32" s="186"/>
      <c r="AL32" s="186">
        <v>0</v>
      </c>
      <c r="AM32" s="186">
        <v>1367</v>
      </c>
      <c r="AN32" s="186"/>
      <c r="AO32" s="186"/>
      <c r="AP32" s="186">
        <v>1367</v>
      </c>
      <c r="AQ32" s="186">
        <v>1367</v>
      </c>
      <c r="AR32" s="186"/>
      <c r="AS32" s="186"/>
      <c r="AT32" s="186"/>
      <c r="AU32" s="186">
        <v>0</v>
      </c>
      <c r="AV32" s="186">
        <v>0</v>
      </c>
      <c r="AW32" s="186"/>
      <c r="AX32" s="186"/>
      <c r="AY32" s="186">
        <v>0</v>
      </c>
      <c r="AZ32" s="186"/>
      <c r="BA32" s="186"/>
      <c r="BB32" s="186"/>
      <c r="BC32" s="186"/>
      <c r="BD32" s="186">
        <v>0</v>
      </c>
      <c r="BE32" s="186">
        <v>0</v>
      </c>
      <c r="BF32" s="186">
        <v>1367</v>
      </c>
      <c r="BG32" s="186"/>
      <c r="BH32" s="186"/>
      <c r="BI32" s="186">
        <v>1367</v>
      </c>
      <c r="BJ32" s="283">
        <f t="shared" si="27"/>
        <v>1367</v>
      </c>
      <c r="BK32" s="186">
        <v>1367</v>
      </c>
      <c r="BL32" s="186"/>
      <c r="BM32" s="186"/>
      <c r="BN32" s="186"/>
      <c r="BO32" s="186">
        <v>0</v>
      </c>
      <c r="BP32" s="284">
        <v>424.88600000000002</v>
      </c>
      <c r="BQ32" s="186"/>
      <c r="BR32" s="186"/>
      <c r="BS32" s="186">
        <v>424.88600000000002</v>
      </c>
      <c r="BT32" s="186">
        <v>424.88600000000002</v>
      </c>
      <c r="BU32" s="186"/>
      <c r="BV32" s="186"/>
      <c r="BW32" s="186"/>
      <c r="BX32" s="186">
        <v>0</v>
      </c>
      <c r="BY32" s="285">
        <v>31.081638624725677</v>
      </c>
      <c r="BZ32" s="286">
        <v>0</v>
      </c>
      <c r="CA32" s="187"/>
      <c r="CB32" s="187"/>
      <c r="CC32" s="187"/>
      <c r="CD32" s="187">
        <v>0</v>
      </c>
      <c r="CE32" s="286">
        <v>0</v>
      </c>
      <c r="CF32" s="187"/>
      <c r="CG32" s="187"/>
      <c r="CH32" s="187"/>
      <c r="CI32" s="187"/>
      <c r="CJ32" s="288"/>
      <c r="CK32" s="288"/>
      <c r="CL32" s="288"/>
      <c r="CM32" s="288"/>
      <c r="CN32" s="288"/>
      <c r="CO32" s="187">
        <v>942.11400000000003</v>
      </c>
      <c r="CP32" s="184" t="s">
        <v>3086</v>
      </c>
      <c r="CQ32" s="184"/>
      <c r="CR32" s="289" t="s">
        <v>3087</v>
      </c>
      <c r="CS32" s="289"/>
      <c r="CT32" s="291"/>
      <c r="CU32" s="160"/>
    </row>
    <row r="33" spans="1:99" ht="82.5" customHeight="1" outlineLevel="1">
      <c r="A33" s="183">
        <v>6</v>
      </c>
      <c r="B33" s="292" t="s">
        <v>3088</v>
      </c>
      <c r="C33" s="280" t="s">
        <v>3082</v>
      </c>
      <c r="D33" s="183" t="s">
        <v>3089</v>
      </c>
      <c r="E33" s="183" t="s">
        <v>3061</v>
      </c>
      <c r="F33" s="183" t="s">
        <v>49</v>
      </c>
      <c r="G33" s="183" t="s">
        <v>55</v>
      </c>
      <c r="H33" s="183"/>
      <c r="I33" s="184" t="s">
        <v>3062</v>
      </c>
      <c r="J33" s="183" t="s">
        <v>49</v>
      </c>
      <c r="K33" s="183" t="s">
        <v>3090</v>
      </c>
      <c r="L33" s="183" t="s">
        <v>56</v>
      </c>
      <c r="M33" s="183">
        <v>2023</v>
      </c>
      <c r="N33" s="282"/>
      <c r="O33" s="282" t="s">
        <v>3091</v>
      </c>
      <c r="P33" s="186">
        <v>2000</v>
      </c>
      <c r="Q33" s="186"/>
      <c r="R33" s="186"/>
      <c r="S33" s="186">
        <v>2000</v>
      </c>
      <c r="T33" s="186">
        <v>0</v>
      </c>
      <c r="U33" s="186"/>
      <c r="V33" s="282" t="s">
        <v>3090</v>
      </c>
      <c r="W33" s="282" t="s">
        <v>3069</v>
      </c>
      <c r="X33" s="282" t="s">
        <v>3062</v>
      </c>
      <c r="Y33" s="186"/>
      <c r="Z33" s="186"/>
      <c r="AA33" s="186"/>
      <c r="AB33" s="186"/>
      <c r="AC33" s="186">
        <v>2000</v>
      </c>
      <c r="AD33" s="186"/>
      <c r="AE33" s="186"/>
      <c r="AF33" s="186">
        <v>2000</v>
      </c>
      <c r="AG33" s="283">
        <f t="shared" si="25"/>
        <v>2000</v>
      </c>
      <c r="AH33" s="186">
        <v>2000</v>
      </c>
      <c r="AI33" s="186"/>
      <c r="AJ33" s="186"/>
      <c r="AK33" s="186"/>
      <c r="AL33" s="186">
        <v>0</v>
      </c>
      <c r="AM33" s="186">
        <v>2000</v>
      </c>
      <c r="AN33" s="186"/>
      <c r="AO33" s="186"/>
      <c r="AP33" s="186">
        <v>2000</v>
      </c>
      <c r="AQ33" s="186">
        <v>2000</v>
      </c>
      <c r="AR33" s="186"/>
      <c r="AS33" s="186"/>
      <c r="AT33" s="186"/>
      <c r="AU33" s="186">
        <v>0</v>
      </c>
      <c r="AV33" s="186">
        <v>2000</v>
      </c>
      <c r="AW33" s="186"/>
      <c r="AX33" s="186"/>
      <c r="AY33" s="186">
        <v>2000</v>
      </c>
      <c r="AZ33" s="186">
        <v>2000</v>
      </c>
      <c r="BA33" s="186"/>
      <c r="BB33" s="186"/>
      <c r="BC33" s="186"/>
      <c r="BD33" s="186">
        <v>0</v>
      </c>
      <c r="BE33" s="186">
        <v>100</v>
      </c>
      <c r="BF33" s="186">
        <v>0</v>
      </c>
      <c r="BG33" s="186"/>
      <c r="BH33" s="186"/>
      <c r="BI33" s="283">
        <v>0</v>
      </c>
      <c r="BJ33" s="283">
        <f t="shared" si="27"/>
        <v>0</v>
      </c>
      <c r="BK33" s="186"/>
      <c r="BL33" s="186"/>
      <c r="BM33" s="186"/>
      <c r="BN33" s="186"/>
      <c r="BO33" s="186">
        <v>0</v>
      </c>
      <c r="BP33" s="284">
        <v>0</v>
      </c>
      <c r="BQ33" s="186"/>
      <c r="BR33" s="186"/>
      <c r="BS33" s="186"/>
      <c r="BT33" s="186"/>
      <c r="BU33" s="186"/>
      <c r="BV33" s="186"/>
      <c r="BW33" s="186"/>
      <c r="BX33" s="186">
        <v>0</v>
      </c>
      <c r="BY33" s="285"/>
      <c r="BZ33" s="286">
        <v>0</v>
      </c>
      <c r="CA33" s="187"/>
      <c r="CB33" s="187"/>
      <c r="CC33" s="187"/>
      <c r="CD33" s="187">
        <v>0</v>
      </c>
      <c r="CE33" s="286">
        <v>0</v>
      </c>
      <c r="CF33" s="187"/>
      <c r="CG33" s="187"/>
      <c r="CH33" s="187"/>
      <c r="CI33" s="187"/>
      <c r="CJ33" s="288"/>
      <c r="CK33" s="288"/>
      <c r="CL33" s="288"/>
      <c r="CM33" s="288"/>
      <c r="CN33" s="288"/>
      <c r="CO33" s="187">
        <v>0</v>
      </c>
      <c r="CP33" s="184"/>
      <c r="CQ33" s="184" t="s">
        <v>488</v>
      </c>
      <c r="CR33" s="304"/>
      <c r="CS33" s="304"/>
      <c r="CT33" s="291"/>
      <c r="CU33" s="160"/>
    </row>
    <row r="34" spans="1:99" ht="76.900000000000006" outlineLevel="1">
      <c r="A34" s="183">
        <v>7</v>
      </c>
      <c r="B34" s="292" t="s">
        <v>3092</v>
      </c>
      <c r="C34" s="280" t="s">
        <v>3033</v>
      </c>
      <c r="D34" s="183" t="s">
        <v>3093</v>
      </c>
      <c r="E34" s="183" t="s">
        <v>274</v>
      </c>
      <c r="F34" s="183" t="s">
        <v>49</v>
      </c>
      <c r="G34" s="183" t="s">
        <v>3049</v>
      </c>
      <c r="H34" s="183">
        <v>8114828</v>
      </c>
      <c r="I34" s="184" t="s">
        <v>3062</v>
      </c>
      <c r="J34" s="183" t="s">
        <v>49</v>
      </c>
      <c r="K34" s="183" t="s">
        <v>3037</v>
      </c>
      <c r="L34" s="183">
        <v>2024</v>
      </c>
      <c r="M34" s="183">
        <v>2024</v>
      </c>
      <c r="N34" s="305"/>
      <c r="O34" s="305" t="s">
        <v>3094</v>
      </c>
      <c r="P34" s="283">
        <v>1850</v>
      </c>
      <c r="Q34" s="283"/>
      <c r="R34" s="283"/>
      <c r="S34" s="283">
        <v>1350</v>
      </c>
      <c r="T34" s="186">
        <v>500</v>
      </c>
      <c r="U34" s="186"/>
      <c r="V34" s="282" t="s">
        <v>3037</v>
      </c>
      <c r="W34" s="282" t="s">
        <v>3069</v>
      </c>
      <c r="X34" s="282" t="s">
        <v>3062</v>
      </c>
      <c r="Y34" s="283"/>
      <c r="Z34" s="283"/>
      <c r="AA34" s="283"/>
      <c r="AB34" s="283"/>
      <c r="AC34" s="186">
        <v>1350</v>
      </c>
      <c r="AD34" s="283"/>
      <c r="AE34" s="283"/>
      <c r="AF34" s="186">
        <v>1350</v>
      </c>
      <c r="AG34" s="283">
        <f t="shared" si="25"/>
        <v>1350</v>
      </c>
      <c r="AH34" s="283">
        <v>1350</v>
      </c>
      <c r="AI34" s="283"/>
      <c r="AJ34" s="283"/>
      <c r="AK34" s="283"/>
      <c r="AL34" s="186">
        <v>500</v>
      </c>
      <c r="AM34" s="186">
        <v>1350</v>
      </c>
      <c r="AN34" s="283"/>
      <c r="AO34" s="283"/>
      <c r="AP34" s="186">
        <v>1350</v>
      </c>
      <c r="AQ34" s="283"/>
      <c r="AR34" s="283"/>
      <c r="AS34" s="283"/>
      <c r="AT34" s="283">
        <v>1350</v>
      </c>
      <c r="AU34" s="186">
        <v>500</v>
      </c>
      <c r="AV34" s="186">
        <v>1298.1471180000001</v>
      </c>
      <c r="AW34" s="283"/>
      <c r="AX34" s="283"/>
      <c r="AY34" s="186">
        <v>1298.1471180000001</v>
      </c>
      <c r="AZ34" s="283"/>
      <c r="BA34" s="283"/>
      <c r="BB34" s="283"/>
      <c r="BC34" s="283">
        <v>1298.1471180000001</v>
      </c>
      <c r="BD34" s="186">
        <v>500</v>
      </c>
      <c r="BE34" s="186">
        <v>96.159045777777791</v>
      </c>
      <c r="BF34" s="186">
        <v>0</v>
      </c>
      <c r="BG34" s="283"/>
      <c r="BH34" s="283"/>
      <c r="BI34" s="283">
        <v>0</v>
      </c>
      <c r="BJ34" s="283">
        <f t="shared" si="27"/>
        <v>0</v>
      </c>
      <c r="BK34" s="283"/>
      <c r="BL34" s="283"/>
      <c r="BM34" s="283"/>
      <c r="BN34" s="283"/>
      <c r="BO34" s="186"/>
      <c r="BP34" s="284">
        <v>0</v>
      </c>
      <c r="BQ34" s="283"/>
      <c r="BR34" s="283"/>
      <c r="BS34" s="283"/>
      <c r="BT34" s="283"/>
      <c r="BU34" s="283"/>
      <c r="BV34" s="283"/>
      <c r="BW34" s="283"/>
      <c r="BX34" s="186"/>
      <c r="BY34" s="285"/>
      <c r="BZ34" s="286">
        <v>10.249154000000001</v>
      </c>
      <c r="CA34" s="287"/>
      <c r="CB34" s="287"/>
      <c r="CC34" s="287">
        <v>10.249154000000001</v>
      </c>
      <c r="CD34" s="187"/>
      <c r="CE34" s="286">
        <v>10.249154000000001</v>
      </c>
      <c r="CF34" s="287"/>
      <c r="CG34" s="287"/>
      <c r="CH34" s="287">
        <v>10.249154000000001</v>
      </c>
      <c r="CI34" s="187"/>
      <c r="CJ34" s="288"/>
      <c r="CK34" s="288"/>
      <c r="CL34" s="288"/>
      <c r="CM34" s="288"/>
      <c r="CN34" s="288"/>
      <c r="CO34" s="187">
        <v>0</v>
      </c>
      <c r="CP34" s="184"/>
      <c r="CQ34" s="184" t="s">
        <v>488</v>
      </c>
      <c r="CR34" s="289"/>
      <c r="CS34" s="306">
        <v>10.249154000000001</v>
      </c>
      <c r="CT34" s="291"/>
      <c r="CU34" s="160"/>
    </row>
    <row r="35" spans="1:99" ht="15.4" outlineLevel="1">
      <c r="A35" s="488" t="s">
        <v>45</v>
      </c>
      <c r="B35" s="489" t="s">
        <v>913</v>
      </c>
      <c r="C35" s="183"/>
      <c r="D35" s="183"/>
      <c r="E35" s="183"/>
      <c r="F35" s="183"/>
      <c r="G35" s="183"/>
      <c r="H35" s="183"/>
      <c r="I35" s="184"/>
      <c r="J35" s="183"/>
      <c r="K35" s="183"/>
      <c r="L35" s="183"/>
      <c r="M35" s="183"/>
      <c r="N35" s="282"/>
      <c r="O35" s="282"/>
      <c r="P35" s="186">
        <f>SUM(P36:P40)</f>
        <v>14081</v>
      </c>
      <c r="Q35" s="186">
        <f t="shared" ref="Q35:BN35" si="46">SUM(Q36:Q40)</f>
        <v>0</v>
      </c>
      <c r="R35" s="186">
        <f t="shared" si="46"/>
        <v>0</v>
      </c>
      <c r="S35" s="186">
        <f t="shared" si="46"/>
        <v>14081</v>
      </c>
      <c r="T35" s="186">
        <f t="shared" si="46"/>
        <v>0</v>
      </c>
      <c r="U35" s="186">
        <f t="shared" si="46"/>
        <v>0</v>
      </c>
      <c r="V35" s="285">
        <f t="shared" si="46"/>
        <v>0</v>
      </c>
      <c r="W35" s="285">
        <f t="shared" si="46"/>
        <v>0</v>
      </c>
      <c r="X35" s="285">
        <f t="shared" si="46"/>
        <v>0</v>
      </c>
      <c r="Y35" s="186">
        <f t="shared" si="46"/>
        <v>0</v>
      </c>
      <c r="Z35" s="186">
        <f t="shared" si="46"/>
        <v>0</v>
      </c>
      <c r="AA35" s="186">
        <f t="shared" si="46"/>
        <v>0</v>
      </c>
      <c r="AB35" s="186">
        <f t="shared" si="46"/>
        <v>0</v>
      </c>
      <c r="AC35" s="186">
        <f t="shared" si="46"/>
        <v>13881</v>
      </c>
      <c r="AD35" s="186">
        <f t="shared" si="46"/>
        <v>0</v>
      </c>
      <c r="AE35" s="186">
        <f t="shared" si="46"/>
        <v>0</v>
      </c>
      <c r="AF35" s="186">
        <f t="shared" si="46"/>
        <v>13881</v>
      </c>
      <c r="AG35" s="186">
        <f t="shared" si="46"/>
        <v>0</v>
      </c>
      <c r="AH35" s="186">
        <f t="shared" si="46"/>
        <v>0</v>
      </c>
      <c r="AI35" s="186">
        <f t="shared" si="46"/>
        <v>0</v>
      </c>
      <c r="AJ35" s="186">
        <f t="shared" si="46"/>
        <v>5500</v>
      </c>
      <c r="AK35" s="186">
        <f t="shared" si="46"/>
        <v>8381</v>
      </c>
      <c r="AL35" s="186">
        <f t="shared" si="46"/>
        <v>0</v>
      </c>
      <c r="AM35" s="186">
        <f t="shared" si="46"/>
        <v>0</v>
      </c>
      <c r="AN35" s="186">
        <f t="shared" si="46"/>
        <v>0</v>
      </c>
      <c r="AO35" s="186">
        <f t="shared" si="46"/>
        <v>0</v>
      </c>
      <c r="AP35" s="186">
        <f t="shared" si="46"/>
        <v>0</v>
      </c>
      <c r="AQ35" s="186">
        <f t="shared" si="46"/>
        <v>0</v>
      </c>
      <c r="AR35" s="186">
        <f t="shared" si="46"/>
        <v>0</v>
      </c>
      <c r="AS35" s="186">
        <f t="shared" si="46"/>
        <v>0</v>
      </c>
      <c r="AT35" s="186">
        <f t="shared" si="46"/>
        <v>0</v>
      </c>
      <c r="AU35" s="186">
        <f t="shared" si="46"/>
        <v>0</v>
      </c>
      <c r="AV35" s="186">
        <f t="shared" si="46"/>
        <v>0</v>
      </c>
      <c r="AW35" s="186">
        <f t="shared" si="46"/>
        <v>0</v>
      </c>
      <c r="AX35" s="186">
        <f t="shared" si="46"/>
        <v>0</v>
      </c>
      <c r="AY35" s="186">
        <f t="shared" si="46"/>
        <v>0</v>
      </c>
      <c r="AZ35" s="186">
        <f t="shared" si="46"/>
        <v>0</v>
      </c>
      <c r="BA35" s="186">
        <f t="shared" si="46"/>
        <v>0</v>
      </c>
      <c r="BB35" s="186">
        <f t="shared" si="46"/>
        <v>0</v>
      </c>
      <c r="BC35" s="186">
        <f t="shared" si="46"/>
        <v>0</v>
      </c>
      <c r="BD35" s="186">
        <f t="shared" si="46"/>
        <v>0</v>
      </c>
      <c r="BE35" s="186">
        <f t="shared" si="46"/>
        <v>0</v>
      </c>
      <c r="BF35" s="186">
        <f t="shared" si="46"/>
        <v>0</v>
      </c>
      <c r="BG35" s="186">
        <f t="shared" si="46"/>
        <v>0</v>
      </c>
      <c r="BH35" s="186">
        <f t="shared" si="46"/>
        <v>0</v>
      </c>
      <c r="BI35" s="283">
        <f t="shared" si="46"/>
        <v>0</v>
      </c>
      <c r="BJ35" s="283">
        <f t="shared" si="46"/>
        <v>0</v>
      </c>
      <c r="BK35" s="186">
        <f t="shared" si="46"/>
        <v>0</v>
      </c>
      <c r="BL35" s="186">
        <f t="shared" si="46"/>
        <v>0</v>
      </c>
      <c r="BM35" s="186">
        <f t="shared" si="46"/>
        <v>0</v>
      </c>
      <c r="BN35" s="186">
        <f t="shared" si="46"/>
        <v>0</v>
      </c>
      <c r="BO35" s="186"/>
      <c r="BP35" s="284"/>
      <c r="BQ35" s="186"/>
      <c r="BR35" s="186"/>
      <c r="BS35" s="186"/>
      <c r="BT35" s="186"/>
      <c r="BU35" s="186"/>
      <c r="BV35" s="186"/>
      <c r="BW35" s="186"/>
      <c r="BX35" s="186"/>
      <c r="BY35" s="285"/>
      <c r="BZ35" s="286"/>
      <c r="CA35" s="187"/>
      <c r="CB35" s="187"/>
      <c r="CC35" s="187"/>
      <c r="CD35" s="187"/>
      <c r="CE35" s="286"/>
      <c r="CF35" s="187"/>
      <c r="CG35" s="187"/>
      <c r="CH35" s="187"/>
      <c r="CI35" s="187"/>
      <c r="CJ35" s="288"/>
      <c r="CK35" s="288"/>
      <c r="CL35" s="307"/>
      <c r="CM35" s="288"/>
      <c r="CN35" s="288"/>
      <c r="CO35" s="187"/>
      <c r="CP35" s="184"/>
      <c r="CQ35" s="184"/>
      <c r="CR35" s="280"/>
      <c r="CS35" s="280"/>
      <c r="CT35" s="291"/>
      <c r="CU35" s="160"/>
    </row>
    <row r="36" spans="1:99" ht="59.25" customHeight="1" outlineLevel="1">
      <c r="A36" s="183">
        <v>1</v>
      </c>
      <c r="B36" s="308" t="s">
        <v>3101</v>
      </c>
      <c r="C36" s="183" t="s">
        <v>304</v>
      </c>
      <c r="D36" s="183"/>
      <c r="E36" s="183"/>
      <c r="F36" s="183" t="s">
        <v>49</v>
      </c>
      <c r="G36" s="183"/>
      <c r="H36" s="183"/>
      <c r="I36" s="184" t="s">
        <v>3062</v>
      </c>
      <c r="J36" s="183" t="s">
        <v>49</v>
      </c>
      <c r="K36" s="183" t="s">
        <v>3069</v>
      </c>
      <c r="L36" s="183" t="s">
        <v>75</v>
      </c>
      <c r="M36" s="183"/>
      <c r="N36" s="282"/>
      <c r="O36" s="282" t="s">
        <v>3102</v>
      </c>
      <c r="P36" s="283">
        <v>5500</v>
      </c>
      <c r="Q36" s="283"/>
      <c r="R36" s="283"/>
      <c r="S36" s="283">
        <v>5500</v>
      </c>
      <c r="T36" s="186"/>
      <c r="U36" s="186"/>
      <c r="V36" s="282" t="s">
        <v>3069</v>
      </c>
      <c r="W36" s="282" t="s">
        <v>3069</v>
      </c>
      <c r="X36" s="282" t="s">
        <v>3062</v>
      </c>
      <c r="Y36" s="283"/>
      <c r="Z36" s="283"/>
      <c r="AA36" s="283"/>
      <c r="AB36" s="283"/>
      <c r="AC36" s="186">
        <v>5500</v>
      </c>
      <c r="AD36" s="283"/>
      <c r="AE36" s="283"/>
      <c r="AF36" s="186">
        <v>5500</v>
      </c>
      <c r="AG36" s="283">
        <f t="shared" si="25"/>
        <v>0</v>
      </c>
      <c r="AH36" s="283"/>
      <c r="AI36" s="283"/>
      <c r="AJ36" s="283">
        <v>5500</v>
      </c>
      <c r="AK36" s="283"/>
      <c r="AL36" s="186"/>
      <c r="AM36" s="283"/>
      <c r="AN36" s="283"/>
      <c r="AO36" s="283"/>
      <c r="AP36" s="283"/>
      <c r="AQ36" s="283"/>
      <c r="AR36" s="283"/>
      <c r="AS36" s="283"/>
      <c r="AT36" s="283"/>
      <c r="AU36" s="186"/>
      <c r="AV36" s="283"/>
      <c r="AW36" s="283"/>
      <c r="AX36" s="283"/>
      <c r="AY36" s="283"/>
      <c r="AZ36" s="283"/>
      <c r="BA36" s="283"/>
      <c r="BB36" s="283"/>
      <c r="BC36" s="283"/>
      <c r="BD36" s="186"/>
      <c r="BE36" s="186"/>
      <c r="BF36" s="283"/>
      <c r="BG36" s="283"/>
      <c r="BH36" s="283"/>
      <c r="BI36" s="283"/>
      <c r="BJ36" s="283">
        <f t="shared" si="27"/>
        <v>0</v>
      </c>
      <c r="BK36" s="283"/>
      <c r="BL36" s="283"/>
      <c r="BM36" s="283"/>
      <c r="BN36" s="283"/>
      <c r="BO36" s="186"/>
      <c r="BP36" s="283"/>
      <c r="BQ36" s="283"/>
      <c r="BR36" s="283"/>
      <c r="BS36" s="283"/>
      <c r="BT36" s="283"/>
      <c r="BU36" s="283"/>
      <c r="BV36" s="283"/>
      <c r="BW36" s="283"/>
      <c r="BX36" s="186"/>
      <c r="BY36" s="186"/>
      <c r="BZ36" s="287"/>
      <c r="CA36" s="287"/>
      <c r="CB36" s="287"/>
      <c r="CC36" s="287"/>
      <c r="CD36" s="187"/>
      <c r="CE36" s="287"/>
      <c r="CF36" s="287"/>
      <c r="CG36" s="287"/>
      <c r="CH36" s="287"/>
      <c r="CI36" s="187"/>
      <c r="CJ36" s="187"/>
      <c r="CK36" s="187"/>
      <c r="CL36" s="187"/>
      <c r="CM36" s="187"/>
      <c r="CN36" s="187"/>
      <c r="CO36" s="187"/>
      <c r="CP36" s="187"/>
      <c r="CQ36" s="187"/>
      <c r="CR36" s="304"/>
      <c r="CS36" s="304"/>
      <c r="CT36" s="291"/>
      <c r="CU36" s="160"/>
    </row>
    <row r="37" spans="1:99" ht="67.5" customHeight="1" outlineLevel="1">
      <c r="A37" s="183">
        <v>2</v>
      </c>
      <c r="B37" s="279" t="s">
        <v>3103</v>
      </c>
      <c r="C37" s="280" t="s">
        <v>3042</v>
      </c>
      <c r="D37" s="183" t="s">
        <v>3104</v>
      </c>
      <c r="E37" s="183"/>
      <c r="F37" s="183" t="s">
        <v>49</v>
      </c>
      <c r="G37" s="183"/>
      <c r="H37" s="183"/>
      <c r="I37" s="184" t="s">
        <v>3062</v>
      </c>
      <c r="J37" s="183" t="s">
        <v>49</v>
      </c>
      <c r="K37" s="183" t="s">
        <v>276</v>
      </c>
      <c r="L37" s="183" t="s">
        <v>75</v>
      </c>
      <c r="M37" s="184"/>
      <c r="N37" s="283"/>
      <c r="O37" s="282" t="s">
        <v>3102</v>
      </c>
      <c r="P37" s="283">
        <v>3681</v>
      </c>
      <c r="Q37" s="283"/>
      <c r="R37" s="283"/>
      <c r="S37" s="283">
        <v>3681</v>
      </c>
      <c r="T37" s="186">
        <v>0</v>
      </c>
      <c r="U37" s="186"/>
      <c r="V37" s="282" t="s">
        <v>276</v>
      </c>
      <c r="W37" s="282" t="s">
        <v>3057</v>
      </c>
      <c r="X37" s="282" t="s">
        <v>3062</v>
      </c>
      <c r="Y37" s="283"/>
      <c r="Z37" s="283"/>
      <c r="AA37" s="283"/>
      <c r="AB37" s="283"/>
      <c r="AC37" s="186">
        <v>3681</v>
      </c>
      <c r="AD37" s="283"/>
      <c r="AE37" s="283"/>
      <c r="AF37" s="186">
        <v>3681</v>
      </c>
      <c r="AG37" s="283">
        <f t="shared" si="25"/>
        <v>0</v>
      </c>
      <c r="AH37" s="283"/>
      <c r="AI37" s="283"/>
      <c r="AJ37" s="283"/>
      <c r="AK37" s="283">
        <v>3681</v>
      </c>
      <c r="AL37" s="186">
        <v>0</v>
      </c>
      <c r="AM37" s="283"/>
      <c r="AN37" s="283"/>
      <c r="AO37" s="283"/>
      <c r="AP37" s="283"/>
      <c r="AQ37" s="283"/>
      <c r="AR37" s="283"/>
      <c r="AS37" s="283"/>
      <c r="AT37" s="283"/>
      <c r="AU37" s="186"/>
      <c r="AV37" s="283"/>
      <c r="AW37" s="283"/>
      <c r="AX37" s="283"/>
      <c r="AY37" s="283"/>
      <c r="AZ37" s="283"/>
      <c r="BA37" s="283"/>
      <c r="BB37" s="283"/>
      <c r="BC37" s="283"/>
      <c r="BD37" s="186"/>
      <c r="BE37" s="186"/>
      <c r="BF37" s="283"/>
      <c r="BG37" s="283"/>
      <c r="BH37" s="283"/>
      <c r="BI37" s="283"/>
      <c r="BJ37" s="283">
        <f t="shared" si="27"/>
        <v>0</v>
      </c>
      <c r="BK37" s="283"/>
      <c r="BL37" s="283"/>
      <c r="BM37" s="283"/>
      <c r="BN37" s="283"/>
      <c r="BO37" s="186"/>
      <c r="BP37" s="283"/>
      <c r="BQ37" s="283"/>
      <c r="BR37" s="283"/>
      <c r="BS37" s="283"/>
      <c r="BT37" s="283"/>
      <c r="BU37" s="283"/>
      <c r="BV37" s="283"/>
      <c r="BW37" s="283"/>
      <c r="BX37" s="186"/>
      <c r="BY37" s="186"/>
      <c r="BZ37" s="287"/>
      <c r="CA37" s="287"/>
      <c r="CB37" s="287"/>
      <c r="CC37" s="287"/>
      <c r="CD37" s="187"/>
      <c r="CE37" s="287"/>
      <c r="CF37" s="287"/>
      <c r="CG37" s="287"/>
      <c r="CH37" s="287"/>
      <c r="CI37" s="187"/>
      <c r="CJ37" s="187"/>
      <c r="CK37" s="187"/>
      <c r="CL37" s="187"/>
      <c r="CM37" s="187"/>
      <c r="CN37" s="187"/>
      <c r="CO37" s="187"/>
      <c r="CP37" s="187"/>
      <c r="CQ37" s="187"/>
      <c r="CR37" s="281"/>
      <c r="CS37" s="281"/>
      <c r="CT37" s="291"/>
      <c r="CU37" s="160"/>
    </row>
    <row r="38" spans="1:99" ht="52.5" customHeight="1" outlineLevel="1">
      <c r="A38" s="183">
        <v>3</v>
      </c>
      <c r="B38" s="490" t="s">
        <v>3105</v>
      </c>
      <c r="C38" s="280" t="s">
        <v>3042</v>
      </c>
      <c r="D38" s="183"/>
      <c r="E38" s="183"/>
      <c r="F38" s="183" t="s">
        <v>49</v>
      </c>
      <c r="G38" s="183"/>
      <c r="H38" s="183"/>
      <c r="I38" s="184" t="s">
        <v>3062</v>
      </c>
      <c r="J38" s="183" t="s">
        <v>49</v>
      </c>
      <c r="K38" s="183" t="s">
        <v>3069</v>
      </c>
      <c r="L38" s="183" t="s">
        <v>75</v>
      </c>
      <c r="M38" s="184"/>
      <c r="N38" s="283"/>
      <c r="O38" s="282" t="s">
        <v>3663</v>
      </c>
      <c r="P38" s="283">
        <v>1100</v>
      </c>
      <c r="Q38" s="283"/>
      <c r="R38" s="283"/>
      <c r="S38" s="283">
        <v>1100</v>
      </c>
      <c r="T38" s="186"/>
      <c r="U38" s="186"/>
      <c r="V38" s="282" t="s">
        <v>3069</v>
      </c>
      <c r="W38" s="282" t="s">
        <v>3069</v>
      </c>
      <c r="X38" s="282" t="s">
        <v>3062</v>
      </c>
      <c r="Y38" s="283"/>
      <c r="Z38" s="283"/>
      <c r="AA38" s="283"/>
      <c r="AB38" s="283"/>
      <c r="AC38" s="186">
        <f t="shared" ref="AC38:AC39" si="47">AD38+AE38+AF38</f>
        <v>1000</v>
      </c>
      <c r="AD38" s="283"/>
      <c r="AE38" s="283"/>
      <c r="AF38" s="186">
        <f>SUM(AH38:AK38)</f>
        <v>1000</v>
      </c>
      <c r="AG38" s="283">
        <f>AH38+AI38</f>
        <v>0</v>
      </c>
      <c r="AH38" s="283"/>
      <c r="AI38" s="283"/>
      <c r="AJ38" s="283"/>
      <c r="AK38" s="283">
        <v>1000</v>
      </c>
      <c r="AL38" s="186"/>
      <c r="AM38" s="283"/>
      <c r="AN38" s="283"/>
      <c r="AO38" s="283"/>
      <c r="AP38" s="283"/>
      <c r="AQ38" s="283"/>
      <c r="AR38" s="283"/>
      <c r="AS38" s="283"/>
      <c r="AT38" s="283"/>
      <c r="AU38" s="186"/>
      <c r="AV38" s="283"/>
      <c r="AW38" s="283"/>
      <c r="AX38" s="283"/>
      <c r="AY38" s="283"/>
      <c r="AZ38" s="283"/>
      <c r="BA38" s="283"/>
      <c r="BB38" s="283"/>
      <c r="BC38" s="283"/>
      <c r="BD38" s="186"/>
      <c r="BE38" s="186"/>
      <c r="BF38" s="283"/>
      <c r="BG38" s="283"/>
      <c r="BH38" s="283"/>
      <c r="BI38" s="283"/>
      <c r="BJ38" s="283">
        <f t="shared" si="27"/>
        <v>0</v>
      </c>
      <c r="BK38" s="283"/>
      <c r="BL38" s="283"/>
      <c r="BM38" s="283"/>
      <c r="BN38" s="283"/>
      <c r="BO38" s="186"/>
      <c r="BP38" s="283"/>
      <c r="BQ38" s="283"/>
      <c r="BR38" s="283"/>
      <c r="BS38" s="283"/>
      <c r="BT38" s="283"/>
      <c r="BU38" s="283"/>
      <c r="BV38" s="283"/>
      <c r="BW38" s="283"/>
      <c r="BX38" s="186"/>
      <c r="BY38" s="186"/>
      <c r="BZ38" s="287"/>
      <c r="CA38" s="287"/>
      <c r="CB38" s="287"/>
      <c r="CC38" s="287"/>
      <c r="CD38" s="187"/>
      <c r="CE38" s="287"/>
      <c r="CF38" s="287"/>
      <c r="CG38" s="287"/>
      <c r="CH38" s="287"/>
      <c r="CI38" s="187"/>
      <c r="CJ38" s="187"/>
      <c r="CK38" s="187"/>
      <c r="CL38" s="187"/>
      <c r="CM38" s="187"/>
      <c r="CN38" s="187"/>
      <c r="CO38" s="187"/>
      <c r="CP38" s="187"/>
      <c r="CQ38" s="187"/>
      <c r="CR38" s="281"/>
      <c r="CS38" s="281"/>
      <c r="CT38" s="487"/>
      <c r="CU38" s="167"/>
    </row>
    <row r="39" spans="1:99" ht="67.5" customHeight="1" outlineLevel="1">
      <c r="A39" s="183">
        <v>4</v>
      </c>
      <c r="B39" s="490" t="s">
        <v>3106</v>
      </c>
      <c r="C39" s="280" t="s">
        <v>3042</v>
      </c>
      <c r="D39" s="183"/>
      <c r="E39" s="183"/>
      <c r="F39" s="183" t="s">
        <v>49</v>
      </c>
      <c r="G39" s="183"/>
      <c r="H39" s="183"/>
      <c r="I39" s="184" t="s">
        <v>3062</v>
      </c>
      <c r="J39" s="183" t="s">
        <v>49</v>
      </c>
      <c r="K39" s="183" t="s">
        <v>3084</v>
      </c>
      <c r="L39" s="183" t="s">
        <v>75</v>
      </c>
      <c r="M39" s="184"/>
      <c r="N39" s="283"/>
      <c r="O39" s="282" t="s">
        <v>3102</v>
      </c>
      <c r="P39" s="283">
        <v>1100</v>
      </c>
      <c r="Q39" s="283"/>
      <c r="R39" s="283"/>
      <c r="S39" s="283">
        <v>1100</v>
      </c>
      <c r="T39" s="186"/>
      <c r="U39" s="186"/>
      <c r="V39" s="282" t="s">
        <v>3084</v>
      </c>
      <c r="W39" s="282" t="s">
        <v>3069</v>
      </c>
      <c r="X39" s="282" t="s">
        <v>3062</v>
      </c>
      <c r="Y39" s="283"/>
      <c r="Z39" s="283"/>
      <c r="AA39" s="283"/>
      <c r="AB39" s="283"/>
      <c r="AC39" s="186">
        <f t="shared" si="47"/>
        <v>1000</v>
      </c>
      <c r="AD39" s="283"/>
      <c r="AE39" s="283"/>
      <c r="AF39" s="186">
        <f>SUM(AH39:AK39)</f>
        <v>1000</v>
      </c>
      <c r="AG39" s="283">
        <f t="shared" si="25"/>
        <v>0</v>
      </c>
      <c r="AH39" s="283"/>
      <c r="AI39" s="283"/>
      <c r="AJ39" s="283"/>
      <c r="AK39" s="283">
        <v>1000</v>
      </c>
      <c r="AL39" s="186"/>
      <c r="AM39" s="283"/>
      <c r="AN39" s="283"/>
      <c r="AO39" s="283"/>
      <c r="AP39" s="283"/>
      <c r="AQ39" s="283"/>
      <c r="AR39" s="283"/>
      <c r="AS39" s="283"/>
      <c r="AT39" s="283"/>
      <c r="AU39" s="186"/>
      <c r="AV39" s="283"/>
      <c r="AW39" s="283"/>
      <c r="AX39" s="283"/>
      <c r="AY39" s="283"/>
      <c r="AZ39" s="283"/>
      <c r="BA39" s="283"/>
      <c r="BB39" s="283"/>
      <c r="BC39" s="283"/>
      <c r="BD39" s="186"/>
      <c r="BE39" s="186"/>
      <c r="BF39" s="283"/>
      <c r="BG39" s="283"/>
      <c r="BH39" s="283"/>
      <c r="BI39" s="283"/>
      <c r="BJ39" s="283">
        <f t="shared" si="27"/>
        <v>0</v>
      </c>
      <c r="BK39" s="283"/>
      <c r="BL39" s="283"/>
      <c r="BM39" s="283"/>
      <c r="BN39" s="283"/>
      <c r="BO39" s="186"/>
      <c r="BP39" s="283"/>
      <c r="BQ39" s="283"/>
      <c r="BR39" s="283"/>
      <c r="BS39" s="283"/>
      <c r="BT39" s="283"/>
      <c r="BU39" s="283"/>
      <c r="BV39" s="283"/>
      <c r="BW39" s="283"/>
      <c r="BX39" s="186"/>
      <c r="BY39" s="186"/>
      <c r="BZ39" s="287"/>
      <c r="CA39" s="287"/>
      <c r="CB39" s="287"/>
      <c r="CC39" s="287"/>
      <c r="CD39" s="187"/>
      <c r="CE39" s="287"/>
      <c r="CF39" s="287"/>
      <c r="CG39" s="287"/>
      <c r="CH39" s="287"/>
      <c r="CI39" s="187"/>
      <c r="CJ39" s="187"/>
      <c r="CK39" s="187"/>
      <c r="CL39" s="187"/>
      <c r="CM39" s="187"/>
      <c r="CN39" s="187"/>
      <c r="CO39" s="187"/>
      <c r="CP39" s="187"/>
      <c r="CQ39" s="187"/>
      <c r="CR39" s="281"/>
      <c r="CS39" s="281"/>
      <c r="CT39" s="487"/>
      <c r="CU39" s="167"/>
    </row>
    <row r="40" spans="1:99" ht="64.5" customHeight="1" outlineLevel="1">
      <c r="A40" s="183">
        <v>5</v>
      </c>
      <c r="B40" s="279" t="s">
        <v>3107</v>
      </c>
      <c r="C40" s="183" t="s">
        <v>3108</v>
      </c>
      <c r="D40" s="183" t="s">
        <v>3109</v>
      </c>
      <c r="E40" s="183"/>
      <c r="F40" s="183" t="s">
        <v>49</v>
      </c>
      <c r="G40" s="183"/>
      <c r="H40" s="183"/>
      <c r="I40" s="184" t="s">
        <v>3062</v>
      </c>
      <c r="J40" s="183" t="s">
        <v>49</v>
      </c>
      <c r="K40" s="183" t="s">
        <v>276</v>
      </c>
      <c r="L40" s="183" t="s">
        <v>75</v>
      </c>
      <c r="M40" s="183"/>
      <c r="N40" s="282"/>
      <c r="O40" s="282" t="s">
        <v>3102</v>
      </c>
      <c r="P40" s="283">
        <v>2700</v>
      </c>
      <c r="Q40" s="283"/>
      <c r="R40" s="283"/>
      <c r="S40" s="283">
        <v>2700</v>
      </c>
      <c r="T40" s="186">
        <v>0</v>
      </c>
      <c r="U40" s="186"/>
      <c r="V40" s="282" t="s">
        <v>276</v>
      </c>
      <c r="W40" s="282" t="s">
        <v>3069</v>
      </c>
      <c r="X40" s="282" t="s">
        <v>3062</v>
      </c>
      <c r="Y40" s="283"/>
      <c r="Z40" s="283"/>
      <c r="AA40" s="283"/>
      <c r="AB40" s="283"/>
      <c r="AC40" s="186">
        <v>2700</v>
      </c>
      <c r="AD40" s="283"/>
      <c r="AE40" s="283"/>
      <c r="AF40" s="186">
        <v>2700</v>
      </c>
      <c r="AG40" s="283">
        <f t="shared" si="25"/>
        <v>0</v>
      </c>
      <c r="AH40" s="283"/>
      <c r="AI40" s="283"/>
      <c r="AJ40" s="283"/>
      <c r="AK40" s="283">
        <v>2700</v>
      </c>
      <c r="AL40" s="186">
        <v>0</v>
      </c>
      <c r="AM40" s="283"/>
      <c r="AN40" s="283"/>
      <c r="AO40" s="283"/>
      <c r="AP40" s="283"/>
      <c r="AQ40" s="283"/>
      <c r="AR40" s="283"/>
      <c r="AS40" s="283"/>
      <c r="AT40" s="283"/>
      <c r="AU40" s="186"/>
      <c r="AV40" s="283"/>
      <c r="AW40" s="283"/>
      <c r="AX40" s="283"/>
      <c r="AY40" s="283"/>
      <c r="AZ40" s="283"/>
      <c r="BA40" s="283"/>
      <c r="BB40" s="283"/>
      <c r="BC40" s="283"/>
      <c r="BD40" s="186"/>
      <c r="BE40" s="186"/>
      <c r="BF40" s="283"/>
      <c r="BG40" s="283"/>
      <c r="BH40" s="283"/>
      <c r="BI40" s="283"/>
      <c r="BJ40" s="283">
        <f t="shared" si="27"/>
        <v>0</v>
      </c>
      <c r="BK40" s="283"/>
      <c r="BL40" s="283"/>
      <c r="BM40" s="283"/>
      <c r="BN40" s="283"/>
      <c r="BO40" s="186"/>
      <c r="BP40" s="283"/>
      <c r="BQ40" s="283"/>
      <c r="BR40" s="283"/>
      <c r="BS40" s="283"/>
      <c r="BT40" s="283"/>
      <c r="BU40" s="283"/>
      <c r="BV40" s="283"/>
      <c r="BW40" s="283"/>
      <c r="BX40" s="186"/>
      <c r="BY40" s="186"/>
      <c r="BZ40" s="287"/>
      <c r="CA40" s="287"/>
      <c r="CB40" s="287"/>
      <c r="CC40" s="287"/>
      <c r="CD40" s="187"/>
      <c r="CE40" s="287"/>
      <c r="CF40" s="287"/>
      <c r="CG40" s="287"/>
      <c r="CH40" s="287"/>
      <c r="CI40" s="187"/>
      <c r="CJ40" s="187"/>
      <c r="CK40" s="187"/>
      <c r="CL40" s="187"/>
      <c r="CM40" s="187"/>
      <c r="CN40" s="187"/>
      <c r="CO40" s="187"/>
      <c r="CP40" s="187"/>
      <c r="CQ40" s="187"/>
      <c r="CR40" s="281"/>
      <c r="CS40" s="281"/>
      <c r="CT40" s="291"/>
      <c r="CU40" s="160"/>
    </row>
    <row r="41" spans="1:99" ht="36" customHeight="1">
      <c r="A41" s="418" t="s">
        <v>13</v>
      </c>
      <c r="B41" s="418" t="s">
        <v>310</v>
      </c>
      <c r="C41" s="482"/>
      <c r="D41" s="482"/>
      <c r="E41" s="482"/>
      <c r="F41" s="482"/>
      <c r="G41" s="482"/>
      <c r="H41" s="482"/>
      <c r="I41" s="482"/>
      <c r="J41" s="482"/>
      <c r="K41" s="482"/>
      <c r="L41" s="482"/>
      <c r="M41" s="482"/>
      <c r="N41" s="484"/>
      <c r="O41" s="484"/>
      <c r="P41" s="99">
        <f>P42+P47+P81+P45</f>
        <v>667086.80349599989</v>
      </c>
      <c r="Q41" s="99">
        <f t="shared" ref="Q41:T41" si="48">Q42+Q47+Q81+Q45</f>
        <v>60000</v>
      </c>
      <c r="R41" s="99">
        <f t="shared" si="48"/>
        <v>70000</v>
      </c>
      <c r="S41" s="99">
        <f t="shared" si="48"/>
        <v>519085.1614959999</v>
      </c>
      <c r="T41" s="99">
        <f t="shared" si="48"/>
        <v>18001.642</v>
      </c>
      <c r="U41" s="99">
        <f>U42+U47+U81</f>
        <v>0</v>
      </c>
      <c r="V41" s="67"/>
      <c r="W41" s="67"/>
      <c r="X41" s="67"/>
      <c r="Y41" s="99">
        <f t="shared" ref="Y41" si="49">Y42+Y47+Y81+Y45</f>
        <v>540</v>
      </c>
      <c r="Z41" s="99">
        <f t="shared" ref="Z41" si="50">Z42+Z47+Z81+Z45</f>
        <v>0</v>
      </c>
      <c r="AA41" s="99">
        <f t="shared" ref="AA41" si="51">AA42+AA47+AA81+AA45</f>
        <v>0</v>
      </c>
      <c r="AB41" s="99">
        <f t="shared" ref="AB41" si="52">AB42+AB47+AB81+AB45</f>
        <v>540</v>
      </c>
      <c r="AC41" s="99">
        <f t="shared" ref="AC41" si="53">AC42+AC47+AC81+AC45</f>
        <v>575571.90549599996</v>
      </c>
      <c r="AD41" s="99">
        <f t="shared" ref="AD41" si="54">AD42+AD47+AD81+AD45</f>
        <v>0</v>
      </c>
      <c r="AE41" s="99">
        <f t="shared" ref="AE41" si="55">AE42+AE47+AE81+AE45</f>
        <v>0</v>
      </c>
      <c r="AF41" s="99">
        <f t="shared" ref="AF41" si="56">AF42+AF47+AF81+AF45</f>
        <v>505570.9054959999</v>
      </c>
      <c r="AG41" s="99">
        <f t="shared" ref="AG41" si="57">AG42+AG47+AG81+AG45</f>
        <v>40084</v>
      </c>
      <c r="AH41" s="99">
        <f t="shared" ref="AH41" si="58">AH42+AH47+AH81+AH45</f>
        <v>40084</v>
      </c>
      <c r="AI41" s="99">
        <f t="shared" ref="AI41" si="59">AI42+AI47+AI81+AI45</f>
        <v>0</v>
      </c>
      <c r="AJ41" s="99">
        <f t="shared" ref="AJ41" si="60">AJ42+AJ47+AJ81+AJ45</f>
        <v>285014.15274400002</v>
      </c>
      <c r="AK41" s="99">
        <f t="shared" ref="AK41" si="61">AK42+AK47+AK81+AK45</f>
        <v>180472.752752</v>
      </c>
      <c r="AL41" s="99">
        <f t="shared" ref="AL41" si="62">AL42+AL47+AL81+AL45</f>
        <v>18001.642</v>
      </c>
      <c r="AM41" s="99">
        <f t="shared" ref="AM41" si="63">AM42+AM47+AM81+AM45</f>
        <v>136935.258</v>
      </c>
      <c r="AN41" s="99">
        <f t="shared" ref="AN41" si="64">AN42+AN47+AN81+AN45</f>
        <v>0</v>
      </c>
      <c r="AO41" s="99">
        <f t="shared" ref="AO41" si="65">AO42+AO47+AO81+AO45</f>
        <v>0</v>
      </c>
      <c r="AP41" s="99">
        <f t="shared" ref="AP41" si="66">AP42+AP47+AP81+AP45</f>
        <v>136935.258</v>
      </c>
      <c r="AQ41" s="99">
        <f t="shared" ref="AQ41" si="67">AQ42+AQ47+AQ81+AQ45</f>
        <v>34814</v>
      </c>
      <c r="AR41" s="99">
        <f t="shared" ref="AR41" si="68">AR42+AR47+AR81+AR45</f>
        <v>0</v>
      </c>
      <c r="AS41" s="99">
        <f t="shared" ref="AS41" si="69">AS42+AS47+AS81+AS45</f>
        <v>73893.955744000006</v>
      </c>
      <c r="AT41" s="99">
        <f t="shared" ref="AT41" si="70">AT42+AT47+AT81+AT45</f>
        <v>28227.302256000003</v>
      </c>
      <c r="AU41" s="99">
        <f t="shared" ref="AU41" si="71">AU42+AU47+AU81+AU45</f>
        <v>4287.6419999999998</v>
      </c>
      <c r="AV41" s="99">
        <f t="shared" ref="AV41" si="72">AV42+AV47+AV81+AV45</f>
        <v>123870.59884599999</v>
      </c>
      <c r="AW41" s="99">
        <f t="shared" ref="AW41" si="73">AW42+AW47+AW81+AW45</f>
        <v>0</v>
      </c>
      <c r="AX41" s="99">
        <f t="shared" ref="AX41" si="74">AX42+AX47+AX81+AX45</f>
        <v>0</v>
      </c>
      <c r="AY41" s="99">
        <f t="shared" ref="AY41" si="75">AY42+AY47+AY81+AY45</f>
        <v>123870.59884599999</v>
      </c>
      <c r="AZ41" s="99">
        <f t="shared" ref="AZ41" si="76">AZ42+AZ47+AZ81+AZ45</f>
        <v>23319.7235</v>
      </c>
      <c r="BA41" s="99">
        <f t="shared" ref="BA41" si="77">BA42+BA47+BA81+BA45</f>
        <v>0</v>
      </c>
      <c r="BB41" s="99">
        <f t="shared" ref="BB41" si="78">BB42+BB47+BB81+BB45</f>
        <v>72415.974090000003</v>
      </c>
      <c r="BC41" s="99">
        <f t="shared" ref="BC41" si="79">BC42+BC47+BC81+BC45</f>
        <v>28134.901255999997</v>
      </c>
      <c r="BD41" s="99">
        <f t="shared" ref="BD41" si="80">BD42+BD47+BD81+BD45</f>
        <v>4287.6419999999998</v>
      </c>
      <c r="BE41" s="99">
        <f t="shared" ref="BE41" si="81">BE42+BE47+BE81+BE45</f>
        <v>3234.9317304251613</v>
      </c>
      <c r="BF41" s="99">
        <f t="shared" ref="BF41" si="82">BF42+BF47+BF81+BF45</f>
        <v>40428.504000000001</v>
      </c>
      <c r="BG41" s="99">
        <f t="shared" ref="BG41" si="83">BG42+BG47+BG81+BG45</f>
        <v>0</v>
      </c>
      <c r="BH41" s="99">
        <f t="shared" ref="BH41" si="84">BH42+BH47+BH81+BH45</f>
        <v>0</v>
      </c>
      <c r="BI41" s="99">
        <f t="shared" ref="BI41" si="85">BI42+BI47+BI81+BI45</f>
        <v>40428.504000000001</v>
      </c>
      <c r="BJ41" s="99">
        <f t="shared" ref="BJ41" si="86">BJ42+BJ47+BJ81+BJ45</f>
        <v>14143</v>
      </c>
      <c r="BK41" s="99">
        <f t="shared" ref="BK41" si="87">BK42+BK47+BK81+BK45</f>
        <v>14143</v>
      </c>
      <c r="BL41" s="99">
        <f t="shared" ref="BL41" si="88">BL42+BL47+BL81+BL45</f>
        <v>0</v>
      </c>
      <c r="BM41" s="99">
        <f t="shared" ref="BM41" si="89">BM42+BM47+BM81+BM45</f>
        <v>13978.639744</v>
      </c>
      <c r="BN41" s="99">
        <f t="shared" ref="BN41" si="90">BN42+BN47+BN81+BN45</f>
        <v>12306.864256000001</v>
      </c>
      <c r="BO41" s="99">
        <f t="shared" ref="BO41" si="91">BO42+BO47+BO81+BO45</f>
        <v>3779</v>
      </c>
      <c r="BP41" s="99">
        <f t="shared" ref="BP41" si="92">BP42+BP47+BP81+BP45</f>
        <v>30035.436755000002</v>
      </c>
      <c r="BQ41" s="99">
        <f t="shared" ref="BQ41" si="93">BQ42+BQ47+BQ81+BQ45</f>
        <v>0</v>
      </c>
      <c r="BR41" s="99">
        <f t="shared" ref="BR41" si="94">BR42+BR47+BR81+BR45</f>
        <v>0</v>
      </c>
      <c r="BS41" s="99">
        <f t="shared" ref="BS41" si="95">BS42+BS47+BS81+BS45</f>
        <v>30035.436755000002</v>
      </c>
      <c r="BT41" s="99">
        <f t="shared" ref="BT41" si="96">BT42+BT47+BT81+BT45</f>
        <v>5697.3985859999993</v>
      </c>
      <c r="BU41" s="99">
        <f t="shared" ref="BU41" si="97">BU42+BU47+BU81+BU45</f>
        <v>0</v>
      </c>
      <c r="BV41" s="99">
        <f t="shared" ref="BV41" si="98">BV42+BV47+BV81+BV45</f>
        <v>12123.574913</v>
      </c>
      <c r="BW41" s="99">
        <f t="shared" ref="BW41" si="99">BW42+BW47+BW81+BW45</f>
        <v>12214.463255999999</v>
      </c>
      <c r="BX41" s="99">
        <f t="shared" ref="BX41" si="100">BX42+BX47+BX81+BX45</f>
        <v>3779</v>
      </c>
      <c r="BY41" s="99">
        <f t="shared" ref="BY41" si="101">BY42+BY47+BY81+BY45</f>
        <v>595.7439430172185</v>
      </c>
      <c r="BZ41" s="99">
        <f t="shared" ref="BZ41" si="102">BZ42+BZ47+BZ81+BZ45</f>
        <v>0</v>
      </c>
      <c r="CA41" s="99">
        <f t="shared" ref="CA41" si="103">CA42+CA47+CA81+CA45</f>
        <v>0</v>
      </c>
      <c r="CB41" s="99">
        <f t="shared" ref="CB41" si="104">CB42+CB47+CB81+CB45</f>
        <v>0</v>
      </c>
      <c r="CC41" s="99">
        <f t="shared" ref="CC41" si="105">CC42+CC47+CC81+CC45</f>
        <v>0</v>
      </c>
      <c r="CD41" s="99">
        <f t="shared" ref="CD41" si="106">CD42+CD47+CD81+CD45</f>
        <v>0</v>
      </c>
      <c r="CE41" s="99">
        <f t="shared" ref="CE41" si="107">CE42+CE47+CE81+CE45</f>
        <v>0</v>
      </c>
      <c r="CF41" s="99">
        <f t="shared" ref="CF41" si="108">CF42+CF47+CF81+CF45</f>
        <v>0</v>
      </c>
      <c r="CG41" s="99">
        <f t="shared" ref="CG41" si="109">CG42+CG47+CG81+CG45</f>
        <v>0</v>
      </c>
      <c r="CH41" s="99">
        <f t="shared" ref="CH41" si="110">CH42+CH47+CH81+CH45</f>
        <v>0</v>
      </c>
      <c r="CI41" s="99">
        <f t="shared" ref="CI41" si="111">CI42+CI47+CI81+CI45</f>
        <v>0</v>
      </c>
      <c r="CJ41" s="99">
        <f t="shared" ref="CJ41" si="112">CJ42+CJ47+CJ81+CJ45</f>
        <v>0</v>
      </c>
      <c r="CK41" s="99">
        <f t="shared" ref="CK41" si="113">CK42+CK47+CK81+CK45</f>
        <v>159475</v>
      </c>
      <c r="CL41" s="99">
        <f t="shared" ref="CL41" si="114">CL42+CL47+CL81+CL45</f>
        <v>0</v>
      </c>
      <c r="CM41" s="99">
        <f t="shared" ref="CM41" si="115">CM42+CM47+CM81+CM45</f>
        <v>70000</v>
      </c>
      <c r="CN41" s="99">
        <f t="shared" ref="CN41" si="116">CN42+CN47+CN81+CN45</f>
        <v>97986.564998999995</v>
      </c>
      <c r="CO41" s="482"/>
      <c r="CP41" s="482"/>
      <c r="CQ41" s="482"/>
      <c r="CR41" s="482"/>
      <c r="CS41" s="482"/>
      <c r="CT41" s="482"/>
      <c r="CU41" s="165"/>
    </row>
    <row r="42" spans="1:99" ht="31.5" customHeight="1" outlineLevel="1">
      <c r="A42" s="430" t="s">
        <v>45</v>
      </c>
      <c r="B42" s="456" t="s">
        <v>46</v>
      </c>
      <c r="C42" s="485"/>
      <c r="D42" s="485"/>
      <c r="E42" s="485"/>
      <c r="F42" s="485"/>
      <c r="G42" s="485"/>
      <c r="H42" s="485"/>
      <c r="I42" s="491"/>
      <c r="J42" s="485"/>
      <c r="K42" s="491"/>
      <c r="L42" s="485"/>
      <c r="M42" s="485"/>
      <c r="N42" s="72"/>
      <c r="O42" s="72"/>
      <c r="P42" s="99">
        <f>P43+P44</f>
        <v>5024.857</v>
      </c>
      <c r="Q42" s="99">
        <f t="shared" ref="Q42:BN42" si="117">Q43+Q44</f>
        <v>0</v>
      </c>
      <c r="R42" s="99">
        <f t="shared" si="117"/>
        <v>0</v>
      </c>
      <c r="S42" s="99">
        <f t="shared" si="117"/>
        <v>4988.2260000000006</v>
      </c>
      <c r="T42" s="99">
        <f t="shared" si="117"/>
        <v>36.630999999999972</v>
      </c>
      <c r="U42" s="99">
        <f t="shared" si="117"/>
        <v>0</v>
      </c>
      <c r="V42" s="67"/>
      <c r="W42" s="67"/>
      <c r="X42" s="67"/>
      <c r="Y42" s="99">
        <f t="shared" si="117"/>
        <v>540</v>
      </c>
      <c r="Z42" s="99">
        <f t="shared" si="117"/>
        <v>0</v>
      </c>
      <c r="AA42" s="99">
        <f t="shared" si="117"/>
        <v>0</v>
      </c>
      <c r="AB42" s="99">
        <f t="shared" si="117"/>
        <v>540</v>
      </c>
      <c r="AC42" s="99">
        <f t="shared" si="117"/>
        <v>4448.2259999999997</v>
      </c>
      <c r="AD42" s="99">
        <f t="shared" si="117"/>
        <v>0</v>
      </c>
      <c r="AE42" s="99">
        <f t="shared" si="117"/>
        <v>0</v>
      </c>
      <c r="AF42" s="99">
        <f t="shared" si="117"/>
        <v>4448.2259999999997</v>
      </c>
      <c r="AG42" s="99">
        <f t="shared" si="117"/>
        <v>0</v>
      </c>
      <c r="AH42" s="99">
        <f t="shared" si="117"/>
        <v>0</v>
      </c>
      <c r="AI42" s="99">
        <f t="shared" si="117"/>
        <v>0</v>
      </c>
      <c r="AJ42" s="99">
        <f t="shared" si="117"/>
        <v>16.788</v>
      </c>
      <c r="AK42" s="99">
        <f t="shared" si="117"/>
        <v>4431.4380000000001</v>
      </c>
      <c r="AL42" s="99">
        <f t="shared" si="117"/>
        <v>36.630999999999972</v>
      </c>
      <c r="AM42" s="99">
        <f t="shared" si="117"/>
        <v>4448.2259999999997</v>
      </c>
      <c r="AN42" s="99">
        <f t="shared" si="117"/>
        <v>0</v>
      </c>
      <c r="AO42" s="99">
        <f t="shared" si="117"/>
        <v>0</v>
      </c>
      <c r="AP42" s="99">
        <f t="shared" si="117"/>
        <v>4448.2259999999997</v>
      </c>
      <c r="AQ42" s="99">
        <f t="shared" si="117"/>
        <v>0</v>
      </c>
      <c r="AR42" s="99">
        <f t="shared" si="117"/>
        <v>0</v>
      </c>
      <c r="AS42" s="99">
        <f t="shared" si="117"/>
        <v>16.788</v>
      </c>
      <c r="AT42" s="99">
        <f t="shared" si="117"/>
        <v>4431.4380000000001</v>
      </c>
      <c r="AU42" s="99">
        <f t="shared" si="117"/>
        <v>36.630999999999972</v>
      </c>
      <c r="AV42" s="99">
        <f t="shared" si="117"/>
        <v>4448.2259999999997</v>
      </c>
      <c r="AW42" s="99">
        <f t="shared" si="117"/>
        <v>0</v>
      </c>
      <c r="AX42" s="99">
        <f t="shared" si="117"/>
        <v>0</v>
      </c>
      <c r="AY42" s="99">
        <f t="shared" si="117"/>
        <v>4448.2259999999997</v>
      </c>
      <c r="AZ42" s="99">
        <f t="shared" si="117"/>
        <v>0</v>
      </c>
      <c r="BA42" s="99">
        <f t="shared" si="117"/>
        <v>0</v>
      </c>
      <c r="BB42" s="99">
        <f t="shared" si="117"/>
        <v>16.788</v>
      </c>
      <c r="BC42" s="99">
        <f t="shared" si="117"/>
        <v>4431.4380000000001</v>
      </c>
      <c r="BD42" s="99">
        <f t="shared" si="117"/>
        <v>36.630999999999972</v>
      </c>
      <c r="BE42" s="99">
        <f t="shared" si="117"/>
        <v>200</v>
      </c>
      <c r="BF42" s="99">
        <f t="shared" si="117"/>
        <v>0</v>
      </c>
      <c r="BG42" s="99">
        <f t="shared" si="117"/>
        <v>0</v>
      </c>
      <c r="BH42" s="99">
        <f t="shared" si="117"/>
        <v>0</v>
      </c>
      <c r="BI42" s="99">
        <f t="shared" si="117"/>
        <v>0</v>
      </c>
      <c r="BJ42" s="99">
        <f t="shared" si="117"/>
        <v>0</v>
      </c>
      <c r="BK42" s="99">
        <f t="shared" si="117"/>
        <v>0</v>
      </c>
      <c r="BL42" s="99">
        <f t="shared" si="117"/>
        <v>0</v>
      </c>
      <c r="BM42" s="99">
        <f t="shared" si="117"/>
        <v>0</v>
      </c>
      <c r="BN42" s="99">
        <f t="shared" si="117"/>
        <v>0</v>
      </c>
      <c r="BO42" s="72">
        <f t="shared" ref="BO42:CN42" si="118">BO43</f>
        <v>0</v>
      </c>
      <c r="BP42" s="72">
        <f t="shared" si="118"/>
        <v>0</v>
      </c>
      <c r="BQ42" s="72">
        <f t="shared" si="118"/>
        <v>0</v>
      </c>
      <c r="BR42" s="72">
        <f t="shared" si="118"/>
        <v>0</v>
      </c>
      <c r="BS42" s="72">
        <f t="shared" si="118"/>
        <v>0</v>
      </c>
      <c r="BT42" s="72">
        <f t="shared" si="118"/>
        <v>0</v>
      </c>
      <c r="BU42" s="72">
        <f t="shared" si="118"/>
        <v>0</v>
      </c>
      <c r="BV42" s="72">
        <f t="shared" si="118"/>
        <v>0</v>
      </c>
      <c r="BW42" s="72">
        <f t="shared" si="118"/>
        <v>0</v>
      </c>
      <c r="BX42" s="72">
        <f t="shared" si="118"/>
        <v>0</v>
      </c>
      <c r="BY42" s="72">
        <f t="shared" si="118"/>
        <v>0</v>
      </c>
      <c r="BZ42" s="491">
        <f t="shared" si="118"/>
        <v>0</v>
      </c>
      <c r="CA42" s="491">
        <f t="shared" si="118"/>
        <v>0</v>
      </c>
      <c r="CB42" s="491">
        <f t="shared" si="118"/>
        <v>0</v>
      </c>
      <c r="CC42" s="491">
        <f t="shared" si="118"/>
        <v>0</v>
      </c>
      <c r="CD42" s="491">
        <f t="shared" si="118"/>
        <v>0</v>
      </c>
      <c r="CE42" s="491">
        <f t="shared" si="118"/>
        <v>0</v>
      </c>
      <c r="CF42" s="491">
        <f t="shared" si="118"/>
        <v>0</v>
      </c>
      <c r="CG42" s="491">
        <f t="shared" si="118"/>
        <v>0</v>
      </c>
      <c r="CH42" s="491">
        <f t="shared" si="118"/>
        <v>0</v>
      </c>
      <c r="CI42" s="491">
        <f t="shared" si="118"/>
        <v>0</v>
      </c>
      <c r="CJ42" s="491">
        <f t="shared" si="118"/>
        <v>0</v>
      </c>
      <c r="CK42" s="491">
        <f t="shared" si="118"/>
        <v>0</v>
      </c>
      <c r="CL42" s="491">
        <f t="shared" si="118"/>
        <v>0</v>
      </c>
      <c r="CM42" s="491">
        <f t="shared" si="118"/>
        <v>0</v>
      </c>
      <c r="CN42" s="491">
        <f t="shared" si="118"/>
        <v>0</v>
      </c>
      <c r="CO42" s="485"/>
      <c r="CP42" s="485"/>
      <c r="CQ42" s="485"/>
      <c r="CR42" s="485"/>
      <c r="CS42" s="485"/>
      <c r="CT42" s="485"/>
      <c r="CU42" s="166"/>
    </row>
    <row r="43" spans="1:99" ht="51.75" customHeight="1" outlineLevel="1">
      <c r="A43" s="183">
        <v>1</v>
      </c>
      <c r="B43" s="279" t="s">
        <v>3110</v>
      </c>
      <c r="C43" s="183" t="s">
        <v>304</v>
      </c>
      <c r="D43" s="183" t="s">
        <v>3111</v>
      </c>
      <c r="E43" s="183" t="s">
        <v>3061</v>
      </c>
      <c r="F43" s="183" t="s">
        <v>49</v>
      </c>
      <c r="G43" s="183" t="s">
        <v>3112</v>
      </c>
      <c r="H43" s="420">
        <v>7873215</v>
      </c>
      <c r="I43" s="184" t="s">
        <v>311</v>
      </c>
      <c r="J43" s="183" t="s">
        <v>49</v>
      </c>
      <c r="K43" s="183" t="s">
        <v>3113</v>
      </c>
      <c r="L43" s="183" t="s">
        <v>69</v>
      </c>
      <c r="M43" s="183">
        <v>2021</v>
      </c>
      <c r="N43" s="282"/>
      <c r="O43" s="282" t="s">
        <v>3114</v>
      </c>
      <c r="P43" s="283">
        <v>593.41899999999998</v>
      </c>
      <c r="Q43" s="283"/>
      <c r="R43" s="283"/>
      <c r="S43" s="186">
        <v>556.78800000000001</v>
      </c>
      <c r="T43" s="186">
        <v>36.630999999999972</v>
      </c>
      <c r="U43" s="186"/>
      <c r="V43" s="282" t="s">
        <v>3113</v>
      </c>
      <c r="W43" s="282" t="s">
        <v>3115</v>
      </c>
      <c r="X43" s="282" t="s">
        <v>311</v>
      </c>
      <c r="Y43" s="186">
        <v>540</v>
      </c>
      <c r="Z43" s="186"/>
      <c r="AA43" s="186"/>
      <c r="AB43" s="186">
        <v>540</v>
      </c>
      <c r="AC43" s="186">
        <v>16.788</v>
      </c>
      <c r="AD43" s="186"/>
      <c r="AE43" s="186"/>
      <c r="AF43" s="186">
        <v>16.788</v>
      </c>
      <c r="AG43" s="283">
        <f t="shared" si="25"/>
        <v>0</v>
      </c>
      <c r="AH43" s="186"/>
      <c r="AI43" s="186"/>
      <c r="AJ43" s="186">
        <v>16.788</v>
      </c>
      <c r="AK43" s="186"/>
      <c r="AL43" s="186">
        <v>36.630999999999972</v>
      </c>
      <c r="AM43" s="186">
        <v>16.788</v>
      </c>
      <c r="AN43" s="186"/>
      <c r="AO43" s="186"/>
      <c r="AP43" s="186">
        <v>16.788</v>
      </c>
      <c r="AQ43" s="186"/>
      <c r="AR43" s="186"/>
      <c r="AS43" s="186">
        <v>16.788</v>
      </c>
      <c r="AT43" s="186"/>
      <c r="AU43" s="186">
        <v>36.630999999999972</v>
      </c>
      <c r="AV43" s="186">
        <v>16.788</v>
      </c>
      <c r="AW43" s="186"/>
      <c r="AX43" s="186"/>
      <c r="AY43" s="186">
        <v>16.788</v>
      </c>
      <c r="AZ43" s="186"/>
      <c r="BA43" s="186"/>
      <c r="BB43" s="186">
        <v>16.788</v>
      </c>
      <c r="BC43" s="186"/>
      <c r="BD43" s="186">
        <v>36.630999999999972</v>
      </c>
      <c r="BE43" s="186">
        <v>100</v>
      </c>
      <c r="BF43" s="186">
        <v>0</v>
      </c>
      <c r="BG43" s="186"/>
      <c r="BH43" s="186"/>
      <c r="BI43" s="186">
        <v>0</v>
      </c>
      <c r="BJ43" s="283">
        <f t="shared" si="27"/>
        <v>0</v>
      </c>
      <c r="BK43" s="186"/>
      <c r="BL43" s="186"/>
      <c r="BM43" s="186"/>
      <c r="BN43" s="186"/>
      <c r="BO43" s="186"/>
      <c r="BP43" s="284">
        <v>0</v>
      </c>
      <c r="BQ43" s="284"/>
      <c r="BR43" s="284"/>
      <c r="BS43" s="284"/>
      <c r="BT43" s="284"/>
      <c r="BU43" s="284"/>
      <c r="BV43" s="284"/>
      <c r="BW43" s="284"/>
      <c r="BX43" s="186"/>
      <c r="BY43" s="285"/>
      <c r="BZ43" s="286">
        <v>0</v>
      </c>
      <c r="CA43" s="286"/>
      <c r="CB43" s="286"/>
      <c r="CC43" s="286"/>
      <c r="CD43" s="187"/>
      <c r="CE43" s="286">
        <v>0</v>
      </c>
      <c r="CF43" s="286"/>
      <c r="CG43" s="286"/>
      <c r="CH43" s="286"/>
      <c r="CI43" s="187"/>
      <c r="CJ43" s="288"/>
      <c r="CK43" s="288"/>
      <c r="CL43" s="288"/>
      <c r="CM43" s="288"/>
      <c r="CN43" s="288"/>
      <c r="CO43" s="187">
        <v>0</v>
      </c>
      <c r="CP43" s="184"/>
      <c r="CQ43" s="184" t="s">
        <v>488</v>
      </c>
      <c r="CR43" s="304"/>
      <c r="CS43" s="304"/>
      <c r="CT43" s="291"/>
      <c r="CU43" s="160"/>
    </row>
    <row r="44" spans="1:99" ht="69.75" customHeight="1" outlineLevel="1">
      <c r="A44" s="183">
        <v>2</v>
      </c>
      <c r="B44" s="292" t="s">
        <v>3116</v>
      </c>
      <c r="C44" s="280" t="s">
        <v>3042</v>
      </c>
      <c r="D44" s="280" t="s">
        <v>3037</v>
      </c>
      <c r="E44" s="183" t="s">
        <v>3117</v>
      </c>
      <c r="F44" s="183" t="s">
        <v>49</v>
      </c>
      <c r="G44" s="183" t="s">
        <v>3118</v>
      </c>
      <c r="H44" s="183"/>
      <c r="I44" s="184" t="s">
        <v>311</v>
      </c>
      <c r="J44" s="183" t="s">
        <v>49</v>
      </c>
      <c r="K44" s="280" t="s">
        <v>3037</v>
      </c>
      <c r="L44" s="183"/>
      <c r="M44" s="183">
        <v>2021</v>
      </c>
      <c r="N44" s="282"/>
      <c r="O44" s="282" t="s">
        <v>3070</v>
      </c>
      <c r="P44" s="186">
        <v>4431.4380000000001</v>
      </c>
      <c r="Q44" s="186"/>
      <c r="R44" s="186"/>
      <c r="S44" s="186">
        <v>4431.4380000000001</v>
      </c>
      <c r="T44" s="186">
        <v>0</v>
      </c>
      <c r="U44" s="186"/>
      <c r="V44" s="282" t="s">
        <v>3037</v>
      </c>
      <c r="W44" s="70" t="s">
        <v>3039</v>
      </c>
      <c r="X44" s="282" t="s">
        <v>311</v>
      </c>
      <c r="Y44" s="283"/>
      <c r="Z44" s="283"/>
      <c r="AA44" s="283"/>
      <c r="AB44" s="283"/>
      <c r="AC44" s="186">
        <v>4431.4380000000001</v>
      </c>
      <c r="AD44" s="186"/>
      <c r="AE44" s="186"/>
      <c r="AF44" s="186">
        <v>4431.4380000000001</v>
      </c>
      <c r="AG44" s="283">
        <f>AH44+AI44</f>
        <v>0</v>
      </c>
      <c r="AH44" s="186"/>
      <c r="AI44" s="186"/>
      <c r="AJ44" s="186"/>
      <c r="AK44" s="186">
        <v>4431.4380000000001</v>
      </c>
      <c r="AL44" s="186">
        <v>0</v>
      </c>
      <c r="AM44" s="186">
        <v>4431.4380000000001</v>
      </c>
      <c r="AN44" s="186"/>
      <c r="AO44" s="186"/>
      <c r="AP44" s="186">
        <v>4431.4380000000001</v>
      </c>
      <c r="AQ44" s="186"/>
      <c r="AR44" s="186"/>
      <c r="AS44" s="186"/>
      <c r="AT44" s="186">
        <v>4431.4380000000001</v>
      </c>
      <c r="AU44" s="186">
        <v>0</v>
      </c>
      <c r="AV44" s="186">
        <v>4431.4380000000001</v>
      </c>
      <c r="AW44" s="186"/>
      <c r="AX44" s="186"/>
      <c r="AY44" s="186">
        <v>4431.4380000000001</v>
      </c>
      <c r="AZ44" s="186"/>
      <c r="BA44" s="186"/>
      <c r="BB44" s="186"/>
      <c r="BC44" s="186">
        <v>4431.4380000000001</v>
      </c>
      <c r="BD44" s="186">
        <v>0</v>
      </c>
      <c r="BE44" s="186">
        <v>100</v>
      </c>
      <c r="BF44" s="186">
        <v>0</v>
      </c>
      <c r="BG44" s="186"/>
      <c r="BH44" s="186"/>
      <c r="BI44" s="186">
        <v>0</v>
      </c>
      <c r="BJ44" s="283">
        <f>BK44+BL44</f>
        <v>0</v>
      </c>
      <c r="BK44" s="186"/>
      <c r="BL44" s="186"/>
      <c r="BM44" s="186"/>
      <c r="BN44" s="186"/>
      <c r="BO44" s="186">
        <v>0</v>
      </c>
      <c r="BP44" s="284">
        <v>0</v>
      </c>
      <c r="BQ44" s="284"/>
      <c r="BR44" s="284"/>
      <c r="BS44" s="284"/>
      <c r="BT44" s="284"/>
      <c r="BU44" s="284"/>
      <c r="BV44" s="284"/>
      <c r="BW44" s="284"/>
      <c r="BX44" s="186">
        <v>0</v>
      </c>
      <c r="BY44" s="285"/>
      <c r="BZ44" s="286">
        <v>0</v>
      </c>
      <c r="CA44" s="286"/>
      <c r="CB44" s="286"/>
      <c r="CC44" s="286"/>
      <c r="CD44" s="187">
        <v>0</v>
      </c>
      <c r="CE44" s="286">
        <v>0</v>
      </c>
      <c r="CF44" s="286"/>
      <c r="CG44" s="286"/>
      <c r="CH44" s="286"/>
      <c r="CI44" s="187"/>
      <c r="CJ44" s="288"/>
      <c r="CK44" s="288"/>
      <c r="CL44" s="288"/>
      <c r="CM44" s="288"/>
      <c r="CN44" s="288"/>
      <c r="CO44" s="187">
        <v>0</v>
      </c>
      <c r="CP44" s="184"/>
      <c r="CQ44" s="184" t="s">
        <v>488</v>
      </c>
      <c r="CR44" s="304"/>
      <c r="CS44" s="304"/>
      <c r="CT44" s="291"/>
      <c r="CU44" s="160"/>
    </row>
    <row r="45" spans="1:99" s="212" customFormat="1" ht="15" outlineLevel="1">
      <c r="A45" s="430" t="s">
        <v>45</v>
      </c>
      <c r="B45" s="456" t="s">
        <v>3660</v>
      </c>
      <c r="C45" s="309"/>
      <c r="D45" s="309"/>
      <c r="E45" s="191"/>
      <c r="F45" s="191"/>
      <c r="G45" s="191"/>
      <c r="H45" s="191"/>
      <c r="I45" s="192"/>
      <c r="J45" s="191"/>
      <c r="K45" s="309"/>
      <c r="L45" s="191"/>
      <c r="M45" s="191"/>
      <c r="N45" s="298"/>
      <c r="O45" s="298"/>
      <c r="P45" s="194">
        <f>P46</f>
        <v>72795.945999999996</v>
      </c>
      <c r="Q45" s="194">
        <f t="shared" ref="Q45:T45" si="119">Q46</f>
        <v>60000</v>
      </c>
      <c r="R45" s="194">
        <f t="shared" si="119"/>
        <v>0</v>
      </c>
      <c r="S45" s="194">
        <f t="shared" si="119"/>
        <v>12795.946</v>
      </c>
      <c r="T45" s="194">
        <f t="shared" si="119"/>
        <v>0</v>
      </c>
      <c r="U45" s="194"/>
      <c r="V45" s="298"/>
      <c r="W45" s="67"/>
      <c r="X45" s="298"/>
      <c r="Y45" s="194">
        <f t="shared" ref="Y45" si="120">Y46</f>
        <v>0</v>
      </c>
      <c r="Z45" s="194">
        <f t="shared" ref="Z45" si="121">Z46</f>
        <v>0</v>
      </c>
      <c r="AA45" s="194">
        <f t="shared" ref="AA45" si="122">AA46</f>
        <v>0</v>
      </c>
      <c r="AB45" s="194">
        <f t="shared" ref="AB45" si="123">AB46</f>
        <v>0</v>
      </c>
      <c r="AC45" s="194">
        <f t="shared" ref="AC45" si="124">AC46</f>
        <v>8255.1530000000002</v>
      </c>
      <c r="AD45" s="194">
        <f t="shared" ref="AD45" si="125">AD46</f>
        <v>0</v>
      </c>
      <c r="AE45" s="194">
        <f t="shared" ref="AE45" si="126">AE46</f>
        <v>0</v>
      </c>
      <c r="AF45" s="194">
        <f t="shared" ref="AF45" si="127">AF46</f>
        <v>8255.1530000000002</v>
      </c>
      <c r="AG45" s="194">
        <f t="shared" ref="AG45" si="128">AG46</f>
        <v>0</v>
      </c>
      <c r="AH45" s="194">
        <f t="shared" ref="AH45" si="129">AH46</f>
        <v>0</v>
      </c>
      <c r="AI45" s="194">
        <f t="shared" ref="AI45" si="130">AI46</f>
        <v>0</v>
      </c>
      <c r="AJ45" s="194">
        <f t="shared" ref="AJ45" si="131">AJ46</f>
        <v>0</v>
      </c>
      <c r="AK45" s="194">
        <f t="shared" ref="AK45" si="132">AK46</f>
        <v>8255.1530000000002</v>
      </c>
      <c r="AL45" s="194">
        <f t="shared" ref="AL45" si="133">AL46</f>
        <v>0</v>
      </c>
      <c r="AM45" s="194">
        <f t="shared" ref="AM45" si="134">AM46</f>
        <v>0</v>
      </c>
      <c r="AN45" s="194">
        <f t="shared" ref="AN45" si="135">AN46</f>
        <v>0</v>
      </c>
      <c r="AO45" s="194">
        <f t="shared" ref="AO45" si="136">AO46</f>
        <v>0</v>
      </c>
      <c r="AP45" s="194">
        <f t="shared" ref="AP45" si="137">AP46</f>
        <v>0</v>
      </c>
      <c r="AQ45" s="194">
        <f t="shared" ref="AQ45" si="138">AQ46</f>
        <v>0</v>
      </c>
      <c r="AR45" s="194">
        <f t="shared" ref="AR45" si="139">AR46</f>
        <v>0</v>
      </c>
      <c r="AS45" s="194">
        <f t="shared" ref="AS45" si="140">AS46</f>
        <v>0</v>
      </c>
      <c r="AT45" s="194">
        <f t="shared" ref="AT45" si="141">AT46</f>
        <v>0</v>
      </c>
      <c r="AU45" s="194">
        <f t="shared" ref="AU45" si="142">AU46</f>
        <v>0</v>
      </c>
      <c r="AV45" s="194">
        <f t="shared" ref="AV45" si="143">AV46</f>
        <v>0</v>
      </c>
      <c r="AW45" s="194">
        <f t="shared" ref="AW45" si="144">AW46</f>
        <v>0</v>
      </c>
      <c r="AX45" s="194">
        <f t="shared" ref="AX45" si="145">AX46</f>
        <v>0</v>
      </c>
      <c r="AY45" s="194">
        <f t="shared" ref="AY45" si="146">AY46</f>
        <v>0</v>
      </c>
      <c r="AZ45" s="194">
        <f t="shared" ref="AZ45" si="147">AZ46</f>
        <v>0</v>
      </c>
      <c r="BA45" s="194">
        <f t="shared" ref="BA45" si="148">BA46</f>
        <v>0</v>
      </c>
      <c r="BB45" s="194">
        <f t="shared" ref="BB45" si="149">BB46</f>
        <v>0</v>
      </c>
      <c r="BC45" s="194">
        <f t="shared" ref="BC45" si="150">BC46</f>
        <v>0</v>
      </c>
      <c r="BD45" s="194">
        <f t="shared" ref="BD45" si="151">BD46</f>
        <v>0</v>
      </c>
      <c r="BE45" s="194">
        <f t="shared" ref="BE45" si="152">BE46</f>
        <v>0</v>
      </c>
      <c r="BF45" s="194">
        <f t="shared" ref="BF45" si="153">BF46</f>
        <v>0</v>
      </c>
      <c r="BG45" s="194">
        <f t="shared" ref="BG45" si="154">BG46</f>
        <v>0</v>
      </c>
      <c r="BH45" s="194">
        <f t="shared" ref="BH45" si="155">BH46</f>
        <v>0</v>
      </c>
      <c r="BI45" s="194">
        <f t="shared" ref="BI45" si="156">BI46</f>
        <v>0</v>
      </c>
      <c r="BJ45" s="194">
        <f t="shared" ref="BJ45" si="157">BJ46</f>
        <v>0</v>
      </c>
      <c r="BK45" s="194">
        <f t="shared" ref="BK45" si="158">BK46</f>
        <v>0</v>
      </c>
      <c r="BL45" s="194">
        <f t="shared" ref="BL45" si="159">BL46</f>
        <v>0</v>
      </c>
      <c r="BM45" s="194">
        <f t="shared" ref="BM45" si="160">BM46</f>
        <v>0</v>
      </c>
      <c r="BN45" s="194">
        <f t="shared" ref="BN45" si="161">BN46</f>
        <v>0</v>
      </c>
      <c r="BO45" s="194">
        <f t="shared" ref="BO45" si="162">BO46</f>
        <v>0</v>
      </c>
      <c r="BP45" s="194">
        <f t="shared" ref="BP45" si="163">BP46</f>
        <v>0</v>
      </c>
      <c r="BQ45" s="194">
        <f t="shared" ref="BQ45" si="164">BQ46</f>
        <v>0</v>
      </c>
      <c r="BR45" s="194">
        <f t="shared" ref="BR45" si="165">BR46</f>
        <v>0</v>
      </c>
      <c r="BS45" s="194">
        <f t="shared" ref="BS45" si="166">BS46</f>
        <v>0</v>
      </c>
      <c r="BT45" s="194">
        <f t="shared" ref="BT45" si="167">BT46</f>
        <v>0</v>
      </c>
      <c r="BU45" s="194">
        <f t="shared" ref="BU45" si="168">BU46</f>
        <v>0</v>
      </c>
      <c r="BV45" s="194">
        <f t="shared" ref="BV45" si="169">BV46</f>
        <v>0</v>
      </c>
      <c r="BW45" s="194">
        <f t="shared" ref="BW45" si="170">BW46</f>
        <v>0</v>
      </c>
      <c r="BX45" s="194">
        <f t="shared" ref="BX45" si="171">BX46</f>
        <v>0</v>
      </c>
      <c r="BY45" s="194">
        <f t="shared" ref="BY45" si="172">BY46</f>
        <v>0</v>
      </c>
      <c r="BZ45" s="194">
        <f t="shared" ref="BZ45" si="173">BZ46</f>
        <v>0</v>
      </c>
      <c r="CA45" s="194">
        <f t="shared" ref="CA45" si="174">CA46</f>
        <v>0</v>
      </c>
      <c r="CB45" s="194">
        <f t="shared" ref="CB45" si="175">CB46</f>
        <v>0</v>
      </c>
      <c r="CC45" s="194">
        <f t="shared" ref="CC45" si="176">CC46</f>
        <v>0</v>
      </c>
      <c r="CD45" s="194">
        <f t="shared" ref="CD45" si="177">CD46</f>
        <v>0</v>
      </c>
      <c r="CE45" s="194">
        <f t="shared" ref="CE45" si="178">CE46</f>
        <v>0</v>
      </c>
      <c r="CF45" s="194">
        <f t="shared" ref="CF45" si="179">CF46</f>
        <v>0</v>
      </c>
      <c r="CG45" s="194">
        <f t="shared" ref="CG45" si="180">CG46</f>
        <v>0</v>
      </c>
      <c r="CH45" s="194">
        <f t="shared" ref="CH45" si="181">CH46</f>
        <v>0</v>
      </c>
      <c r="CI45" s="194">
        <f t="shared" ref="CI45" si="182">CI46</f>
        <v>0</v>
      </c>
      <c r="CJ45" s="194">
        <f t="shared" ref="CJ45" si="183">CJ46</f>
        <v>0</v>
      </c>
      <c r="CK45" s="194">
        <f t="shared" ref="CK45" si="184">CK46</f>
        <v>0</v>
      </c>
      <c r="CL45" s="194">
        <f t="shared" ref="CL45" si="185">CL46</f>
        <v>0</v>
      </c>
      <c r="CM45" s="194">
        <f t="shared" ref="CM45" si="186">CM46</f>
        <v>0</v>
      </c>
      <c r="CN45" s="194">
        <f t="shared" ref="CN45" si="187">CN46</f>
        <v>0</v>
      </c>
      <c r="CO45" s="195"/>
      <c r="CP45" s="192"/>
      <c r="CQ45" s="192"/>
      <c r="CR45" s="310"/>
      <c r="CS45" s="310"/>
      <c r="CT45" s="301"/>
      <c r="CU45" s="218"/>
    </row>
    <row r="46" spans="1:99" ht="70.5" customHeight="1" outlineLevel="1">
      <c r="A46" s="183">
        <v>1</v>
      </c>
      <c r="B46" s="292" t="s">
        <v>3248</v>
      </c>
      <c r="C46" s="280" t="s">
        <v>3042</v>
      </c>
      <c r="D46" s="183" t="s">
        <v>3249</v>
      </c>
      <c r="E46" s="183" t="s">
        <v>3061</v>
      </c>
      <c r="F46" s="183" t="s">
        <v>49</v>
      </c>
      <c r="G46" s="183" t="s">
        <v>48</v>
      </c>
      <c r="H46" s="183"/>
      <c r="I46" s="184" t="s">
        <v>311</v>
      </c>
      <c r="J46" s="183" t="s">
        <v>49</v>
      </c>
      <c r="K46" s="280" t="s">
        <v>3250</v>
      </c>
      <c r="L46" s="185" t="s">
        <v>3251</v>
      </c>
      <c r="M46" s="183"/>
      <c r="N46" s="282"/>
      <c r="O46" s="282" t="s">
        <v>3252</v>
      </c>
      <c r="P46" s="283">
        <v>72795.945999999996</v>
      </c>
      <c r="Q46" s="283">
        <v>60000</v>
      </c>
      <c r="R46" s="283"/>
      <c r="S46" s="283">
        <v>12795.946</v>
      </c>
      <c r="T46" s="186">
        <v>0</v>
      </c>
      <c r="U46" s="186"/>
      <c r="V46" s="282" t="s">
        <v>3250</v>
      </c>
      <c r="W46" s="282" t="s">
        <v>3253</v>
      </c>
      <c r="X46" s="282" t="s">
        <v>311</v>
      </c>
      <c r="Y46" s="283"/>
      <c r="Z46" s="283"/>
      <c r="AA46" s="283"/>
      <c r="AB46" s="283"/>
      <c r="AC46" s="186">
        <v>8255.1530000000002</v>
      </c>
      <c r="AD46" s="186"/>
      <c r="AE46" s="186"/>
      <c r="AF46" s="186">
        <v>8255.1530000000002</v>
      </c>
      <c r="AG46" s="283">
        <f>AH46+AI46</f>
        <v>0</v>
      </c>
      <c r="AH46" s="186"/>
      <c r="AI46" s="186"/>
      <c r="AJ46" s="186"/>
      <c r="AK46" s="186">
        <v>8255.1530000000002</v>
      </c>
      <c r="AL46" s="186">
        <v>0</v>
      </c>
      <c r="AM46" s="186"/>
      <c r="AN46" s="186"/>
      <c r="AO46" s="186"/>
      <c r="AP46" s="186"/>
      <c r="AQ46" s="186"/>
      <c r="AR46" s="186"/>
      <c r="AS46" s="186"/>
      <c r="AT46" s="186"/>
      <c r="AU46" s="186"/>
      <c r="AV46" s="186"/>
      <c r="AW46" s="186"/>
      <c r="AX46" s="186"/>
      <c r="AY46" s="186"/>
      <c r="AZ46" s="186"/>
      <c r="BA46" s="186"/>
      <c r="BB46" s="186"/>
      <c r="BC46" s="186"/>
      <c r="BD46" s="186"/>
      <c r="BE46" s="186"/>
      <c r="BF46" s="186"/>
      <c r="BG46" s="186"/>
      <c r="BH46" s="186"/>
      <c r="BI46" s="186"/>
      <c r="BJ46" s="283">
        <f>BK46+BL46</f>
        <v>0</v>
      </c>
      <c r="BK46" s="186"/>
      <c r="BL46" s="186"/>
      <c r="BM46" s="186"/>
      <c r="BN46" s="186"/>
      <c r="BO46" s="186"/>
      <c r="BP46" s="284"/>
      <c r="BQ46" s="284"/>
      <c r="BR46" s="284"/>
      <c r="BS46" s="284"/>
      <c r="BT46" s="284"/>
      <c r="BU46" s="284"/>
      <c r="BV46" s="284"/>
      <c r="BW46" s="284"/>
      <c r="BX46" s="186"/>
      <c r="BY46" s="285"/>
      <c r="BZ46" s="286"/>
      <c r="CA46" s="286"/>
      <c r="CB46" s="286"/>
      <c r="CC46" s="286"/>
      <c r="CD46" s="187"/>
      <c r="CE46" s="286"/>
      <c r="CF46" s="286"/>
      <c r="CG46" s="286"/>
      <c r="CH46" s="286"/>
      <c r="CI46" s="187"/>
      <c r="CJ46" s="288"/>
      <c r="CK46" s="288"/>
      <c r="CL46" s="288"/>
      <c r="CM46" s="288"/>
      <c r="CN46" s="288"/>
      <c r="CO46" s="187"/>
      <c r="CP46" s="184"/>
      <c r="CQ46" s="184" t="s">
        <v>488</v>
      </c>
      <c r="CR46" s="280" t="s">
        <v>3100</v>
      </c>
      <c r="CS46" s="280"/>
      <c r="CT46" s="183" t="s">
        <v>3670</v>
      </c>
      <c r="CU46" s="160"/>
    </row>
    <row r="47" spans="1:99" ht="34.9" customHeight="1" outlineLevel="1">
      <c r="A47" s="430" t="s">
        <v>45</v>
      </c>
      <c r="B47" s="456" t="s">
        <v>3065</v>
      </c>
      <c r="C47" s="191"/>
      <c r="D47" s="192"/>
      <c r="E47" s="191"/>
      <c r="F47" s="191"/>
      <c r="G47" s="191"/>
      <c r="H47" s="486"/>
      <c r="I47" s="192"/>
      <c r="J47" s="191"/>
      <c r="K47" s="191"/>
      <c r="L47" s="191"/>
      <c r="M47" s="191"/>
      <c r="N47" s="298"/>
      <c r="O47" s="298"/>
      <c r="P47" s="194">
        <f>SUM(P48:P80)</f>
        <v>154885.70300000001</v>
      </c>
      <c r="Q47" s="194">
        <f t="shared" ref="Q47:BN47" si="188">SUM(Q48:Q80)</f>
        <v>0</v>
      </c>
      <c r="R47" s="194">
        <f t="shared" si="188"/>
        <v>0</v>
      </c>
      <c r="S47" s="194">
        <f t="shared" si="188"/>
        <v>150634.69199999998</v>
      </c>
      <c r="T47" s="194">
        <f t="shared" si="188"/>
        <v>4251.0109999999995</v>
      </c>
      <c r="U47" s="194">
        <f t="shared" si="188"/>
        <v>0</v>
      </c>
      <c r="V47" s="299">
        <f t="shared" si="188"/>
        <v>0</v>
      </c>
      <c r="W47" s="299">
        <f t="shared" si="188"/>
        <v>0</v>
      </c>
      <c r="X47" s="299">
        <f t="shared" si="188"/>
        <v>0</v>
      </c>
      <c r="Y47" s="194">
        <f t="shared" si="188"/>
        <v>0</v>
      </c>
      <c r="Z47" s="194">
        <f t="shared" si="188"/>
        <v>0</v>
      </c>
      <c r="AA47" s="194">
        <f t="shared" si="188"/>
        <v>0</v>
      </c>
      <c r="AB47" s="194">
        <f t="shared" si="188"/>
        <v>0</v>
      </c>
      <c r="AC47" s="194">
        <f t="shared" si="188"/>
        <v>153762.22899999999</v>
      </c>
      <c r="AD47" s="194">
        <f t="shared" si="188"/>
        <v>0</v>
      </c>
      <c r="AE47" s="194">
        <f t="shared" si="188"/>
        <v>0</v>
      </c>
      <c r="AF47" s="194">
        <f t="shared" si="188"/>
        <v>153762.22899999999</v>
      </c>
      <c r="AG47" s="194">
        <f t="shared" si="188"/>
        <v>39548</v>
      </c>
      <c r="AH47" s="194">
        <f t="shared" si="188"/>
        <v>39548</v>
      </c>
      <c r="AI47" s="194">
        <f t="shared" si="188"/>
        <v>0</v>
      </c>
      <c r="AJ47" s="194">
        <f t="shared" si="188"/>
        <v>90018.364744000006</v>
      </c>
      <c r="AK47" s="194">
        <f t="shared" si="188"/>
        <v>24195.864256000001</v>
      </c>
      <c r="AL47" s="194">
        <f t="shared" si="188"/>
        <v>4251.0109999999995</v>
      </c>
      <c r="AM47" s="194">
        <f t="shared" si="188"/>
        <v>131951.03200000001</v>
      </c>
      <c r="AN47" s="194">
        <f t="shared" si="188"/>
        <v>0</v>
      </c>
      <c r="AO47" s="194">
        <f t="shared" si="188"/>
        <v>0</v>
      </c>
      <c r="AP47" s="194">
        <f t="shared" si="188"/>
        <v>131951.03200000001</v>
      </c>
      <c r="AQ47" s="194">
        <f t="shared" si="188"/>
        <v>34278</v>
      </c>
      <c r="AR47" s="194">
        <f t="shared" si="188"/>
        <v>0</v>
      </c>
      <c r="AS47" s="194">
        <f t="shared" si="188"/>
        <v>73877.167744000006</v>
      </c>
      <c r="AT47" s="194">
        <f t="shared" si="188"/>
        <v>23795.864256000001</v>
      </c>
      <c r="AU47" s="194">
        <f t="shared" si="188"/>
        <v>4251.0109999999995</v>
      </c>
      <c r="AV47" s="194">
        <f t="shared" si="188"/>
        <v>119422.372846</v>
      </c>
      <c r="AW47" s="194">
        <f t="shared" si="188"/>
        <v>0</v>
      </c>
      <c r="AX47" s="194">
        <f t="shared" si="188"/>
        <v>0</v>
      </c>
      <c r="AY47" s="194">
        <f t="shared" si="188"/>
        <v>119422.372846</v>
      </c>
      <c r="AZ47" s="194">
        <f t="shared" si="188"/>
        <v>23319.7235</v>
      </c>
      <c r="BA47" s="194">
        <f t="shared" si="188"/>
        <v>0</v>
      </c>
      <c r="BB47" s="194">
        <f t="shared" si="188"/>
        <v>72399.186090000003</v>
      </c>
      <c r="BC47" s="194">
        <f t="shared" si="188"/>
        <v>23703.463255999999</v>
      </c>
      <c r="BD47" s="194">
        <f t="shared" si="188"/>
        <v>4251.0109999999995</v>
      </c>
      <c r="BE47" s="194">
        <f t="shared" si="188"/>
        <v>3034.9317304251613</v>
      </c>
      <c r="BF47" s="194">
        <f t="shared" si="188"/>
        <v>40428.504000000001</v>
      </c>
      <c r="BG47" s="194">
        <f t="shared" si="188"/>
        <v>0</v>
      </c>
      <c r="BH47" s="194">
        <f t="shared" si="188"/>
        <v>0</v>
      </c>
      <c r="BI47" s="194">
        <f t="shared" si="188"/>
        <v>40428.504000000001</v>
      </c>
      <c r="BJ47" s="194">
        <f t="shared" si="188"/>
        <v>14143</v>
      </c>
      <c r="BK47" s="194">
        <f t="shared" si="188"/>
        <v>14143</v>
      </c>
      <c r="BL47" s="194">
        <f t="shared" si="188"/>
        <v>0</v>
      </c>
      <c r="BM47" s="194">
        <f t="shared" si="188"/>
        <v>13978.639744</v>
      </c>
      <c r="BN47" s="194">
        <f t="shared" si="188"/>
        <v>12306.864256000001</v>
      </c>
      <c r="BO47" s="311">
        <f t="shared" ref="BO47:CN47" si="189">SUM(BO48:BO134)</f>
        <v>3779</v>
      </c>
      <c r="BP47" s="311">
        <f t="shared" si="189"/>
        <v>30035.436755000002</v>
      </c>
      <c r="BQ47" s="311">
        <f t="shared" si="189"/>
        <v>0</v>
      </c>
      <c r="BR47" s="311">
        <f t="shared" si="189"/>
        <v>0</v>
      </c>
      <c r="BS47" s="311">
        <f t="shared" si="189"/>
        <v>30035.436755000002</v>
      </c>
      <c r="BT47" s="311">
        <f t="shared" si="189"/>
        <v>5697.3985859999993</v>
      </c>
      <c r="BU47" s="311">
        <f t="shared" si="189"/>
        <v>0</v>
      </c>
      <c r="BV47" s="311">
        <f t="shared" si="189"/>
        <v>12123.574913</v>
      </c>
      <c r="BW47" s="311">
        <f t="shared" si="189"/>
        <v>12214.463255999999</v>
      </c>
      <c r="BX47" s="311">
        <f t="shared" si="189"/>
        <v>3779</v>
      </c>
      <c r="BY47" s="311">
        <f t="shared" si="189"/>
        <v>595.7439430172185</v>
      </c>
      <c r="BZ47" s="196">
        <f t="shared" si="189"/>
        <v>0</v>
      </c>
      <c r="CA47" s="196">
        <f t="shared" si="189"/>
        <v>0</v>
      </c>
      <c r="CB47" s="196">
        <f t="shared" si="189"/>
        <v>0</v>
      </c>
      <c r="CC47" s="196">
        <f t="shared" si="189"/>
        <v>0</v>
      </c>
      <c r="CD47" s="196">
        <f t="shared" si="189"/>
        <v>0</v>
      </c>
      <c r="CE47" s="196">
        <f t="shared" si="189"/>
        <v>0</v>
      </c>
      <c r="CF47" s="196">
        <f t="shared" si="189"/>
        <v>0</v>
      </c>
      <c r="CG47" s="196">
        <f t="shared" si="189"/>
        <v>0</v>
      </c>
      <c r="CH47" s="196">
        <f t="shared" si="189"/>
        <v>0</v>
      </c>
      <c r="CI47" s="196">
        <f t="shared" si="189"/>
        <v>0</v>
      </c>
      <c r="CJ47" s="196">
        <f t="shared" si="189"/>
        <v>0</v>
      </c>
      <c r="CK47" s="196">
        <f t="shared" si="189"/>
        <v>159475</v>
      </c>
      <c r="CL47" s="196">
        <f t="shared" si="189"/>
        <v>0</v>
      </c>
      <c r="CM47" s="196">
        <f t="shared" si="189"/>
        <v>70000</v>
      </c>
      <c r="CN47" s="196">
        <f t="shared" si="189"/>
        <v>97986.564998999995</v>
      </c>
      <c r="CO47" s="195"/>
      <c r="CP47" s="192"/>
      <c r="CQ47" s="192"/>
      <c r="CR47" s="312"/>
      <c r="CS47" s="312"/>
      <c r="CT47" s="301"/>
      <c r="CU47" s="161"/>
    </row>
    <row r="48" spans="1:99" ht="75" customHeight="1" outlineLevel="1">
      <c r="A48" s="183">
        <v>1</v>
      </c>
      <c r="B48" s="313" t="s">
        <v>3119</v>
      </c>
      <c r="C48" s="183" t="s">
        <v>3059</v>
      </c>
      <c r="D48" s="184" t="s">
        <v>3120</v>
      </c>
      <c r="E48" s="280" t="s">
        <v>3061</v>
      </c>
      <c r="F48" s="183" t="s">
        <v>49</v>
      </c>
      <c r="G48" s="183" t="s">
        <v>48</v>
      </c>
      <c r="H48" s="492" t="s">
        <v>3121</v>
      </c>
      <c r="I48" s="184" t="s">
        <v>311</v>
      </c>
      <c r="J48" s="183" t="s">
        <v>49</v>
      </c>
      <c r="K48" s="183" t="s">
        <v>3122</v>
      </c>
      <c r="L48" s="183" t="s">
        <v>73</v>
      </c>
      <c r="M48" s="183">
        <v>2021</v>
      </c>
      <c r="N48" s="282"/>
      <c r="O48" s="282" t="s">
        <v>3123</v>
      </c>
      <c r="P48" s="283">
        <v>5525</v>
      </c>
      <c r="Q48" s="283"/>
      <c r="R48" s="283"/>
      <c r="S48" s="283">
        <v>5525</v>
      </c>
      <c r="T48" s="186">
        <v>0</v>
      </c>
      <c r="U48" s="186"/>
      <c r="V48" s="282" t="s">
        <v>3122</v>
      </c>
      <c r="W48" s="282" t="s">
        <v>3115</v>
      </c>
      <c r="X48" s="282" t="s">
        <v>311</v>
      </c>
      <c r="Y48" s="283"/>
      <c r="Z48" s="283"/>
      <c r="AA48" s="283"/>
      <c r="AB48" s="283"/>
      <c r="AC48" s="186">
        <v>5525</v>
      </c>
      <c r="AD48" s="283"/>
      <c r="AE48" s="283"/>
      <c r="AF48" s="186">
        <v>5525</v>
      </c>
      <c r="AG48" s="283">
        <f t="shared" si="25"/>
        <v>5525</v>
      </c>
      <c r="AH48" s="283">
        <v>5525</v>
      </c>
      <c r="AI48" s="283"/>
      <c r="AJ48" s="283"/>
      <c r="AK48" s="283"/>
      <c r="AL48" s="186">
        <v>0</v>
      </c>
      <c r="AM48" s="186">
        <v>5525</v>
      </c>
      <c r="AN48" s="283"/>
      <c r="AO48" s="283"/>
      <c r="AP48" s="186">
        <v>5525</v>
      </c>
      <c r="AQ48" s="283">
        <v>5525</v>
      </c>
      <c r="AR48" s="283"/>
      <c r="AS48" s="283"/>
      <c r="AT48" s="283"/>
      <c r="AU48" s="186">
        <v>0</v>
      </c>
      <c r="AV48" s="186">
        <v>5525</v>
      </c>
      <c r="AW48" s="283"/>
      <c r="AX48" s="283"/>
      <c r="AY48" s="186">
        <v>5525</v>
      </c>
      <c r="AZ48" s="283">
        <v>5525</v>
      </c>
      <c r="BA48" s="283"/>
      <c r="BB48" s="283"/>
      <c r="BC48" s="283"/>
      <c r="BD48" s="186">
        <v>0</v>
      </c>
      <c r="BE48" s="186">
        <v>100</v>
      </c>
      <c r="BF48" s="186">
        <v>0</v>
      </c>
      <c r="BG48" s="283"/>
      <c r="BH48" s="283"/>
      <c r="BI48" s="186">
        <v>0</v>
      </c>
      <c r="BJ48" s="283">
        <f t="shared" si="27"/>
        <v>0</v>
      </c>
      <c r="BK48" s="283"/>
      <c r="BL48" s="283"/>
      <c r="BM48" s="283"/>
      <c r="BN48" s="283"/>
      <c r="BO48" s="186">
        <v>0</v>
      </c>
      <c r="BP48" s="284">
        <v>0</v>
      </c>
      <c r="BQ48" s="283"/>
      <c r="BR48" s="283"/>
      <c r="BS48" s="283"/>
      <c r="BT48" s="283"/>
      <c r="BU48" s="283"/>
      <c r="BV48" s="283"/>
      <c r="BW48" s="283"/>
      <c r="BX48" s="186">
        <v>0</v>
      </c>
      <c r="BY48" s="285"/>
      <c r="BZ48" s="286">
        <v>0</v>
      </c>
      <c r="CA48" s="287"/>
      <c r="CB48" s="287"/>
      <c r="CC48" s="287"/>
      <c r="CD48" s="187">
        <v>0</v>
      </c>
      <c r="CE48" s="286">
        <v>0</v>
      </c>
      <c r="CF48" s="287"/>
      <c r="CG48" s="287"/>
      <c r="CH48" s="287"/>
      <c r="CI48" s="187"/>
      <c r="CJ48" s="288"/>
      <c r="CK48" s="288"/>
      <c r="CL48" s="288"/>
      <c r="CM48" s="288"/>
      <c r="CN48" s="288"/>
      <c r="CO48" s="187">
        <v>0</v>
      </c>
      <c r="CP48" s="184"/>
      <c r="CQ48" s="184" t="s">
        <v>488</v>
      </c>
      <c r="CR48" s="314"/>
      <c r="CS48" s="314"/>
      <c r="CT48" s="291"/>
      <c r="CU48" s="160"/>
    </row>
    <row r="49" spans="1:99" ht="84" customHeight="1" outlineLevel="1">
      <c r="A49" s="183">
        <v>2</v>
      </c>
      <c r="B49" s="292" t="s">
        <v>3124</v>
      </c>
      <c r="C49" s="183" t="s">
        <v>3059</v>
      </c>
      <c r="D49" s="302" t="s">
        <v>3125</v>
      </c>
      <c r="E49" s="183" t="s">
        <v>3126</v>
      </c>
      <c r="F49" s="183" t="s">
        <v>49</v>
      </c>
      <c r="G49" s="183" t="s">
        <v>1122</v>
      </c>
      <c r="H49" s="492" t="s">
        <v>3127</v>
      </c>
      <c r="I49" s="184" t="s">
        <v>311</v>
      </c>
      <c r="J49" s="183" t="s">
        <v>49</v>
      </c>
      <c r="K49" s="183" t="s">
        <v>3037</v>
      </c>
      <c r="L49" s="183" t="s">
        <v>73</v>
      </c>
      <c r="M49" s="183">
        <v>2021</v>
      </c>
      <c r="N49" s="282"/>
      <c r="O49" s="282" t="s">
        <v>3128</v>
      </c>
      <c r="P49" s="283">
        <v>1800</v>
      </c>
      <c r="Q49" s="283"/>
      <c r="R49" s="283"/>
      <c r="S49" s="283">
        <v>1800</v>
      </c>
      <c r="T49" s="186">
        <v>0</v>
      </c>
      <c r="U49" s="186"/>
      <c r="V49" s="282" t="s">
        <v>3037</v>
      </c>
      <c r="W49" s="282" t="s">
        <v>3115</v>
      </c>
      <c r="X49" s="282" t="s">
        <v>311</v>
      </c>
      <c r="Y49" s="283"/>
      <c r="Z49" s="283"/>
      <c r="AA49" s="283"/>
      <c r="AB49" s="283"/>
      <c r="AC49" s="186">
        <v>1800</v>
      </c>
      <c r="AD49" s="283"/>
      <c r="AE49" s="283"/>
      <c r="AF49" s="186">
        <v>1800</v>
      </c>
      <c r="AG49" s="283">
        <f t="shared" si="25"/>
        <v>1800</v>
      </c>
      <c r="AH49" s="283">
        <v>1800</v>
      </c>
      <c r="AI49" s="283"/>
      <c r="AJ49" s="283"/>
      <c r="AK49" s="283"/>
      <c r="AL49" s="186">
        <v>0</v>
      </c>
      <c r="AM49" s="186">
        <v>1800</v>
      </c>
      <c r="AN49" s="283"/>
      <c r="AO49" s="283"/>
      <c r="AP49" s="186">
        <v>1800</v>
      </c>
      <c r="AQ49" s="283">
        <v>1800</v>
      </c>
      <c r="AR49" s="283"/>
      <c r="AS49" s="283"/>
      <c r="AT49" s="283"/>
      <c r="AU49" s="186">
        <v>0</v>
      </c>
      <c r="AV49" s="186">
        <v>1800</v>
      </c>
      <c r="AW49" s="283"/>
      <c r="AX49" s="283"/>
      <c r="AY49" s="186">
        <v>1800</v>
      </c>
      <c r="AZ49" s="283">
        <v>1800</v>
      </c>
      <c r="BA49" s="283"/>
      <c r="BB49" s="283"/>
      <c r="BC49" s="283"/>
      <c r="BD49" s="186">
        <v>0</v>
      </c>
      <c r="BE49" s="186">
        <v>100</v>
      </c>
      <c r="BF49" s="186">
        <v>0</v>
      </c>
      <c r="BG49" s="283"/>
      <c r="BH49" s="283"/>
      <c r="BI49" s="186">
        <v>0</v>
      </c>
      <c r="BJ49" s="283">
        <f t="shared" si="27"/>
        <v>0</v>
      </c>
      <c r="BK49" s="283"/>
      <c r="BL49" s="283"/>
      <c r="BM49" s="283"/>
      <c r="BN49" s="283"/>
      <c r="BO49" s="186">
        <v>0</v>
      </c>
      <c r="BP49" s="284">
        <v>0</v>
      </c>
      <c r="BQ49" s="283"/>
      <c r="BR49" s="283"/>
      <c r="BS49" s="283"/>
      <c r="BT49" s="283"/>
      <c r="BU49" s="283"/>
      <c r="BV49" s="283"/>
      <c r="BW49" s="283"/>
      <c r="BX49" s="186">
        <v>0</v>
      </c>
      <c r="BY49" s="285"/>
      <c r="BZ49" s="286">
        <v>0</v>
      </c>
      <c r="CA49" s="287"/>
      <c r="CB49" s="287"/>
      <c r="CC49" s="287"/>
      <c r="CD49" s="187">
        <v>0</v>
      </c>
      <c r="CE49" s="286">
        <v>0</v>
      </c>
      <c r="CF49" s="287"/>
      <c r="CG49" s="287"/>
      <c r="CH49" s="287"/>
      <c r="CI49" s="187"/>
      <c r="CJ49" s="288"/>
      <c r="CK49" s="288"/>
      <c r="CL49" s="288"/>
      <c r="CM49" s="288"/>
      <c r="CN49" s="288"/>
      <c r="CO49" s="187">
        <v>0</v>
      </c>
      <c r="CP49" s="184"/>
      <c r="CQ49" s="184" t="s">
        <v>488</v>
      </c>
      <c r="CR49" s="280" t="s">
        <v>3040</v>
      </c>
      <c r="CS49" s="280"/>
      <c r="CT49" s="291"/>
      <c r="CU49" s="160"/>
    </row>
    <row r="50" spans="1:99" ht="92.25" outlineLevel="1">
      <c r="A50" s="183">
        <v>3</v>
      </c>
      <c r="B50" s="279" t="s">
        <v>3129</v>
      </c>
      <c r="C50" s="183" t="s">
        <v>3059</v>
      </c>
      <c r="D50" s="183" t="s">
        <v>3130</v>
      </c>
      <c r="E50" s="183" t="s">
        <v>3061</v>
      </c>
      <c r="F50" s="183" t="s">
        <v>49</v>
      </c>
      <c r="G50" s="183" t="s">
        <v>48</v>
      </c>
      <c r="H50" s="423">
        <v>8038185</v>
      </c>
      <c r="I50" s="184" t="s">
        <v>311</v>
      </c>
      <c r="J50" s="183" t="s">
        <v>49</v>
      </c>
      <c r="K50" s="183" t="s">
        <v>3131</v>
      </c>
      <c r="L50" s="183" t="s">
        <v>54</v>
      </c>
      <c r="M50" s="183">
        <v>2023</v>
      </c>
      <c r="N50" s="282"/>
      <c r="O50" s="282" t="s">
        <v>3132</v>
      </c>
      <c r="P50" s="283">
        <v>3487</v>
      </c>
      <c r="Q50" s="283"/>
      <c r="R50" s="283"/>
      <c r="S50" s="283">
        <v>3487</v>
      </c>
      <c r="T50" s="186">
        <v>0</v>
      </c>
      <c r="U50" s="186"/>
      <c r="V50" s="282" t="s">
        <v>3131</v>
      </c>
      <c r="W50" s="282" t="s">
        <v>3115</v>
      </c>
      <c r="X50" s="282" t="s">
        <v>311</v>
      </c>
      <c r="Y50" s="186"/>
      <c r="Z50" s="186"/>
      <c r="AA50" s="186"/>
      <c r="AB50" s="186"/>
      <c r="AC50" s="186">
        <v>3487</v>
      </c>
      <c r="AD50" s="283"/>
      <c r="AE50" s="283"/>
      <c r="AF50" s="186">
        <v>3487</v>
      </c>
      <c r="AG50" s="283">
        <f t="shared" si="25"/>
        <v>987</v>
      </c>
      <c r="AH50" s="283">
        <v>987</v>
      </c>
      <c r="AI50" s="283"/>
      <c r="AJ50" s="186">
        <v>2500</v>
      </c>
      <c r="AK50" s="283"/>
      <c r="AL50" s="186">
        <v>0</v>
      </c>
      <c r="AM50" s="186">
        <v>987</v>
      </c>
      <c r="AN50" s="283"/>
      <c r="AO50" s="283"/>
      <c r="AP50" s="186">
        <v>987</v>
      </c>
      <c r="AQ50" s="283">
        <v>987</v>
      </c>
      <c r="AR50" s="283"/>
      <c r="AS50" s="283"/>
      <c r="AT50" s="283"/>
      <c r="AU50" s="186">
        <v>0</v>
      </c>
      <c r="AV50" s="186">
        <v>987</v>
      </c>
      <c r="AW50" s="283"/>
      <c r="AX50" s="283"/>
      <c r="AY50" s="186">
        <v>987</v>
      </c>
      <c r="AZ50" s="283">
        <v>987</v>
      </c>
      <c r="BA50" s="283"/>
      <c r="BB50" s="283"/>
      <c r="BC50" s="283"/>
      <c r="BD50" s="186">
        <v>0</v>
      </c>
      <c r="BE50" s="186">
        <v>100</v>
      </c>
      <c r="BF50" s="186">
        <v>0</v>
      </c>
      <c r="BG50" s="283"/>
      <c r="BH50" s="283"/>
      <c r="BI50" s="186">
        <v>0</v>
      </c>
      <c r="BJ50" s="283">
        <f t="shared" si="27"/>
        <v>0</v>
      </c>
      <c r="BK50" s="283"/>
      <c r="BL50" s="283"/>
      <c r="BM50" s="283"/>
      <c r="BN50" s="283"/>
      <c r="BO50" s="186">
        <v>0</v>
      </c>
      <c r="BP50" s="284">
        <v>0</v>
      </c>
      <c r="BQ50" s="283"/>
      <c r="BR50" s="283"/>
      <c r="BS50" s="283"/>
      <c r="BT50" s="283"/>
      <c r="BU50" s="283"/>
      <c r="BV50" s="283"/>
      <c r="BW50" s="283"/>
      <c r="BX50" s="186">
        <v>0</v>
      </c>
      <c r="BY50" s="285"/>
      <c r="BZ50" s="286">
        <v>0</v>
      </c>
      <c r="CA50" s="287"/>
      <c r="CB50" s="287"/>
      <c r="CC50" s="287"/>
      <c r="CD50" s="187">
        <v>0</v>
      </c>
      <c r="CE50" s="286">
        <v>0</v>
      </c>
      <c r="CF50" s="287"/>
      <c r="CG50" s="287"/>
      <c r="CH50" s="287"/>
      <c r="CI50" s="187"/>
      <c r="CJ50" s="288"/>
      <c r="CK50" s="288"/>
      <c r="CL50" s="288"/>
      <c r="CM50" s="288"/>
      <c r="CN50" s="288"/>
      <c r="CO50" s="187">
        <v>0</v>
      </c>
      <c r="CP50" s="184"/>
      <c r="CQ50" s="184" t="s">
        <v>488</v>
      </c>
      <c r="CR50" s="280"/>
      <c r="CS50" s="280"/>
      <c r="CT50" s="291"/>
      <c r="CU50" s="160"/>
    </row>
    <row r="51" spans="1:99" ht="72" customHeight="1" outlineLevel="1">
      <c r="A51" s="183">
        <v>4</v>
      </c>
      <c r="B51" s="279" t="s">
        <v>3133</v>
      </c>
      <c r="C51" s="183" t="s">
        <v>3059</v>
      </c>
      <c r="D51" s="183" t="s">
        <v>3134</v>
      </c>
      <c r="E51" s="183" t="s">
        <v>3061</v>
      </c>
      <c r="F51" s="183" t="s">
        <v>49</v>
      </c>
      <c r="G51" s="183" t="s">
        <v>48</v>
      </c>
      <c r="H51" s="423">
        <v>8014393</v>
      </c>
      <c r="I51" s="184" t="s">
        <v>311</v>
      </c>
      <c r="J51" s="183" t="s">
        <v>49</v>
      </c>
      <c r="K51" s="183" t="s">
        <v>3122</v>
      </c>
      <c r="L51" s="183" t="s">
        <v>910</v>
      </c>
      <c r="M51" s="183">
        <v>2023</v>
      </c>
      <c r="N51" s="282"/>
      <c r="O51" s="282" t="s">
        <v>3135</v>
      </c>
      <c r="P51" s="283">
        <v>4823</v>
      </c>
      <c r="Q51" s="283"/>
      <c r="R51" s="283"/>
      <c r="S51" s="283">
        <v>4823</v>
      </c>
      <c r="T51" s="186">
        <v>0</v>
      </c>
      <c r="U51" s="186"/>
      <c r="V51" s="282" t="s">
        <v>3122</v>
      </c>
      <c r="W51" s="282" t="s">
        <v>3115</v>
      </c>
      <c r="X51" s="282" t="s">
        <v>311</v>
      </c>
      <c r="Y51" s="186"/>
      <c r="Z51" s="186"/>
      <c r="AA51" s="186"/>
      <c r="AB51" s="186"/>
      <c r="AC51" s="186">
        <f t="shared" ref="AC51" si="190">AD51+AE51+AF51</f>
        <v>4823</v>
      </c>
      <c r="AD51" s="283"/>
      <c r="AE51" s="283"/>
      <c r="AF51" s="186">
        <f t="shared" ref="AF51" si="191">SUM(AH51:AK51)</f>
        <v>4823</v>
      </c>
      <c r="AG51" s="283">
        <f t="shared" si="25"/>
        <v>4823</v>
      </c>
      <c r="AH51" s="283">
        <v>4823</v>
      </c>
      <c r="AI51" s="283"/>
      <c r="AJ51" s="283"/>
      <c r="AK51" s="283"/>
      <c r="AL51" s="186">
        <v>0</v>
      </c>
      <c r="AM51" s="186">
        <f t="shared" ref="AM51" si="192">AN51+AO51+AP51</f>
        <v>4823</v>
      </c>
      <c r="AN51" s="283"/>
      <c r="AO51" s="283"/>
      <c r="AP51" s="186">
        <f t="shared" ref="AP51" si="193">SUM(AQ51:AT51)</f>
        <v>4823</v>
      </c>
      <c r="AQ51" s="283">
        <v>4823</v>
      </c>
      <c r="AR51" s="283"/>
      <c r="AS51" s="283"/>
      <c r="AT51" s="283"/>
      <c r="AU51" s="186">
        <v>0</v>
      </c>
      <c r="AV51" s="186">
        <f t="shared" ref="AV51" si="194">AW51+AX51+AY51</f>
        <v>4823</v>
      </c>
      <c r="AW51" s="283"/>
      <c r="AX51" s="283"/>
      <c r="AY51" s="186">
        <f t="shared" ref="AY51" si="195">SUM(AZ51:BC51)</f>
        <v>4823</v>
      </c>
      <c r="AZ51" s="283">
        <v>4823</v>
      </c>
      <c r="BA51" s="283"/>
      <c r="BB51" s="283"/>
      <c r="BC51" s="283"/>
      <c r="BD51" s="186">
        <v>0</v>
      </c>
      <c r="BE51" s="186">
        <f t="shared" ref="BE51" si="196">AV51/AM51*100</f>
        <v>100</v>
      </c>
      <c r="BF51" s="186">
        <f t="shared" ref="BF51" si="197">BG51+BH51+BI51</f>
        <v>0</v>
      </c>
      <c r="BG51" s="283"/>
      <c r="BH51" s="283"/>
      <c r="BI51" s="186">
        <f t="shared" ref="BI51" si="198">SUM(BK51:BN51)</f>
        <v>0</v>
      </c>
      <c r="BJ51" s="283">
        <f t="shared" si="27"/>
        <v>0</v>
      </c>
      <c r="BK51" s="283"/>
      <c r="BL51" s="283"/>
      <c r="BM51" s="283"/>
      <c r="BN51" s="283"/>
      <c r="BO51" s="186">
        <v>0</v>
      </c>
      <c r="BP51" s="284">
        <f t="shared" ref="BP51" si="199">BQ51+BR51+BS51</f>
        <v>0</v>
      </c>
      <c r="BQ51" s="283"/>
      <c r="BR51" s="283"/>
      <c r="BS51" s="283"/>
      <c r="BT51" s="283"/>
      <c r="BU51" s="283"/>
      <c r="BV51" s="283"/>
      <c r="BW51" s="283"/>
      <c r="BX51" s="186">
        <v>0</v>
      </c>
      <c r="BY51" s="285"/>
      <c r="BZ51" s="286">
        <f t="shared" ref="BZ51" si="200">CA51+CC51+CD51</f>
        <v>0</v>
      </c>
      <c r="CA51" s="287"/>
      <c r="CB51" s="287"/>
      <c r="CC51" s="287"/>
      <c r="CD51" s="187">
        <v>0</v>
      </c>
      <c r="CE51" s="286">
        <f t="shared" ref="CE51" si="201">CF51+CH51+CI51</f>
        <v>0</v>
      </c>
      <c r="CF51" s="287"/>
      <c r="CG51" s="287"/>
      <c r="CH51" s="287"/>
      <c r="CI51" s="187"/>
      <c r="CJ51" s="288"/>
      <c r="CK51" s="288"/>
      <c r="CL51" s="288"/>
      <c r="CM51" s="288"/>
      <c r="CN51" s="288"/>
      <c r="CO51" s="187">
        <f t="shared" ref="CO51" si="202">BF51-BP51</f>
        <v>0</v>
      </c>
      <c r="CP51" s="184"/>
      <c r="CQ51" s="184" t="s">
        <v>488</v>
      </c>
      <c r="CR51" s="280"/>
      <c r="CS51" s="280"/>
      <c r="CT51" s="487"/>
      <c r="CU51" s="167"/>
    </row>
    <row r="52" spans="1:99" ht="61.5" outlineLevel="1">
      <c r="A52" s="183">
        <v>5</v>
      </c>
      <c r="B52" s="313" t="s">
        <v>3136</v>
      </c>
      <c r="C52" s="183" t="s">
        <v>304</v>
      </c>
      <c r="D52" s="184" t="s">
        <v>3120</v>
      </c>
      <c r="E52" s="183" t="s">
        <v>3061</v>
      </c>
      <c r="F52" s="183" t="s">
        <v>49</v>
      </c>
      <c r="G52" s="183" t="s">
        <v>48</v>
      </c>
      <c r="H52" s="492" t="s">
        <v>3121</v>
      </c>
      <c r="I52" s="184" t="s">
        <v>311</v>
      </c>
      <c r="J52" s="183" t="s">
        <v>49</v>
      </c>
      <c r="K52" s="183" t="s">
        <v>3122</v>
      </c>
      <c r="L52" s="183" t="s">
        <v>73</v>
      </c>
      <c r="M52" s="183">
        <v>2021</v>
      </c>
      <c r="N52" s="282"/>
      <c r="O52" s="282" t="s">
        <v>3123</v>
      </c>
      <c r="P52" s="186">
        <v>15663.463</v>
      </c>
      <c r="Q52" s="186"/>
      <c r="R52" s="186"/>
      <c r="S52" s="186">
        <v>15663.463</v>
      </c>
      <c r="T52" s="186">
        <v>0</v>
      </c>
      <c r="U52" s="186"/>
      <c r="V52" s="282" t="s">
        <v>3122</v>
      </c>
      <c r="W52" s="282" t="s">
        <v>3115</v>
      </c>
      <c r="X52" s="282" t="s">
        <v>311</v>
      </c>
      <c r="Y52" s="186"/>
      <c r="Z52" s="186"/>
      <c r="AA52" s="186"/>
      <c r="AB52" s="186"/>
      <c r="AC52" s="186">
        <v>14809</v>
      </c>
      <c r="AD52" s="186"/>
      <c r="AE52" s="186"/>
      <c r="AF52" s="186">
        <v>14809</v>
      </c>
      <c r="AG52" s="283">
        <f t="shared" si="25"/>
        <v>0</v>
      </c>
      <c r="AH52" s="186"/>
      <c r="AI52" s="186"/>
      <c r="AJ52" s="186">
        <v>14809</v>
      </c>
      <c r="AK52" s="186"/>
      <c r="AL52" s="186">
        <v>0</v>
      </c>
      <c r="AM52" s="186">
        <v>14809</v>
      </c>
      <c r="AN52" s="186"/>
      <c r="AO52" s="186"/>
      <c r="AP52" s="186">
        <v>14809</v>
      </c>
      <c r="AQ52" s="186"/>
      <c r="AR52" s="186"/>
      <c r="AS52" s="186">
        <v>14809</v>
      </c>
      <c r="AT52" s="186"/>
      <c r="AU52" s="186">
        <v>0</v>
      </c>
      <c r="AV52" s="186">
        <v>14809</v>
      </c>
      <c r="AW52" s="186"/>
      <c r="AX52" s="186"/>
      <c r="AY52" s="186">
        <v>14809</v>
      </c>
      <c r="AZ52" s="186"/>
      <c r="BA52" s="186"/>
      <c r="BB52" s="186">
        <v>14809</v>
      </c>
      <c r="BC52" s="186"/>
      <c r="BD52" s="186">
        <v>0</v>
      </c>
      <c r="BE52" s="186">
        <v>100</v>
      </c>
      <c r="BF52" s="186">
        <v>0</v>
      </c>
      <c r="BG52" s="186"/>
      <c r="BH52" s="186"/>
      <c r="BI52" s="186">
        <v>0</v>
      </c>
      <c r="BJ52" s="283">
        <f t="shared" si="27"/>
        <v>0</v>
      </c>
      <c r="BK52" s="186"/>
      <c r="BL52" s="186"/>
      <c r="BM52" s="186"/>
      <c r="BN52" s="186"/>
      <c r="BO52" s="186">
        <v>0</v>
      </c>
      <c r="BP52" s="284">
        <v>0</v>
      </c>
      <c r="BQ52" s="186"/>
      <c r="BR52" s="186"/>
      <c r="BS52" s="186"/>
      <c r="BT52" s="186"/>
      <c r="BU52" s="186"/>
      <c r="BV52" s="186"/>
      <c r="BW52" s="186"/>
      <c r="BX52" s="186">
        <v>0</v>
      </c>
      <c r="BY52" s="285"/>
      <c r="BZ52" s="286">
        <v>0</v>
      </c>
      <c r="CA52" s="187"/>
      <c r="CB52" s="187"/>
      <c r="CC52" s="187"/>
      <c r="CD52" s="187">
        <v>0</v>
      </c>
      <c r="CE52" s="286">
        <v>0</v>
      </c>
      <c r="CF52" s="187"/>
      <c r="CG52" s="187"/>
      <c r="CH52" s="187"/>
      <c r="CI52" s="187"/>
      <c r="CJ52" s="288"/>
      <c r="CK52" s="288"/>
      <c r="CL52" s="288"/>
      <c r="CM52" s="288"/>
      <c r="CN52" s="288"/>
      <c r="CO52" s="187">
        <v>0</v>
      </c>
      <c r="CP52" s="184"/>
      <c r="CQ52" s="184" t="s">
        <v>488</v>
      </c>
      <c r="CR52" s="304"/>
      <c r="CS52" s="304"/>
      <c r="CT52" s="291"/>
      <c r="CU52" s="160"/>
    </row>
    <row r="53" spans="1:99" ht="61.5" outlineLevel="1">
      <c r="A53" s="183">
        <v>6</v>
      </c>
      <c r="B53" s="313" t="s">
        <v>3137</v>
      </c>
      <c r="C53" s="183" t="s">
        <v>304</v>
      </c>
      <c r="D53" s="281" t="s">
        <v>3138</v>
      </c>
      <c r="E53" s="183" t="s">
        <v>3061</v>
      </c>
      <c r="F53" s="183" t="s">
        <v>49</v>
      </c>
      <c r="G53" s="183" t="s">
        <v>48</v>
      </c>
      <c r="H53" s="183"/>
      <c r="I53" s="184" t="s">
        <v>311</v>
      </c>
      <c r="J53" s="183" t="s">
        <v>49</v>
      </c>
      <c r="K53" s="183" t="s">
        <v>3113</v>
      </c>
      <c r="L53" s="183">
        <v>2021</v>
      </c>
      <c r="M53" s="183">
        <v>2021</v>
      </c>
      <c r="N53" s="282"/>
      <c r="O53" s="282" t="s">
        <v>3139</v>
      </c>
      <c r="P53" s="186">
        <v>1574.4780000000001</v>
      </c>
      <c r="Q53" s="186"/>
      <c r="R53" s="186"/>
      <c r="S53" s="186">
        <v>1525.6090000000002</v>
      </c>
      <c r="T53" s="186">
        <v>48.868999999999915</v>
      </c>
      <c r="U53" s="186"/>
      <c r="V53" s="282" t="s">
        <v>3113</v>
      </c>
      <c r="W53" s="282" t="s">
        <v>3115</v>
      </c>
      <c r="X53" s="282" t="s">
        <v>311</v>
      </c>
      <c r="Y53" s="186"/>
      <c r="Z53" s="186"/>
      <c r="AA53" s="186"/>
      <c r="AB53" s="186"/>
      <c r="AC53" s="186">
        <v>1525.6090000000002</v>
      </c>
      <c r="AD53" s="186"/>
      <c r="AE53" s="186"/>
      <c r="AF53" s="186">
        <v>1525.6090000000002</v>
      </c>
      <c r="AG53" s="283">
        <f t="shared" si="25"/>
        <v>0</v>
      </c>
      <c r="AH53" s="186"/>
      <c r="AI53" s="186"/>
      <c r="AJ53" s="186">
        <v>1525.6090000000002</v>
      </c>
      <c r="AK53" s="186"/>
      <c r="AL53" s="186">
        <v>48.868999999999915</v>
      </c>
      <c r="AM53" s="186">
        <v>1525.6090000000002</v>
      </c>
      <c r="AN53" s="186"/>
      <c r="AO53" s="186"/>
      <c r="AP53" s="186">
        <v>1525.6090000000002</v>
      </c>
      <c r="AQ53" s="186"/>
      <c r="AR53" s="186"/>
      <c r="AS53" s="186">
        <v>1525.6090000000002</v>
      </c>
      <c r="AT53" s="186"/>
      <c r="AU53" s="186">
        <v>48.868999999999915</v>
      </c>
      <c r="AV53" s="186">
        <v>1525.6090000000002</v>
      </c>
      <c r="AW53" s="186"/>
      <c r="AX53" s="186"/>
      <c r="AY53" s="186">
        <v>1525.6090000000002</v>
      </c>
      <c r="AZ53" s="186"/>
      <c r="BA53" s="186"/>
      <c r="BB53" s="186">
        <v>1525.6090000000002</v>
      </c>
      <c r="BC53" s="186"/>
      <c r="BD53" s="186">
        <v>48.868999999999915</v>
      </c>
      <c r="BE53" s="186">
        <v>100</v>
      </c>
      <c r="BF53" s="186">
        <v>0</v>
      </c>
      <c r="BG53" s="186"/>
      <c r="BH53" s="186"/>
      <c r="BI53" s="186">
        <v>0</v>
      </c>
      <c r="BJ53" s="283">
        <f t="shared" si="27"/>
        <v>0</v>
      </c>
      <c r="BK53" s="186"/>
      <c r="BL53" s="186"/>
      <c r="BM53" s="186"/>
      <c r="BN53" s="186"/>
      <c r="BO53" s="186"/>
      <c r="BP53" s="284">
        <v>0</v>
      </c>
      <c r="BQ53" s="186"/>
      <c r="BR53" s="186"/>
      <c r="BS53" s="186"/>
      <c r="BT53" s="186"/>
      <c r="BU53" s="186"/>
      <c r="BV53" s="186"/>
      <c r="BW53" s="186"/>
      <c r="BX53" s="186"/>
      <c r="BY53" s="285"/>
      <c r="BZ53" s="286">
        <v>0</v>
      </c>
      <c r="CA53" s="187"/>
      <c r="CB53" s="187"/>
      <c r="CC53" s="187"/>
      <c r="CD53" s="187"/>
      <c r="CE53" s="286">
        <v>0</v>
      </c>
      <c r="CF53" s="187"/>
      <c r="CG53" s="187"/>
      <c r="CH53" s="187"/>
      <c r="CI53" s="187"/>
      <c r="CJ53" s="288"/>
      <c r="CK53" s="288"/>
      <c r="CL53" s="288"/>
      <c r="CM53" s="288"/>
      <c r="CN53" s="288"/>
      <c r="CO53" s="187">
        <v>0</v>
      </c>
      <c r="CP53" s="184"/>
      <c r="CQ53" s="184" t="s">
        <v>488</v>
      </c>
      <c r="CR53" s="304"/>
      <c r="CS53" s="304"/>
      <c r="CT53" s="291"/>
      <c r="CU53" s="160"/>
    </row>
    <row r="54" spans="1:99" ht="67.5" customHeight="1" outlineLevel="1">
      <c r="A54" s="183">
        <v>7</v>
      </c>
      <c r="B54" s="279" t="s">
        <v>3140</v>
      </c>
      <c r="C54" s="183" t="s">
        <v>304</v>
      </c>
      <c r="D54" s="281" t="s">
        <v>3141</v>
      </c>
      <c r="E54" s="183" t="s">
        <v>3061</v>
      </c>
      <c r="F54" s="183" t="s">
        <v>49</v>
      </c>
      <c r="G54" s="183" t="s">
        <v>3142</v>
      </c>
      <c r="H54" s="183"/>
      <c r="I54" s="184" t="s">
        <v>311</v>
      </c>
      <c r="J54" s="183" t="s">
        <v>49</v>
      </c>
      <c r="K54" s="183" t="s">
        <v>3113</v>
      </c>
      <c r="L54" s="183">
        <v>2021</v>
      </c>
      <c r="M54" s="183">
        <v>2021</v>
      </c>
      <c r="N54" s="282"/>
      <c r="O54" s="282" t="s">
        <v>3143</v>
      </c>
      <c r="P54" s="186">
        <v>1658.8530000000001</v>
      </c>
      <c r="Q54" s="186"/>
      <c r="R54" s="186"/>
      <c r="S54" s="186">
        <v>1580</v>
      </c>
      <c r="T54" s="186">
        <v>78.853000000000065</v>
      </c>
      <c r="U54" s="186"/>
      <c r="V54" s="282" t="s">
        <v>3113</v>
      </c>
      <c r="W54" s="282" t="s">
        <v>3115</v>
      </c>
      <c r="X54" s="282" t="s">
        <v>311</v>
      </c>
      <c r="Y54" s="186"/>
      <c r="Z54" s="186"/>
      <c r="AA54" s="186"/>
      <c r="AB54" s="186"/>
      <c r="AC54" s="186">
        <v>1580</v>
      </c>
      <c r="AD54" s="186"/>
      <c r="AE54" s="186"/>
      <c r="AF54" s="186">
        <v>1580</v>
      </c>
      <c r="AG54" s="283">
        <f t="shared" si="25"/>
        <v>0</v>
      </c>
      <c r="AH54" s="186"/>
      <c r="AI54" s="186"/>
      <c r="AJ54" s="186">
        <v>1580</v>
      </c>
      <c r="AK54" s="186"/>
      <c r="AL54" s="186">
        <v>78.853000000000065</v>
      </c>
      <c r="AM54" s="186">
        <v>1580</v>
      </c>
      <c r="AN54" s="186"/>
      <c r="AO54" s="186"/>
      <c r="AP54" s="186">
        <v>1580</v>
      </c>
      <c r="AQ54" s="186"/>
      <c r="AR54" s="186"/>
      <c r="AS54" s="186">
        <v>1580</v>
      </c>
      <c r="AT54" s="186"/>
      <c r="AU54" s="186">
        <v>78.853000000000065</v>
      </c>
      <c r="AV54" s="186">
        <v>1580</v>
      </c>
      <c r="AW54" s="186"/>
      <c r="AX54" s="186"/>
      <c r="AY54" s="186">
        <v>1580</v>
      </c>
      <c r="AZ54" s="186"/>
      <c r="BA54" s="186"/>
      <c r="BB54" s="186">
        <v>1580</v>
      </c>
      <c r="BC54" s="186"/>
      <c r="BD54" s="186">
        <v>78.853000000000065</v>
      </c>
      <c r="BE54" s="186">
        <v>100</v>
      </c>
      <c r="BF54" s="186">
        <v>0</v>
      </c>
      <c r="BG54" s="186"/>
      <c r="BH54" s="186"/>
      <c r="BI54" s="186">
        <v>0</v>
      </c>
      <c r="BJ54" s="283">
        <f t="shared" si="27"/>
        <v>0</v>
      </c>
      <c r="BK54" s="186"/>
      <c r="BL54" s="186"/>
      <c r="BM54" s="186"/>
      <c r="BN54" s="186"/>
      <c r="BO54" s="186"/>
      <c r="BP54" s="284">
        <v>0</v>
      </c>
      <c r="BQ54" s="284"/>
      <c r="BR54" s="284"/>
      <c r="BS54" s="284"/>
      <c r="BT54" s="284"/>
      <c r="BU54" s="284"/>
      <c r="BV54" s="284"/>
      <c r="BW54" s="284"/>
      <c r="BX54" s="186"/>
      <c r="BY54" s="285"/>
      <c r="BZ54" s="286">
        <v>0</v>
      </c>
      <c r="CA54" s="286"/>
      <c r="CB54" s="286"/>
      <c r="CC54" s="286"/>
      <c r="CD54" s="187"/>
      <c r="CE54" s="286">
        <v>0</v>
      </c>
      <c r="CF54" s="286"/>
      <c r="CG54" s="286"/>
      <c r="CH54" s="286"/>
      <c r="CI54" s="187"/>
      <c r="CJ54" s="288"/>
      <c r="CK54" s="288"/>
      <c r="CL54" s="288"/>
      <c r="CM54" s="288"/>
      <c r="CN54" s="288"/>
      <c r="CO54" s="187">
        <v>0</v>
      </c>
      <c r="CP54" s="184"/>
      <c r="CQ54" s="184" t="s">
        <v>488</v>
      </c>
      <c r="CR54" s="304"/>
      <c r="CS54" s="304"/>
      <c r="CT54" s="291"/>
      <c r="CU54" s="160"/>
    </row>
    <row r="55" spans="1:99" ht="61.5" outlineLevel="1">
      <c r="A55" s="183">
        <v>8</v>
      </c>
      <c r="B55" s="279" t="s">
        <v>3144</v>
      </c>
      <c r="C55" s="183" t="s">
        <v>304</v>
      </c>
      <c r="D55" s="183" t="s">
        <v>3145</v>
      </c>
      <c r="E55" s="183" t="s">
        <v>3061</v>
      </c>
      <c r="F55" s="183" t="s">
        <v>49</v>
      </c>
      <c r="G55" s="183" t="s">
        <v>3142</v>
      </c>
      <c r="H55" s="183"/>
      <c r="I55" s="184" t="s">
        <v>311</v>
      </c>
      <c r="J55" s="183" t="s">
        <v>49</v>
      </c>
      <c r="K55" s="183" t="s">
        <v>3113</v>
      </c>
      <c r="L55" s="183">
        <v>2021</v>
      </c>
      <c r="M55" s="183">
        <v>2021</v>
      </c>
      <c r="N55" s="282"/>
      <c r="O55" s="282" t="s">
        <v>3146</v>
      </c>
      <c r="P55" s="186">
        <v>1135</v>
      </c>
      <c r="Q55" s="186"/>
      <c r="R55" s="186"/>
      <c r="S55" s="186">
        <v>1135</v>
      </c>
      <c r="T55" s="186">
        <v>0</v>
      </c>
      <c r="U55" s="186"/>
      <c r="V55" s="282" t="s">
        <v>3113</v>
      </c>
      <c r="W55" s="282" t="s">
        <v>3115</v>
      </c>
      <c r="X55" s="282" t="s">
        <v>311</v>
      </c>
      <c r="Y55" s="186"/>
      <c r="Z55" s="186"/>
      <c r="AA55" s="186"/>
      <c r="AB55" s="186"/>
      <c r="AC55" s="186">
        <v>1135</v>
      </c>
      <c r="AD55" s="186"/>
      <c r="AE55" s="186"/>
      <c r="AF55" s="186">
        <v>1135</v>
      </c>
      <c r="AG55" s="283">
        <f t="shared" si="25"/>
        <v>0</v>
      </c>
      <c r="AH55" s="186"/>
      <c r="AI55" s="186"/>
      <c r="AJ55" s="186">
        <v>1135</v>
      </c>
      <c r="AK55" s="186"/>
      <c r="AL55" s="186">
        <v>0</v>
      </c>
      <c r="AM55" s="186">
        <v>1135</v>
      </c>
      <c r="AN55" s="186"/>
      <c r="AO55" s="186"/>
      <c r="AP55" s="186">
        <v>1135</v>
      </c>
      <c r="AQ55" s="186"/>
      <c r="AR55" s="186"/>
      <c r="AS55" s="186">
        <v>1135</v>
      </c>
      <c r="AT55" s="186"/>
      <c r="AU55" s="186">
        <v>0</v>
      </c>
      <c r="AV55" s="186">
        <v>1135</v>
      </c>
      <c r="AW55" s="186"/>
      <c r="AX55" s="186"/>
      <c r="AY55" s="186">
        <v>1135</v>
      </c>
      <c r="AZ55" s="186"/>
      <c r="BA55" s="186"/>
      <c r="BB55" s="186">
        <v>1135</v>
      </c>
      <c r="BC55" s="186"/>
      <c r="BD55" s="186">
        <v>0</v>
      </c>
      <c r="BE55" s="186">
        <v>100</v>
      </c>
      <c r="BF55" s="186">
        <v>0</v>
      </c>
      <c r="BG55" s="186"/>
      <c r="BH55" s="186"/>
      <c r="BI55" s="186">
        <v>0</v>
      </c>
      <c r="BJ55" s="283">
        <f t="shared" si="27"/>
        <v>0</v>
      </c>
      <c r="BK55" s="186"/>
      <c r="BL55" s="186"/>
      <c r="BM55" s="186"/>
      <c r="BN55" s="186"/>
      <c r="BO55" s="186">
        <v>0</v>
      </c>
      <c r="BP55" s="284">
        <v>0</v>
      </c>
      <c r="BQ55" s="284"/>
      <c r="BR55" s="284"/>
      <c r="BS55" s="284"/>
      <c r="BT55" s="284"/>
      <c r="BU55" s="284"/>
      <c r="BV55" s="284"/>
      <c r="BW55" s="284"/>
      <c r="BX55" s="186">
        <v>0</v>
      </c>
      <c r="BY55" s="285"/>
      <c r="BZ55" s="286">
        <v>0</v>
      </c>
      <c r="CA55" s="286"/>
      <c r="CB55" s="286"/>
      <c r="CC55" s="286"/>
      <c r="CD55" s="187">
        <v>0</v>
      </c>
      <c r="CE55" s="286">
        <v>0</v>
      </c>
      <c r="CF55" s="286"/>
      <c r="CG55" s="286"/>
      <c r="CH55" s="286"/>
      <c r="CI55" s="187"/>
      <c r="CJ55" s="288"/>
      <c r="CK55" s="288"/>
      <c r="CL55" s="288"/>
      <c r="CM55" s="288"/>
      <c r="CN55" s="288"/>
      <c r="CO55" s="187">
        <v>0</v>
      </c>
      <c r="CP55" s="184"/>
      <c r="CQ55" s="184" t="s">
        <v>488</v>
      </c>
      <c r="CR55" s="304"/>
      <c r="CS55" s="304"/>
      <c r="CT55" s="291"/>
      <c r="CU55" s="160"/>
    </row>
    <row r="56" spans="1:99" ht="64.5" customHeight="1" outlineLevel="1">
      <c r="A56" s="183">
        <v>9</v>
      </c>
      <c r="B56" s="279" t="s">
        <v>3147</v>
      </c>
      <c r="C56" s="183" t="s">
        <v>304</v>
      </c>
      <c r="D56" s="281" t="s">
        <v>3148</v>
      </c>
      <c r="E56" s="183" t="s">
        <v>3061</v>
      </c>
      <c r="F56" s="183" t="s">
        <v>49</v>
      </c>
      <c r="G56" s="183" t="s">
        <v>48</v>
      </c>
      <c r="H56" s="183"/>
      <c r="I56" s="184" t="s">
        <v>311</v>
      </c>
      <c r="J56" s="183" t="s">
        <v>49</v>
      </c>
      <c r="K56" s="183" t="s">
        <v>3113</v>
      </c>
      <c r="L56" s="183" t="s">
        <v>73</v>
      </c>
      <c r="M56" s="183">
        <v>2021</v>
      </c>
      <c r="N56" s="282"/>
      <c r="O56" s="282" t="s">
        <v>3149</v>
      </c>
      <c r="P56" s="186">
        <v>303</v>
      </c>
      <c r="Q56" s="186"/>
      <c r="R56" s="186"/>
      <c r="S56" s="186">
        <v>303</v>
      </c>
      <c r="T56" s="186">
        <v>0</v>
      </c>
      <c r="U56" s="186"/>
      <c r="V56" s="282" t="s">
        <v>3113</v>
      </c>
      <c r="W56" s="282" t="s">
        <v>3115</v>
      </c>
      <c r="X56" s="282" t="s">
        <v>311</v>
      </c>
      <c r="Y56" s="186"/>
      <c r="Z56" s="186"/>
      <c r="AA56" s="186"/>
      <c r="AB56" s="186"/>
      <c r="AC56" s="186">
        <v>303</v>
      </c>
      <c r="AD56" s="186"/>
      <c r="AE56" s="186"/>
      <c r="AF56" s="186">
        <v>303</v>
      </c>
      <c r="AG56" s="283">
        <f t="shared" si="25"/>
        <v>0</v>
      </c>
      <c r="AH56" s="186"/>
      <c r="AI56" s="186"/>
      <c r="AJ56" s="186">
        <v>303</v>
      </c>
      <c r="AK56" s="186"/>
      <c r="AL56" s="186">
        <v>0</v>
      </c>
      <c r="AM56" s="186">
        <v>303</v>
      </c>
      <c r="AN56" s="186"/>
      <c r="AO56" s="186"/>
      <c r="AP56" s="186">
        <v>303</v>
      </c>
      <c r="AQ56" s="186"/>
      <c r="AR56" s="186"/>
      <c r="AS56" s="186">
        <v>303</v>
      </c>
      <c r="AT56" s="186"/>
      <c r="AU56" s="186">
        <v>0</v>
      </c>
      <c r="AV56" s="186">
        <v>303</v>
      </c>
      <c r="AW56" s="186"/>
      <c r="AX56" s="186"/>
      <c r="AY56" s="186">
        <v>303</v>
      </c>
      <c r="AZ56" s="186"/>
      <c r="BA56" s="186"/>
      <c r="BB56" s="186">
        <v>303</v>
      </c>
      <c r="BC56" s="186"/>
      <c r="BD56" s="186">
        <v>0</v>
      </c>
      <c r="BE56" s="186">
        <v>100</v>
      </c>
      <c r="BF56" s="186">
        <v>0</v>
      </c>
      <c r="BG56" s="186"/>
      <c r="BH56" s="186"/>
      <c r="BI56" s="186">
        <v>0</v>
      </c>
      <c r="BJ56" s="283">
        <f t="shared" si="27"/>
        <v>0</v>
      </c>
      <c r="BK56" s="186"/>
      <c r="BL56" s="186"/>
      <c r="BM56" s="186"/>
      <c r="BN56" s="186"/>
      <c r="BO56" s="186">
        <v>0</v>
      </c>
      <c r="BP56" s="284">
        <v>0</v>
      </c>
      <c r="BQ56" s="284"/>
      <c r="BR56" s="284"/>
      <c r="BS56" s="284"/>
      <c r="BT56" s="284"/>
      <c r="BU56" s="284"/>
      <c r="BV56" s="284"/>
      <c r="BW56" s="284"/>
      <c r="BX56" s="186">
        <v>0</v>
      </c>
      <c r="BY56" s="285"/>
      <c r="BZ56" s="286">
        <v>0</v>
      </c>
      <c r="CA56" s="286"/>
      <c r="CB56" s="286"/>
      <c r="CC56" s="286"/>
      <c r="CD56" s="187">
        <v>0</v>
      </c>
      <c r="CE56" s="286">
        <v>0</v>
      </c>
      <c r="CF56" s="286"/>
      <c r="CG56" s="286"/>
      <c r="CH56" s="286"/>
      <c r="CI56" s="187"/>
      <c r="CJ56" s="288"/>
      <c r="CK56" s="288"/>
      <c r="CL56" s="288"/>
      <c r="CM56" s="288"/>
      <c r="CN56" s="288"/>
      <c r="CO56" s="187">
        <v>0</v>
      </c>
      <c r="CP56" s="184"/>
      <c r="CQ56" s="184" t="s">
        <v>488</v>
      </c>
      <c r="CR56" s="304"/>
      <c r="CS56" s="304"/>
      <c r="CT56" s="291"/>
      <c r="CU56" s="160"/>
    </row>
    <row r="57" spans="1:99" ht="61.5" outlineLevel="1">
      <c r="A57" s="183">
        <v>10</v>
      </c>
      <c r="B57" s="315" t="s">
        <v>3150</v>
      </c>
      <c r="C57" s="183" t="s">
        <v>304</v>
      </c>
      <c r="D57" s="280" t="s">
        <v>3151</v>
      </c>
      <c r="E57" s="183" t="s">
        <v>68</v>
      </c>
      <c r="F57" s="183" t="s">
        <v>49</v>
      </c>
      <c r="G57" s="183" t="s">
        <v>916</v>
      </c>
      <c r="H57" s="183"/>
      <c r="I57" s="184" t="s">
        <v>311</v>
      </c>
      <c r="J57" s="183" t="s">
        <v>49</v>
      </c>
      <c r="K57" s="183" t="s">
        <v>3113</v>
      </c>
      <c r="L57" s="183" t="s">
        <v>73</v>
      </c>
      <c r="M57" s="183">
        <v>2021</v>
      </c>
      <c r="N57" s="282"/>
      <c r="O57" s="282" t="s">
        <v>3152</v>
      </c>
      <c r="P57" s="186">
        <v>1693.8230000000001</v>
      </c>
      <c r="Q57" s="186"/>
      <c r="R57" s="186"/>
      <c r="S57" s="186">
        <v>1693.8230000000001</v>
      </c>
      <c r="T57" s="186">
        <v>0</v>
      </c>
      <c r="U57" s="186"/>
      <c r="V57" s="282" t="s">
        <v>3113</v>
      </c>
      <c r="W57" s="282" t="s">
        <v>3115</v>
      </c>
      <c r="X57" s="282" t="s">
        <v>311</v>
      </c>
      <c r="Y57" s="186"/>
      <c r="Z57" s="186"/>
      <c r="AA57" s="186"/>
      <c r="AB57" s="186"/>
      <c r="AC57" s="186">
        <v>1693.8230000000001</v>
      </c>
      <c r="AD57" s="186"/>
      <c r="AE57" s="186"/>
      <c r="AF57" s="186">
        <v>1693.8230000000001</v>
      </c>
      <c r="AG57" s="283">
        <f t="shared" si="25"/>
        <v>0</v>
      </c>
      <c r="AH57" s="186"/>
      <c r="AI57" s="186"/>
      <c r="AJ57" s="186">
        <v>1693.8230000000001</v>
      </c>
      <c r="AK57" s="186"/>
      <c r="AL57" s="186">
        <v>0</v>
      </c>
      <c r="AM57" s="186">
        <v>1693.8230000000001</v>
      </c>
      <c r="AN57" s="186"/>
      <c r="AO57" s="186"/>
      <c r="AP57" s="186">
        <v>1693.8230000000001</v>
      </c>
      <c r="AQ57" s="186"/>
      <c r="AR57" s="186"/>
      <c r="AS57" s="186">
        <v>1693.8230000000001</v>
      </c>
      <c r="AT57" s="186"/>
      <c r="AU57" s="186">
        <v>0</v>
      </c>
      <c r="AV57" s="186">
        <v>1693.8230000000001</v>
      </c>
      <c r="AW57" s="186"/>
      <c r="AX57" s="186"/>
      <c r="AY57" s="186">
        <v>1693.8230000000001</v>
      </c>
      <c r="AZ57" s="186"/>
      <c r="BA57" s="186"/>
      <c r="BB57" s="186">
        <v>1693.8230000000001</v>
      </c>
      <c r="BC57" s="186"/>
      <c r="BD57" s="186">
        <v>0</v>
      </c>
      <c r="BE57" s="186">
        <v>100</v>
      </c>
      <c r="BF57" s="186">
        <v>0</v>
      </c>
      <c r="BG57" s="186"/>
      <c r="BH57" s="186"/>
      <c r="BI57" s="186">
        <v>0</v>
      </c>
      <c r="BJ57" s="283">
        <f t="shared" si="27"/>
        <v>0</v>
      </c>
      <c r="BK57" s="186"/>
      <c r="BL57" s="186"/>
      <c r="BM57" s="186"/>
      <c r="BN57" s="186"/>
      <c r="BO57" s="186">
        <v>0</v>
      </c>
      <c r="BP57" s="284">
        <v>0</v>
      </c>
      <c r="BQ57" s="284"/>
      <c r="BR57" s="284"/>
      <c r="BS57" s="284"/>
      <c r="BT57" s="284"/>
      <c r="BU57" s="284"/>
      <c r="BV57" s="284"/>
      <c r="BW57" s="284"/>
      <c r="BX57" s="186">
        <v>0</v>
      </c>
      <c r="BY57" s="285"/>
      <c r="BZ57" s="286">
        <v>0</v>
      </c>
      <c r="CA57" s="286"/>
      <c r="CB57" s="286"/>
      <c r="CC57" s="286"/>
      <c r="CD57" s="187">
        <v>0</v>
      </c>
      <c r="CE57" s="286">
        <v>0</v>
      </c>
      <c r="CF57" s="286"/>
      <c r="CG57" s="286"/>
      <c r="CH57" s="286"/>
      <c r="CI57" s="187"/>
      <c r="CJ57" s="288"/>
      <c r="CK57" s="288"/>
      <c r="CL57" s="288"/>
      <c r="CM57" s="288"/>
      <c r="CN57" s="288"/>
      <c r="CO57" s="187">
        <v>0</v>
      </c>
      <c r="CP57" s="184"/>
      <c r="CQ57" s="184" t="s">
        <v>488</v>
      </c>
      <c r="CR57" s="304"/>
      <c r="CS57" s="304"/>
      <c r="CT57" s="291"/>
      <c r="CU57" s="160"/>
    </row>
    <row r="58" spans="1:99" ht="77.25" customHeight="1" outlineLevel="1">
      <c r="A58" s="183">
        <v>11</v>
      </c>
      <c r="B58" s="279" t="s">
        <v>3153</v>
      </c>
      <c r="C58" s="183" t="s">
        <v>304</v>
      </c>
      <c r="D58" s="183" t="s">
        <v>3154</v>
      </c>
      <c r="E58" s="183" t="s">
        <v>3061</v>
      </c>
      <c r="F58" s="183" t="s">
        <v>49</v>
      </c>
      <c r="G58" s="183" t="s">
        <v>48</v>
      </c>
      <c r="H58" s="183"/>
      <c r="I58" s="184" t="s">
        <v>311</v>
      </c>
      <c r="J58" s="183" t="s">
        <v>49</v>
      </c>
      <c r="K58" s="183" t="s">
        <v>3113</v>
      </c>
      <c r="L58" s="183" t="s">
        <v>76</v>
      </c>
      <c r="M58" s="183">
        <v>2022</v>
      </c>
      <c r="N58" s="282"/>
      <c r="O58" s="282" t="s">
        <v>3155</v>
      </c>
      <c r="P58" s="186">
        <v>3529</v>
      </c>
      <c r="Q58" s="186"/>
      <c r="R58" s="186"/>
      <c r="S58" s="186">
        <v>3529</v>
      </c>
      <c r="T58" s="186">
        <v>0</v>
      </c>
      <c r="U58" s="186"/>
      <c r="V58" s="282" t="s">
        <v>3113</v>
      </c>
      <c r="W58" s="282" t="s">
        <v>3115</v>
      </c>
      <c r="X58" s="282" t="s">
        <v>311</v>
      </c>
      <c r="Y58" s="186"/>
      <c r="Z58" s="186"/>
      <c r="AA58" s="186"/>
      <c r="AB58" s="186"/>
      <c r="AC58" s="186">
        <v>8529</v>
      </c>
      <c r="AD58" s="186"/>
      <c r="AE58" s="186"/>
      <c r="AF58" s="186">
        <v>8529</v>
      </c>
      <c r="AG58" s="283">
        <f t="shared" si="25"/>
        <v>5000</v>
      </c>
      <c r="AH58" s="186">
        <v>5000</v>
      </c>
      <c r="AI58" s="186"/>
      <c r="AJ58" s="186">
        <v>3529</v>
      </c>
      <c r="AK58" s="186"/>
      <c r="AL58" s="186">
        <v>0</v>
      </c>
      <c r="AM58" s="186">
        <v>3529</v>
      </c>
      <c r="AN58" s="186"/>
      <c r="AO58" s="186"/>
      <c r="AP58" s="186">
        <v>3529</v>
      </c>
      <c r="AQ58" s="186"/>
      <c r="AR58" s="186"/>
      <c r="AS58" s="186">
        <v>3529</v>
      </c>
      <c r="AT58" s="186"/>
      <c r="AU58" s="186">
        <v>0</v>
      </c>
      <c r="AV58" s="186">
        <v>3529</v>
      </c>
      <c r="AW58" s="186"/>
      <c r="AX58" s="186"/>
      <c r="AY58" s="186">
        <v>3529</v>
      </c>
      <c r="AZ58" s="186"/>
      <c r="BA58" s="186"/>
      <c r="BB58" s="186">
        <v>3529</v>
      </c>
      <c r="BC58" s="186"/>
      <c r="BD58" s="186">
        <v>0</v>
      </c>
      <c r="BE58" s="186">
        <v>100</v>
      </c>
      <c r="BF58" s="186">
        <v>0</v>
      </c>
      <c r="BG58" s="186"/>
      <c r="BH58" s="186"/>
      <c r="BI58" s="186">
        <v>0</v>
      </c>
      <c r="BJ58" s="283">
        <f t="shared" si="27"/>
        <v>0</v>
      </c>
      <c r="BK58" s="186"/>
      <c r="BL58" s="186"/>
      <c r="BM58" s="186"/>
      <c r="BN58" s="186"/>
      <c r="BO58" s="186">
        <v>0</v>
      </c>
      <c r="BP58" s="284">
        <v>0</v>
      </c>
      <c r="BQ58" s="186"/>
      <c r="BR58" s="186"/>
      <c r="BS58" s="186"/>
      <c r="BT58" s="186"/>
      <c r="BU58" s="186"/>
      <c r="BV58" s="186"/>
      <c r="BW58" s="186"/>
      <c r="BX58" s="186">
        <v>0</v>
      </c>
      <c r="BY58" s="285"/>
      <c r="BZ58" s="286">
        <v>0</v>
      </c>
      <c r="CA58" s="187"/>
      <c r="CB58" s="187"/>
      <c r="CC58" s="187"/>
      <c r="CD58" s="187">
        <v>0</v>
      </c>
      <c r="CE58" s="286">
        <v>0</v>
      </c>
      <c r="CF58" s="187"/>
      <c r="CG58" s="187"/>
      <c r="CH58" s="187"/>
      <c r="CI58" s="187"/>
      <c r="CJ58" s="288"/>
      <c r="CK58" s="288"/>
      <c r="CL58" s="288"/>
      <c r="CM58" s="288"/>
      <c r="CN58" s="288"/>
      <c r="CO58" s="187">
        <v>0</v>
      </c>
      <c r="CP58" s="184"/>
      <c r="CQ58" s="184" t="s">
        <v>488</v>
      </c>
      <c r="CR58" s="280"/>
      <c r="CS58" s="280"/>
      <c r="CT58" s="291"/>
      <c r="CU58" s="160"/>
    </row>
    <row r="59" spans="1:99" ht="77.25" customHeight="1" outlineLevel="1">
      <c r="A59" s="183">
        <v>12</v>
      </c>
      <c r="B59" s="279" t="s">
        <v>3156</v>
      </c>
      <c r="C59" s="183" t="s">
        <v>304</v>
      </c>
      <c r="D59" s="183" t="s">
        <v>3157</v>
      </c>
      <c r="E59" s="183" t="s">
        <v>68</v>
      </c>
      <c r="F59" s="183" t="s">
        <v>49</v>
      </c>
      <c r="G59" s="183" t="s">
        <v>48</v>
      </c>
      <c r="H59" s="183"/>
      <c r="I59" s="184" t="s">
        <v>311</v>
      </c>
      <c r="J59" s="183" t="s">
        <v>49</v>
      </c>
      <c r="K59" s="183" t="s">
        <v>3131</v>
      </c>
      <c r="L59" s="183">
        <v>2022</v>
      </c>
      <c r="M59" s="183">
        <v>2022</v>
      </c>
      <c r="N59" s="282"/>
      <c r="O59" s="282" t="s">
        <v>3158</v>
      </c>
      <c r="P59" s="283">
        <v>2856</v>
      </c>
      <c r="Q59" s="283"/>
      <c r="R59" s="283"/>
      <c r="S59" s="283">
        <v>2856</v>
      </c>
      <c r="T59" s="186">
        <v>0</v>
      </c>
      <c r="U59" s="186"/>
      <c r="V59" s="282" t="s">
        <v>3131</v>
      </c>
      <c r="W59" s="282" t="s">
        <v>3115</v>
      </c>
      <c r="X59" s="282" t="s">
        <v>311</v>
      </c>
      <c r="Y59" s="283"/>
      <c r="Z59" s="283"/>
      <c r="AA59" s="283"/>
      <c r="AB59" s="283"/>
      <c r="AC59" s="186">
        <v>2856</v>
      </c>
      <c r="AD59" s="283"/>
      <c r="AE59" s="283"/>
      <c r="AF59" s="186">
        <v>2856</v>
      </c>
      <c r="AG59" s="283">
        <f t="shared" si="25"/>
        <v>0</v>
      </c>
      <c r="AH59" s="283"/>
      <c r="AI59" s="283"/>
      <c r="AJ59" s="283">
        <v>2856</v>
      </c>
      <c r="AK59" s="283"/>
      <c r="AL59" s="186">
        <v>0</v>
      </c>
      <c r="AM59" s="186">
        <v>2856</v>
      </c>
      <c r="AN59" s="283"/>
      <c r="AO59" s="283"/>
      <c r="AP59" s="186">
        <v>2856</v>
      </c>
      <c r="AQ59" s="283"/>
      <c r="AR59" s="283"/>
      <c r="AS59" s="283">
        <v>2856</v>
      </c>
      <c r="AT59" s="283"/>
      <c r="AU59" s="186">
        <v>0</v>
      </c>
      <c r="AV59" s="186">
        <v>2856</v>
      </c>
      <c r="AW59" s="283"/>
      <c r="AX59" s="283"/>
      <c r="AY59" s="186">
        <v>2856</v>
      </c>
      <c r="AZ59" s="283"/>
      <c r="BA59" s="283"/>
      <c r="BB59" s="283">
        <v>2856</v>
      </c>
      <c r="BC59" s="283"/>
      <c r="BD59" s="186">
        <v>0</v>
      </c>
      <c r="BE59" s="186">
        <v>100</v>
      </c>
      <c r="BF59" s="186">
        <v>0</v>
      </c>
      <c r="BG59" s="283"/>
      <c r="BH59" s="283"/>
      <c r="BI59" s="186">
        <v>0</v>
      </c>
      <c r="BJ59" s="283">
        <f t="shared" si="27"/>
        <v>0</v>
      </c>
      <c r="BK59" s="283"/>
      <c r="BL59" s="283"/>
      <c r="BM59" s="283"/>
      <c r="BN59" s="283"/>
      <c r="BO59" s="186">
        <v>0</v>
      </c>
      <c r="BP59" s="284">
        <v>0</v>
      </c>
      <c r="BQ59" s="283"/>
      <c r="BR59" s="283"/>
      <c r="BS59" s="283"/>
      <c r="BT59" s="283"/>
      <c r="BU59" s="283"/>
      <c r="BV59" s="283"/>
      <c r="BW59" s="283"/>
      <c r="BX59" s="186">
        <v>0</v>
      </c>
      <c r="BY59" s="285"/>
      <c r="BZ59" s="286">
        <v>0</v>
      </c>
      <c r="CA59" s="287"/>
      <c r="CB59" s="287"/>
      <c r="CC59" s="287"/>
      <c r="CD59" s="187">
        <v>0</v>
      </c>
      <c r="CE59" s="286">
        <v>0</v>
      </c>
      <c r="CF59" s="287"/>
      <c r="CG59" s="287"/>
      <c r="CH59" s="287"/>
      <c r="CI59" s="187"/>
      <c r="CJ59" s="288"/>
      <c r="CK59" s="288"/>
      <c r="CL59" s="288"/>
      <c r="CM59" s="288"/>
      <c r="CN59" s="288"/>
      <c r="CO59" s="187">
        <v>0</v>
      </c>
      <c r="CP59" s="184"/>
      <c r="CQ59" s="184" t="s">
        <v>488</v>
      </c>
      <c r="CR59" s="304"/>
      <c r="CS59" s="304"/>
      <c r="CT59" s="291"/>
      <c r="CU59" s="160"/>
    </row>
    <row r="60" spans="1:99" ht="61.5" outlineLevel="1">
      <c r="A60" s="183">
        <v>13</v>
      </c>
      <c r="B60" s="279" t="s">
        <v>3159</v>
      </c>
      <c r="C60" s="183" t="s">
        <v>304</v>
      </c>
      <c r="D60" s="302" t="s">
        <v>3160</v>
      </c>
      <c r="E60" s="183" t="s">
        <v>3061</v>
      </c>
      <c r="F60" s="183" t="s">
        <v>49</v>
      </c>
      <c r="G60" s="183" t="s">
        <v>48</v>
      </c>
      <c r="H60" s="183">
        <v>8114841</v>
      </c>
      <c r="I60" s="184" t="s">
        <v>311</v>
      </c>
      <c r="J60" s="183" t="s">
        <v>49</v>
      </c>
      <c r="K60" s="302" t="s">
        <v>3161</v>
      </c>
      <c r="L60" s="183" t="s">
        <v>84</v>
      </c>
      <c r="M60" s="183">
        <v>2024</v>
      </c>
      <c r="N60" s="282"/>
      <c r="O60" s="282" t="s">
        <v>3162</v>
      </c>
      <c r="P60" s="283">
        <v>8410</v>
      </c>
      <c r="Q60" s="283"/>
      <c r="R60" s="283"/>
      <c r="S60" s="283">
        <v>8410</v>
      </c>
      <c r="T60" s="186">
        <v>0</v>
      </c>
      <c r="U60" s="186"/>
      <c r="V60" s="282" t="s">
        <v>3161</v>
      </c>
      <c r="W60" s="282" t="s">
        <v>3115</v>
      </c>
      <c r="X60" s="282" t="s">
        <v>311</v>
      </c>
      <c r="Y60" s="186"/>
      <c r="Z60" s="186"/>
      <c r="AA60" s="186"/>
      <c r="AB60" s="186"/>
      <c r="AC60" s="186">
        <v>8410</v>
      </c>
      <c r="AD60" s="283"/>
      <c r="AE60" s="283"/>
      <c r="AF60" s="186">
        <v>8410</v>
      </c>
      <c r="AG60" s="283">
        <f t="shared" si="25"/>
        <v>0</v>
      </c>
      <c r="AH60" s="283"/>
      <c r="AI60" s="283"/>
      <c r="AJ60" s="283">
        <v>5910</v>
      </c>
      <c r="AK60" s="283">
        <v>2500</v>
      </c>
      <c r="AL60" s="186">
        <v>0</v>
      </c>
      <c r="AM60" s="186">
        <v>7944.4660000000003</v>
      </c>
      <c r="AN60" s="283"/>
      <c r="AO60" s="283"/>
      <c r="AP60" s="186">
        <v>7944.4660000000003</v>
      </c>
      <c r="AQ60" s="283"/>
      <c r="AR60" s="283"/>
      <c r="AS60" s="283">
        <v>5444.4660000000003</v>
      </c>
      <c r="AT60" s="283">
        <v>2500</v>
      </c>
      <c r="AU60" s="186">
        <v>0</v>
      </c>
      <c r="AV60" s="186">
        <v>7499.7766430000001</v>
      </c>
      <c r="AW60" s="283"/>
      <c r="AX60" s="283"/>
      <c r="AY60" s="186">
        <v>7499.7766430000001</v>
      </c>
      <c r="AZ60" s="283"/>
      <c r="BA60" s="283"/>
      <c r="BB60" s="283">
        <v>4999.7766430000001</v>
      </c>
      <c r="BC60" s="283">
        <v>2500</v>
      </c>
      <c r="BD60" s="186">
        <v>0</v>
      </c>
      <c r="BE60" s="186">
        <v>94.402526777759505</v>
      </c>
      <c r="BF60" s="186">
        <v>6444.4660000000003</v>
      </c>
      <c r="BG60" s="283"/>
      <c r="BH60" s="283"/>
      <c r="BI60" s="186">
        <v>6444.4660000000003</v>
      </c>
      <c r="BJ60" s="283">
        <f t="shared" si="27"/>
        <v>0</v>
      </c>
      <c r="BK60" s="283"/>
      <c r="BL60" s="283"/>
      <c r="BM60" s="283">
        <v>3944.4659999999999</v>
      </c>
      <c r="BN60" s="283">
        <v>2500</v>
      </c>
      <c r="BO60" s="186">
        <v>0</v>
      </c>
      <c r="BP60" s="284">
        <v>5999.7766430000001</v>
      </c>
      <c r="BQ60" s="283"/>
      <c r="BR60" s="283"/>
      <c r="BS60" s="283">
        <v>5999.7766430000001</v>
      </c>
      <c r="BT60" s="283"/>
      <c r="BU60" s="283"/>
      <c r="BV60" s="283">
        <v>3499.7766430000001</v>
      </c>
      <c r="BW60" s="283">
        <v>2500</v>
      </c>
      <c r="BX60" s="186">
        <v>0</v>
      </c>
      <c r="BY60" s="285">
        <v>93.099670989031509</v>
      </c>
      <c r="BZ60" s="286">
        <v>0</v>
      </c>
      <c r="CA60" s="287"/>
      <c r="CB60" s="287"/>
      <c r="CC60" s="287"/>
      <c r="CD60" s="187">
        <v>0</v>
      </c>
      <c r="CE60" s="286">
        <v>0</v>
      </c>
      <c r="CF60" s="287"/>
      <c r="CG60" s="287"/>
      <c r="CH60" s="287"/>
      <c r="CI60" s="187"/>
      <c r="CJ60" s="288"/>
      <c r="CK60" s="288"/>
      <c r="CL60" s="288"/>
      <c r="CM60" s="288"/>
      <c r="CN60" s="187">
        <v>465.53480000000002</v>
      </c>
      <c r="CO60" s="187">
        <v>444.6893570000002</v>
      </c>
      <c r="CP60" s="184"/>
      <c r="CQ60" s="184" t="s">
        <v>488</v>
      </c>
      <c r="CR60" s="304"/>
      <c r="CS60" s="304"/>
      <c r="CT60" s="291"/>
      <c r="CU60" s="160"/>
    </row>
    <row r="61" spans="1:99" ht="68.25" customHeight="1" outlineLevel="1">
      <c r="A61" s="183">
        <v>14</v>
      </c>
      <c r="B61" s="279" t="s">
        <v>3163</v>
      </c>
      <c r="C61" s="183" t="s">
        <v>304</v>
      </c>
      <c r="D61" s="183" t="s">
        <v>3164</v>
      </c>
      <c r="E61" s="183" t="s">
        <v>3061</v>
      </c>
      <c r="F61" s="183" t="s">
        <v>49</v>
      </c>
      <c r="G61" s="183" t="s">
        <v>48</v>
      </c>
      <c r="H61" s="183">
        <v>8095398</v>
      </c>
      <c r="I61" s="184" t="s">
        <v>311</v>
      </c>
      <c r="J61" s="183" t="s">
        <v>49</v>
      </c>
      <c r="K61" s="183" t="s">
        <v>3113</v>
      </c>
      <c r="L61" s="183" t="s">
        <v>84</v>
      </c>
      <c r="M61" s="183">
        <v>2024</v>
      </c>
      <c r="N61" s="282"/>
      <c r="O61" s="282" t="s">
        <v>3165</v>
      </c>
      <c r="P61" s="283">
        <v>16494</v>
      </c>
      <c r="Q61" s="283"/>
      <c r="R61" s="283"/>
      <c r="S61" s="283">
        <v>16494</v>
      </c>
      <c r="T61" s="186"/>
      <c r="U61" s="186"/>
      <c r="V61" s="282" t="s">
        <v>3113</v>
      </c>
      <c r="W61" s="282" t="s">
        <v>3115</v>
      </c>
      <c r="X61" s="282" t="s">
        <v>311</v>
      </c>
      <c r="Y61" s="283"/>
      <c r="Z61" s="283"/>
      <c r="AA61" s="283"/>
      <c r="AB61" s="283"/>
      <c r="AC61" s="186">
        <v>16494</v>
      </c>
      <c r="AD61" s="283"/>
      <c r="AE61" s="283"/>
      <c r="AF61" s="186">
        <v>16494</v>
      </c>
      <c r="AG61" s="283">
        <f t="shared" si="25"/>
        <v>0</v>
      </c>
      <c r="AH61" s="283"/>
      <c r="AI61" s="283"/>
      <c r="AJ61" s="283">
        <v>14394</v>
      </c>
      <c r="AK61" s="283">
        <v>2100</v>
      </c>
      <c r="AL61" s="186"/>
      <c r="AM61" s="186">
        <v>7944.4660000000003</v>
      </c>
      <c r="AN61" s="283"/>
      <c r="AO61" s="283"/>
      <c r="AP61" s="186">
        <v>7944.4660000000003</v>
      </c>
      <c r="AQ61" s="283"/>
      <c r="AR61" s="283"/>
      <c r="AS61" s="283">
        <v>5844.4660000000003</v>
      </c>
      <c r="AT61" s="283">
        <v>2100</v>
      </c>
      <c r="AU61" s="186"/>
      <c r="AV61" s="186">
        <v>9369.8805260000008</v>
      </c>
      <c r="AW61" s="283"/>
      <c r="AX61" s="283"/>
      <c r="AY61" s="186">
        <v>9369.8805260000008</v>
      </c>
      <c r="AZ61" s="283"/>
      <c r="BA61" s="283"/>
      <c r="BB61" s="108">
        <v>7269.8805259999999</v>
      </c>
      <c r="BC61" s="283">
        <v>2100</v>
      </c>
      <c r="BD61" s="186"/>
      <c r="BE61" s="186">
        <v>117.94223206443328</v>
      </c>
      <c r="BF61" s="186">
        <v>5287.2629999999999</v>
      </c>
      <c r="BG61" s="283"/>
      <c r="BH61" s="283"/>
      <c r="BI61" s="186">
        <v>5287.2629999999999</v>
      </c>
      <c r="BJ61" s="283">
        <f t="shared" si="27"/>
        <v>0</v>
      </c>
      <c r="BK61" s="283"/>
      <c r="BL61" s="283"/>
      <c r="BM61" s="283">
        <v>3187.2629999999999</v>
      </c>
      <c r="BN61" s="283">
        <v>2100</v>
      </c>
      <c r="BO61" s="186"/>
      <c r="BP61" s="284">
        <v>4388.4305260000001</v>
      </c>
      <c r="BQ61" s="283"/>
      <c r="BR61" s="283"/>
      <c r="BS61" s="283">
        <v>4388.4305260000001</v>
      </c>
      <c r="BT61" s="283"/>
      <c r="BU61" s="283"/>
      <c r="BV61" s="108">
        <v>2288.4305260000001</v>
      </c>
      <c r="BW61" s="283">
        <v>2100</v>
      </c>
      <c r="BX61" s="186"/>
      <c r="BY61" s="285">
        <v>83.000042290311654</v>
      </c>
      <c r="BZ61" s="286">
        <v>0</v>
      </c>
      <c r="CA61" s="287"/>
      <c r="CB61" s="287"/>
      <c r="CC61" s="287"/>
      <c r="CD61" s="187"/>
      <c r="CE61" s="286">
        <v>0</v>
      </c>
      <c r="CF61" s="287"/>
      <c r="CG61" s="287"/>
      <c r="CH61" s="287"/>
      <c r="CI61" s="187"/>
      <c r="CJ61" s="288"/>
      <c r="CK61" s="288"/>
      <c r="CL61" s="288"/>
      <c r="CM61" s="288"/>
      <c r="CN61" s="187">
        <v>6225.2870849999999</v>
      </c>
      <c r="CO61" s="187">
        <v>898.83247399999982</v>
      </c>
      <c r="CP61" s="184" t="s">
        <v>3166</v>
      </c>
      <c r="CQ61" s="184"/>
      <c r="CR61" s="304"/>
      <c r="CS61" s="304"/>
      <c r="CT61" s="291"/>
      <c r="CU61" s="160"/>
    </row>
    <row r="62" spans="1:99" ht="54.75" customHeight="1" outlineLevel="1">
      <c r="A62" s="183">
        <v>15</v>
      </c>
      <c r="B62" s="279" t="s">
        <v>3167</v>
      </c>
      <c r="C62" s="183" t="s">
        <v>304</v>
      </c>
      <c r="D62" s="183" t="s">
        <v>3168</v>
      </c>
      <c r="E62" s="183" t="s">
        <v>3061</v>
      </c>
      <c r="F62" s="183" t="s">
        <v>49</v>
      </c>
      <c r="G62" s="183" t="s">
        <v>48</v>
      </c>
      <c r="H62" s="183">
        <v>7948811</v>
      </c>
      <c r="I62" s="184" t="s">
        <v>311</v>
      </c>
      <c r="J62" s="183" t="s">
        <v>49</v>
      </c>
      <c r="K62" s="183" t="s">
        <v>3169</v>
      </c>
      <c r="L62" s="183" t="s">
        <v>84</v>
      </c>
      <c r="M62" s="183">
        <v>2024</v>
      </c>
      <c r="N62" s="282"/>
      <c r="O62" s="282" t="s">
        <v>3170</v>
      </c>
      <c r="P62" s="283">
        <v>13000</v>
      </c>
      <c r="Q62" s="283"/>
      <c r="R62" s="283"/>
      <c r="S62" s="283">
        <v>13000</v>
      </c>
      <c r="T62" s="186">
        <v>0</v>
      </c>
      <c r="U62" s="186"/>
      <c r="V62" s="282" t="s">
        <v>3169</v>
      </c>
      <c r="W62" s="282" t="s">
        <v>3115</v>
      </c>
      <c r="X62" s="282" t="s">
        <v>311</v>
      </c>
      <c r="Y62" s="283"/>
      <c r="Z62" s="283"/>
      <c r="AA62" s="283"/>
      <c r="AB62" s="283"/>
      <c r="AC62" s="186">
        <v>13000</v>
      </c>
      <c r="AD62" s="283"/>
      <c r="AE62" s="283"/>
      <c r="AF62" s="186">
        <v>13000</v>
      </c>
      <c r="AG62" s="283">
        <f t="shared" si="25"/>
        <v>2343</v>
      </c>
      <c r="AH62" s="283">
        <v>2343</v>
      </c>
      <c r="AI62" s="283"/>
      <c r="AJ62" s="283">
        <v>6157</v>
      </c>
      <c r="AK62" s="283">
        <v>4500</v>
      </c>
      <c r="AL62" s="186">
        <v>0</v>
      </c>
      <c r="AM62" s="186">
        <v>11937.326000000001</v>
      </c>
      <c r="AN62" s="283"/>
      <c r="AO62" s="283"/>
      <c r="AP62" s="186">
        <v>11937.326000000001</v>
      </c>
      <c r="AQ62" s="283">
        <v>2343</v>
      </c>
      <c r="AR62" s="283"/>
      <c r="AS62" s="283">
        <v>5094.326</v>
      </c>
      <c r="AT62" s="283">
        <v>4500</v>
      </c>
      <c r="AU62" s="186">
        <v>0</v>
      </c>
      <c r="AV62" s="186">
        <v>11937.326000000001</v>
      </c>
      <c r="AW62" s="283"/>
      <c r="AX62" s="283"/>
      <c r="AY62" s="186">
        <v>11937.326000000001</v>
      </c>
      <c r="AZ62" s="283">
        <v>2343</v>
      </c>
      <c r="BA62" s="283"/>
      <c r="BB62" s="283">
        <v>5094.326</v>
      </c>
      <c r="BC62" s="283">
        <v>4500</v>
      </c>
      <c r="BD62" s="186">
        <v>0</v>
      </c>
      <c r="BE62" s="186">
        <v>100</v>
      </c>
      <c r="BF62" s="186">
        <v>9930.3260000000009</v>
      </c>
      <c r="BG62" s="283"/>
      <c r="BH62" s="283"/>
      <c r="BI62" s="186">
        <v>9930.3260000000009</v>
      </c>
      <c r="BJ62" s="283">
        <f t="shared" si="27"/>
        <v>2343</v>
      </c>
      <c r="BK62" s="283">
        <v>2343</v>
      </c>
      <c r="BL62" s="283"/>
      <c r="BM62" s="283">
        <v>3087.326</v>
      </c>
      <c r="BN62" s="283">
        <v>4500</v>
      </c>
      <c r="BO62" s="186">
        <v>0</v>
      </c>
      <c r="BP62" s="284">
        <v>9930.3260000000009</v>
      </c>
      <c r="BQ62" s="283"/>
      <c r="BR62" s="283"/>
      <c r="BS62" s="283">
        <v>9930.3260000000009</v>
      </c>
      <c r="BT62" s="283">
        <v>2343</v>
      </c>
      <c r="BU62" s="283"/>
      <c r="BV62" s="283">
        <v>3087.326</v>
      </c>
      <c r="BW62" s="283">
        <v>4500</v>
      </c>
      <c r="BX62" s="186">
        <v>0</v>
      </c>
      <c r="BY62" s="285">
        <v>100</v>
      </c>
      <c r="BZ62" s="286">
        <v>0</v>
      </c>
      <c r="CA62" s="287"/>
      <c r="CB62" s="287"/>
      <c r="CC62" s="287"/>
      <c r="CD62" s="187">
        <v>0</v>
      </c>
      <c r="CE62" s="286">
        <v>0</v>
      </c>
      <c r="CF62" s="287"/>
      <c r="CG62" s="287"/>
      <c r="CH62" s="287"/>
      <c r="CI62" s="187"/>
      <c r="CJ62" s="288"/>
      <c r="CK62" s="288"/>
      <c r="CL62" s="288"/>
      <c r="CM62" s="288"/>
      <c r="CN62" s="187">
        <v>282</v>
      </c>
      <c r="CO62" s="187">
        <v>0</v>
      </c>
      <c r="CP62" s="184" t="s">
        <v>3171</v>
      </c>
      <c r="CQ62" s="184"/>
      <c r="CR62" s="280"/>
      <c r="CS62" s="280"/>
      <c r="CT62" s="291"/>
      <c r="CU62" s="160"/>
    </row>
    <row r="63" spans="1:99" ht="76.900000000000006" outlineLevel="1">
      <c r="A63" s="183">
        <v>16</v>
      </c>
      <c r="B63" s="279" t="s">
        <v>3172</v>
      </c>
      <c r="C63" s="183" t="s">
        <v>304</v>
      </c>
      <c r="D63" s="183" t="s">
        <v>3173</v>
      </c>
      <c r="E63" s="183" t="s">
        <v>3061</v>
      </c>
      <c r="F63" s="183" t="s">
        <v>49</v>
      </c>
      <c r="G63" s="183" t="s">
        <v>48</v>
      </c>
      <c r="H63" s="183">
        <v>8082033</v>
      </c>
      <c r="I63" s="184" t="s">
        <v>311</v>
      </c>
      <c r="J63" s="183" t="s">
        <v>49</v>
      </c>
      <c r="K63" s="183" t="s">
        <v>3174</v>
      </c>
      <c r="L63" s="183" t="s">
        <v>84</v>
      </c>
      <c r="M63" s="183">
        <v>2024</v>
      </c>
      <c r="N63" s="282"/>
      <c r="O63" s="282" t="s">
        <v>3175</v>
      </c>
      <c r="P63" s="283">
        <v>14900</v>
      </c>
      <c r="Q63" s="283"/>
      <c r="R63" s="283"/>
      <c r="S63" s="283">
        <v>11121</v>
      </c>
      <c r="T63" s="186">
        <v>3779</v>
      </c>
      <c r="U63" s="186"/>
      <c r="V63" s="282" t="s">
        <v>3174</v>
      </c>
      <c r="W63" s="282" t="s">
        <v>3115</v>
      </c>
      <c r="X63" s="282" t="s">
        <v>311</v>
      </c>
      <c r="Y63" s="283"/>
      <c r="Z63" s="283"/>
      <c r="AA63" s="283"/>
      <c r="AB63" s="283"/>
      <c r="AC63" s="186">
        <v>11121</v>
      </c>
      <c r="AD63" s="283"/>
      <c r="AE63" s="283"/>
      <c r="AF63" s="186">
        <v>11121</v>
      </c>
      <c r="AG63" s="283">
        <f t="shared" si="25"/>
        <v>0</v>
      </c>
      <c r="AH63" s="283"/>
      <c r="AI63" s="283"/>
      <c r="AJ63" s="283">
        <v>7914.1357440000002</v>
      </c>
      <c r="AK63" s="283">
        <v>3206.8642559999998</v>
      </c>
      <c r="AL63" s="186">
        <v>3779</v>
      </c>
      <c r="AM63" s="186">
        <v>11121</v>
      </c>
      <c r="AN63" s="283"/>
      <c r="AO63" s="283"/>
      <c r="AP63" s="186">
        <v>11121</v>
      </c>
      <c r="AQ63" s="283"/>
      <c r="AR63" s="283"/>
      <c r="AS63" s="283">
        <v>7914.1357440000002</v>
      </c>
      <c r="AT63" s="283">
        <v>3206.8642559999998</v>
      </c>
      <c r="AU63" s="186">
        <v>3779</v>
      </c>
      <c r="AV63" s="186">
        <v>10235.463255999999</v>
      </c>
      <c r="AW63" s="283"/>
      <c r="AX63" s="283"/>
      <c r="AY63" s="186">
        <v>10235.463255999999</v>
      </c>
      <c r="AZ63" s="283"/>
      <c r="BA63" s="283"/>
      <c r="BB63" s="283">
        <v>7121</v>
      </c>
      <c r="BC63" s="283">
        <v>3114.463256</v>
      </c>
      <c r="BD63" s="186">
        <v>3779</v>
      </c>
      <c r="BE63" s="186">
        <v>92.037256146030018</v>
      </c>
      <c r="BF63" s="186">
        <v>5000</v>
      </c>
      <c r="BG63" s="283"/>
      <c r="BH63" s="283"/>
      <c r="BI63" s="186">
        <v>5000</v>
      </c>
      <c r="BJ63" s="283">
        <f t="shared" si="27"/>
        <v>0</v>
      </c>
      <c r="BK63" s="283"/>
      <c r="BL63" s="283"/>
      <c r="BM63" s="283">
        <v>1793.1357439999999</v>
      </c>
      <c r="BN63" s="283">
        <v>3206.8642559999998</v>
      </c>
      <c r="BO63" s="186">
        <v>3779</v>
      </c>
      <c r="BP63" s="284">
        <v>4907.5990000000002</v>
      </c>
      <c r="BQ63" s="283"/>
      <c r="BR63" s="283"/>
      <c r="BS63" s="283">
        <v>4907.5990000000002</v>
      </c>
      <c r="BT63" s="283"/>
      <c r="BU63" s="283"/>
      <c r="BV63" s="283">
        <v>1793.1357439999999</v>
      </c>
      <c r="BW63" s="283">
        <v>3114.463256</v>
      </c>
      <c r="BX63" s="186">
        <v>3779</v>
      </c>
      <c r="BY63" s="285">
        <v>98.151980000000009</v>
      </c>
      <c r="BZ63" s="286">
        <v>0</v>
      </c>
      <c r="CA63" s="287"/>
      <c r="CB63" s="287"/>
      <c r="CC63" s="287"/>
      <c r="CD63" s="187"/>
      <c r="CE63" s="286">
        <v>0</v>
      </c>
      <c r="CF63" s="287"/>
      <c r="CG63" s="287"/>
      <c r="CH63" s="287"/>
      <c r="CI63" s="187"/>
      <c r="CJ63" s="288"/>
      <c r="CK63" s="288"/>
      <c r="CL63" s="288"/>
      <c r="CM63" s="288"/>
      <c r="CN63" s="187">
        <v>1090</v>
      </c>
      <c r="CO63" s="187">
        <v>92.40099999999984</v>
      </c>
      <c r="CP63" s="184" t="s">
        <v>3176</v>
      </c>
      <c r="CQ63" s="184"/>
      <c r="CR63" s="289"/>
      <c r="CS63" s="289"/>
      <c r="CT63" s="291"/>
      <c r="CU63" s="160"/>
    </row>
    <row r="64" spans="1:99" ht="58.5" customHeight="1" outlineLevel="1">
      <c r="A64" s="183">
        <v>17</v>
      </c>
      <c r="B64" s="279" t="s">
        <v>3177</v>
      </c>
      <c r="C64" s="183" t="s">
        <v>304</v>
      </c>
      <c r="D64" s="183" t="s">
        <v>3178</v>
      </c>
      <c r="E64" s="183" t="s">
        <v>3061</v>
      </c>
      <c r="F64" s="183" t="s">
        <v>49</v>
      </c>
      <c r="G64" s="183" t="s">
        <v>48</v>
      </c>
      <c r="H64" s="183"/>
      <c r="I64" s="184" t="s">
        <v>311</v>
      </c>
      <c r="J64" s="183" t="s">
        <v>49</v>
      </c>
      <c r="K64" s="183" t="s">
        <v>3179</v>
      </c>
      <c r="L64" s="183" t="s">
        <v>56</v>
      </c>
      <c r="M64" s="183">
        <v>2024</v>
      </c>
      <c r="N64" s="282"/>
      <c r="O64" s="282" t="s">
        <v>3180</v>
      </c>
      <c r="P64" s="283">
        <v>7046</v>
      </c>
      <c r="Q64" s="283"/>
      <c r="R64" s="283"/>
      <c r="S64" s="283">
        <v>7046</v>
      </c>
      <c r="T64" s="186">
        <v>0</v>
      </c>
      <c r="U64" s="186"/>
      <c r="V64" s="282" t="s">
        <v>3179</v>
      </c>
      <c r="W64" s="282" t="s">
        <v>3115</v>
      </c>
      <c r="X64" s="282" t="s">
        <v>311</v>
      </c>
      <c r="Y64" s="283"/>
      <c r="Z64" s="283"/>
      <c r="AA64" s="283"/>
      <c r="AB64" s="283"/>
      <c r="AC64" s="186">
        <v>6028</v>
      </c>
      <c r="AD64" s="283"/>
      <c r="AE64" s="283"/>
      <c r="AF64" s="186">
        <v>6028</v>
      </c>
      <c r="AG64" s="283">
        <f t="shared" si="25"/>
        <v>0</v>
      </c>
      <c r="AH64" s="283"/>
      <c r="AI64" s="283"/>
      <c r="AJ64" s="283">
        <v>6028</v>
      </c>
      <c r="AK64" s="283"/>
      <c r="AL64" s="186">
        <v>0</v>
      </c>
      <c r="AM64" s="186">
        <v>7046</v>
      </c>
      <c r="AN64" s="283"/>
      <c r="AO64" s="283"/>
      <c r="AP64" s="186">
        <v>7046</v>
      </c>
      <c r="AQ64" s="283"/>
      <c r="AR64" s="283"/>
      <c r="AS64" s="283">
        <v>7046</v>
      </c>
      <c r="AT64" s="283"/>
      <c r="AU64" s="186">
        <v>0</v>
      </c>
      <c r="AV64" s="186">
        <v>7046</v>
      </c>
      <c r="AW64" s="283"/>
      <c r="AX64" s="283"/>
      <c r="AY64" s="186">
        <v>7046</v>
      </c>
      <c r="AZ64" s="283"/>
      <c r="BA64" s="283"/>
      <c r="BB64" s="283">
        <v>7046</v>
      </c>
      <c r="BC64" s="283"/>
      <c r="BD64" s="186">
        <v>0</v>
      </c>
      <c r="BE64" s="186">
        <v>100</v>
      </c>
      <c r="BF64" s="186">
        <v>0</v>
      </c>
      <c r="BG64" s="283"/>
      <c r="BH64" s="283"/>
      <c r="BI64" s="186">
        <v>0</v>
      </c>
      <c r="BJ64" s="283">
        <f t="shared" si="27"/>
        <v>0</v>
      </c>
      <c r="BK64" s="283"/>
      <c r="BL64" s="283"/>
      <c r="BM64" s="283"/>
      <c r="BN64" s="283"/>
      <c r="BO64" s="186">
        <v>0</v>
      </c>
      <c r="BP64" s="284">
        <v>0</v>
      </c>
      <c r="BQ64" s="283"/>
      <c r="BR64" s="283"/>
      <c r="BS64" s="283"/>
      <c r="BT64" s="283"/>
      <c r="BU64" s="283"/>
      <c r="BV64" s="283"/>
      <c r="BW64" s="283"/>
      <c r="BX64" s="186">
        <v>0</v>
      </c>
      <c r="BY64" s="285"/>
      <c r="BZ64" s="286">
        <v>0</v>
      </c>
      <c r="CA64" s="287"/>
      <c r="CB64" s="287"/>
      <c r="CC64" s="287"/>
      <c r="CD64" s="187">
        <v>0</v>
      </c>
      <c r="CE64" s="286">
        <v>0</v>
      </c>
      <c r="CF64" s="287"/>
      <c r="CG64" s="287"/>
      <c r="CH64" s="287"/>
      <c r="CI64" s="187"/>
      <c r="CJ64" s="288"/>
      <c r="CK64" s="288"/>
      <c r="CL64" s="288"/>
      <c r="CM64" s="288"/>
      <c r="CN64" s="288"/>
      <c r="CO64" s="187">
        <v>0</v>
      </c>
      <c r="CP64" s="184"/>
      <c r="CQ64" s="184" t="s">
        <v>488</v>
      </c>
      <c r="CR64" s="280"/>
      <c r="CS64" s="280"/>
      <c r="CT64" s="291"/>
      <c r="CU64" s="160"/>
    </row>
    <row r="65" spans="1:99" ht="60.75" customHeight="1" outlineLevel="1">
      <c r="A65" s="183">
        <v>18</v>
      </c>
      <c r="B65" s="279" t="s">
        <v>3181</v>
      </c>
      <c r="C65" s="183" t="s">
        <v>304</v>
      </c>
      <c r="D65" s="183" t="s">
        <v>3182</v>
      </c>
      <c r="E65" s="183" t="s">
        <v>3183</v>
      </c>
      <c r="F65" s="183" t="s">
        <v>49</v>
      </c>
      <c r="G65" s="183" t="s">
        <v>3142</v>
      </c>
      <c r="H65" s="183"/>
      <c r="I65" s="184" t="s">
        <v>311</v>
      </c>
      <c r="J65" s="183" t="s">
        <v>49</v>
      </c>
      <c r="K65" s="183" t="s">
        <v>3122</v>
      </c>
      <c r="L65" s="183">
        <v>2022</v>
      </c>
      <c r="M65" s="183">
        <v>2022</v>
      </c>
      <c r="N65" s="282"/>
      <c r="O65" s="282" t="s">
        <v>3184</v>
      </c>
      <c r="P65" s="283">
        <v>1179</v>
      </c>
      <c r="Q65" s="283"/>
      <c r="R65" s="283"/>
      <c r="S65" s="283">
        <v>1179</v>
      </c>
      <c r="T65" s="186">
        <v>0</v>
      </c>
      <c r="U65" s="186"/>
      <c r="V65" s="282" t="s">
        <v>3122</v>
      </c>
      <c r="W65" s="282" t="s">
        <v>3115</v>
      </c>
      <c r="X65" s="282" t="s">
        <v>311</v>
      </c>
      <c r="Y65" s="283"/>
      <c r="Z65" s="283"/>
      <c r="AA65" s="283"/>
      <c r="AB65" s="283"/>
      <c r="AC65" s="186">
        <v>1179</v>
      </c>
      <c r="AD65" s="283"/>
      <c r="AE65" s="283"/>
      <c r="AF65" s="186">
        <v>1179</v>
      </c>
      <c r="AG65" s="283">
        <f t="shared" si="25"/>
        <v>0</v>
      </c>
      <c r="AH65" s="283"/>
      <c r="AI65" s="283"/>
      <c r="AJ65" s="283">
        <v>1179</v>
      </c>
      <c r="AK65" s="283"/>
      <c r="AL65" s="186">
        <v>0</v>
      </c>
      <c r="AM65" s="186">
        <v>1179</v>
      </c>
      <c r="AN65" s="283"/>
      <c r="AO65" s="283"/>
      <c r="AP65" s="186">
        <v>1179</v>
      </c>
      <c r="AQ65" s="283"/>
      <c r="AR65" s="283"/>
      <c r="AS65" s="283">
        <v>1179</v>
      </c>
      <c r="AT65" s="283"/>
      <c r="AU65" s="186">
        <v>0</v>
      </c>
      <c r="AV65" s="186">
        <v>1179</v>
      </c>
      <c r="AW65" s="283"/>
      <c r="AX65" s="283"/>
      <c r="AY65" s="186">
        <v>1179</v>
      </c>
      <c r="AZ65" s="283"/>
      <c r="BA65" s="283"/>
      <c r="BB65" s="283">
        <v>1179</v>
      </c>
      <c r="BC65" s="283"/>
      <c r="BD65" s="186">
        <v>0</v>
      </c>
      <c r="BE65" s="186">
        <v>100</v>
      </c>
      <c r="BF65" s="186">
        <v>0</v>
      </c>
      <c r="BG65" s="283"/>
      <c r="BH65" s="283"/>
      <c r="BI65" s="186">
        <v>0</v>
      </c>
      <c r="BJ65" s="283">
        <f t="shared" si="27"/>
        <v>0</v>
      </c>
      <c r="BK65" s="283"/>
      <c r="BL65" s="283"/>
      <c r="BM65" s="283"/>
      <c r="BN65" s="283"/>
      <c r="BO65" s="186">
        <v>0</v>
      </c>
      <c r="BP65" s="284">
        <v>0</v>
      </c>
      <c r="BQ65" s="283"/>
      <c r="BR65" s="283"/>
      <c r="BS65" s="283"/>
      <c r="BT65" s="283"/>
      <c r="BU65" s="283"/>
      <c r="BV65" s="283"/>
      <c r="BW65" s="283"/>
      <c r="BX65" s="186">
        <v>0</v>
      </c>
      <c r="BY65" s="285"/>
      <c r="BZ65" s="286">
        <v>0</v>
      </c>
      <c r="CA65" s="287"/>
      <c r="CB65" s="287"/>
      <c r="CC65" s="287"/>
      <c r="CD65" s="187">
        <v>0</v>
      </c>
      <c r="CE65" s="286">
        <v>0</v>
      </c>
      <c r="CF65" s="287"/>
      <c r="CG65" s="287"/>
      <c r="CH65" s="287"/>
      <c r="CI65" s="187"/>
      <c r="CJ65" s="288"/>
      <c r="CK65" s="288"/>
      <c r="CL65" s="288"/>
      <c r="CM65" s="288"/>
      <c r="CN65" s="288"/>
      <c r="CO65" s="187">
        <v>0</v>
      </c>
      <c r="CP65" s="184"/>
      <c r="CQ65" s="184" t="s">
        <v>488</v>
      </c>
      <c r="CR65" s="281"/>
      <c r="CS65" s="281"/>
      <c r="CT65" s="291"/>
      <c r="CU65" s="160"/>
    </row>
    <row r="66" spans="1:99" ht="48" customHeight="1" outlineLevel="1">
      <c r="A66" s="183">
        <v>19</v>
      </c>
      <c r="B66" s="292" t="s">
        <v>3185</v>
      </c>
      <c r="C66" s="183" t="s">
        <v>304</v>
      </c>
      <c r="D66" s="302" t="s">
        <v>3186</v>
      </c>
      <c r="E66" s="183" t="s">
        <v>3061</v>
      </c>
      <c r="F66" s="183" t="s">
        <v>49</v>
      </c>
      <c r="G66" s="183" t="s">
        <v>3142</v>
      </c>
      <c r="H66" s="183"/>
      <c r="I66" s="184" t="s">
        <v>311</v>
      </c>
      <c r="J66" s="183" t="s">
        <v>49</v>
      </c>
      <c r="K66" s="183" t="s">
        <v>3187</v>
      </c>
      <c r="L66" s="183">
        <v>2023</v>
      </c>
      <c r="M66" s="183">
        <v>2022</v>
      </c>
      <c r="N66" s="282"/>
      <c r="O66" s="282" t="s">
        <v>3188</v>
      </c>
      <c r="P66" s="283">
        <v>1100</v>
      </c>
      <c r="Q66" s="283"/>
      <c r="R66" s="283"/>
      <c r="S66" s="283">
        <v>1000</v>
      </c>
      <c r="T66" s="186">
        <v>100</v>
      </c>
      <c r="U66" s="186"/>
      <c r="V66" s="282" t="s">
        <v>3187</v>
      </c>
      <c r="W66" s="282" t="s">
        <v>3115</v>
      </c>
      <c r="X66" s="282" t="s">
        <v>311</v>
      </c>
      <c r="Y66" s="283"/>
      <c r="Z66" s="283"/>
      <c r="AA66" s="283"/>
      <c r="AB66" s="283"/>
      <c r="AC66" s="186">
        <v>1000</v>
      </c>
      <c r="AD66" s="283"/>
      <c r="AE66" s="283"/>
      <c r="AF66" s="186">
        <v>1000</v>
      </c>
      <c r="AG66" s="283">
        <f t="shared" si="25"/>
        <v>0</v>
      </c>
      <c r="AH66" s="283"/>
      <c r="AI66" s="283"/>
      <c r="AJ66" s="283">
        <v>1000</v>
      </c>
      <c r="AK66" s="283"/>
      <c r="AL66" s="186">
        <v>100</v>
      </c>
      <c r="AM66" s="186">
        <v>1000</v>
      </c>
      <c r="AN66" s="283"/>
      <c r="AO66" s="283"/>
      <c r="AP66" s="186">
        <v>1000</v>
      </c>
      <c r="AQ66" s="283"/>
      <c r="AR66" s="283"/>
      <c r="AS66" s="283">
        <v>1000</v>
      </c>
      <c r="AT66" s="283"/>
      <c r="AU66" s="186">
        <v>100</v>
      </c>
      <c r="AV66" s="186">
        <v>1000</v>
      </c>
      <c r="AW66" s="283"/>
      <c r="AX66" s="283"/>
      <c r="AY66" s="186">
        <v>1000</v>
      </c>
      <c r="AZ66" s="283"/>
      <c r="BA66" s="283"/>
      <c r="BB66" s="283">
        <v>1000</v>
      </c>
      <c r="BC66" s="283"/>
      <c r="BD66" s="186">
        <v>100</v>
      </c>
      <c r="BE66" s="186">
        <v>100</v>
      </c>
      <c r="BF66" s="186">
        <v>0</v>
      </c>
      <c r="BG66" s="283"/>
      <c r="BH66" s="283"/>
      <c r="BI66" s="186">
        <v>0</v>
      </c>
      <c r="BJ66" s="283">
        <f t="shared" si="27"/>
        <v>0</v>
      </c>
      <c r="BK66" s="283"/>
      <c r="BL66" s="283"/>
      <c r="BM66" s="283"/>
      <c r="BN66" s="283"/>
      <c r="BO66" s="186"/>
      <c r="BP66" s="284">
        <v>0</v>
      </c>
      <c r="BQ66" s="283"/>
      <c r="BR66" s="283"/>
      <c r="BS66" s="283"/>
      <c r="BT66" s="283"/>
      <c r="BU66" s="283"/>
      <c r="BV66" s="283"/>
      <c r="BW66" s="283"/>
      <c r="BX66" s="186"/>
      <c r="BY66" s="285"/>
      <c r="BZ66" s="286">
        <v>0</v>
      </c>
      <c r="CA66" s="287"/>
      <c r="CB66" s="287"/>
      <c r="CC66" s="287"/>
      <c r="CD66" s="187"/>
      <c r="CE66" s="286">
        <v>0</v>
      </c>
      <c r="CF66" s="287"/>
      <c r="CG66" s="287"/>
      <c r="CH66" s="287"/>
      <c r="CI66" s="187"/>
      <c r="CJ66" s="288"/>
      <c r="CK66" s="288"/>
      <c r="CL66" s="288"/>
      <c r="CM66" s="288"/>
      <c r="CN66" s="288"/>
      <c r="CO66" s="187">
        <v>0</v>
      </c>
      <c r="CP66" s="184"/>
      <c r="CQ66" s="184" t="s">
        <v>488</v>
      </c>
      <c r="CR66" s="184"/>
      <c r="CS66" s="184"/>
      <c r="CT66" s="291"/>
      <c r="CU66" s="160"/>
    </row>
    <row r="67" spans="1:99" ht="84" customHeight="1" outlineLevel="1">
      <c r="A67" s="183">
        <v>20</v>
      </c>
      <c r="B67" s="292" t="s">
        <v>3659</v>
      </c>
      <c r="C67" s="183" t="s">
        <v>304</v>
      </c>
      <c r="D67" s="184" t="s">
        <v>3189</v>
      </c>
      <c r="E67" s="183" t="s">
        <v>3190</v>
      </c>
      <c r="F67" s="183" t="s">
        <v>49</v>
      </c>
      <c r="G67" s="183" t="s">
        <v>48</v>
      </c>
      <c r="H67" s="183"/>
      <c r="I67" s="184" t="s">
        <v>311</v>
      </c>
      <c r="J67" s="183" t="s">
        <v>49</v>
      </c>
      <c r="K67" s="183" t="s">
        <v>3037</v>
      </c>
      <c r="L67" s="183" t="s">
        <v>54</v>
      </c>
      <c r="M67" s="183">
        <v>2023</v>
      </c>
      <c r="N67" s="282" t="s">
        <v>3191</v>
      </c>
      <c r="O67" s="282" t="s">
        <v>3644</v>
      </c>
      <c r="P67" s="186">
        <v>5000</v>
      </c>
      <c r="Q67" s="186"/>
      <c r="R67" s="186"/>
      <c r="S67" s="186">
        <v>5000</v>
      </c>
      <c r="T67" s="186">
        <v>0</v>
      </c>
      <c r="U67" s="186"/>
      <c r="V67" s="282" t="s">
        <v>3037</v>
      </c>
      <c r="W67" s="282" t="s">
        <v>3115</v>
      </c>
      <c r="X67" s="282" t="s">
        <v>311</v>
      </c>
      <c r="Y67" s="283"/>
      <c r="Z67" s="283"/>
      <c r="AA67" s="283"/>
      <c r="AB67" s="283"/>
      <c r="AC67" s="186">
        <v>5000</v>
      </c>
      <c r="AD67" s="186"/>
      <c r="AE67" s="186"/>
      <c r="AF67" s="186">
        <v>5000</v>
      </c>
      <c r="AG67" s="283">
        <f t="shared" si="25"/>
        <v>0</v>
      </c>
      <c r="AH67" s="186"/>
      <c r="AI67" s="186"/>
      <c r="AJ67" s="186">
        <v>5000</v>
      </c>
      <c r="AK67" s="186"/>
      <c r="AL67" s="186">
        <v>0</v>
      </c>
      <c r="AM67" s="186">
        <v>2418.5450000000001</v>
      </c>
      <c r="AN67" s="186"/>
      <c r="AO67" s="186"/>
      <c r="AP67" s="186">
        <v>2418.5450000000001</v>
      </c>
      <c r="AQ67" s="186"/>
      <c r="AR67" s="186"/>
      <c r="AS67" s="186">
        <v>2418.5450000000001</v>
      </c>
      <c r="AT67" s="186"/>
      <c r="AU67" s="186">
        <v>0</v>
      </c>
      <c r="AV67" s="186">
        <v>1918.5450000000001</v>
      </c>
      <c r="AW67" s="186"/>
      <c r="AX67" s="186"/>
      <c r="AY67" s="186">
        <v>1918.5450000000001</v>
      </c>
      <c r="AZ67" s="186"/>
      <c r="BA67" s="186"/>
      <c r="BB67" s="186">
        <v>1918.5450000000001</v>
      </c>
      <c r="BC67" s="186"/>
      <c r="BD67" s="186">
        <v>0</v>
      </c>
      <c r="BE67" s="186">
        <v>79.326413194710042</v>
      </c>
      <c r="BF67" s="186">
        <v>500</v>
      </c>
      <c r="BG67" s="186"/>
      <c r="BH67" s="186"/>
      <c r="BI67" s="186">
        <v>500</v>
      </c>
      <c r="BJ67" s="283">
        <f t="shared" si="27"/>
        <v>0</v>
      </c>
      <c r="BK67" s="186"/>
      <c r="BL67" s="186"/>
      <c r="BM67" s="186">
        <v>500</v>
      </c>
      <c r="BN67" s="186"/>
      <c r="BO67" s="186">
        <v>0</v>
      </c>
      <c r="BP67" s="284">
        <v>0</v>
      </c>
      <c r="BQ67" s="284"/>
      <c r="BR67" s="284"/>
      <c r="BS67" s="284">
        <v>0</v>
      </c>
      <c r="BT67" s="284"/>
      <c r="BU67" s="284"/>
      <c r="BV67" s="284"/>
      <c r="BW67" s="284"/>
      <c r="BX67" s="186">
        <v>0</v>
      </c>
      <c r="BY67" s="285">
        <v>0</v>
      </c>
      <c r="BZ67" s="286">
        <v>0</v>
      </c>
      <c r="CA67" s="286"/>
      <c r="CB67" s="286"/>
      <c r="CC67" s="286"/>
      <c r="CD67" s="187"/>
      <c r="CE67" s="286">
        <v>0</v>
      </c>
      <c r="CF67" s="286"/>
      <c r="CG67" s="286"/>
      <c r="CH67" s="286"/>
      <c r="CI67" s="187"/>
      <c r="CJ67" s="288"/>
      <c r="CK67" s="288"/>
      <c r="CL67" s="288"/>
      <c r="CM67" s="288"/>
      <c r="CN67" s="288"/>
      <c r="CO67" s="187">
        <v>500</v>
      </c>
      <c r="CP67" s="184" t="s">
        <v>3192</v>
      </c>
      <c r="CQ67" s="184"/>
      <c r="CR67" s="184"/>
      <c r="CS67" s="184"/>
      <c r="CT67" s="291"/>
      <c r="CU67" s="160"/>
    </row>
    <row r="68" spans="1:99" ht="59.25" customHeight="1" outlineLevel="1">
      <c r="A68" s="183">
        <v>21</v>
      </c>
      <c r="B68" s="292" t="s">
        <v>3658</v>
      </c>
      <c r="C68" s="183" t="s">
        <v>304</v>
      </c>
      <c r="D68" s="184" t="s">
        <v>3193</v>
      </c>
      <c r="E68" s="183" t="s">
        <v>3061</v>
      </c>
      <c r="F68" s="183" t="s">
        <v>49</v>
      </c>
      <c r="G68" s="183" t="s">
        <v>3194</v>
      </c>
      <c r="H68" s="183">
        <v>8118768</v>
      </c>
      <c r="I68" s="184" t="s">
        <v>311</v>
      </c>
      <c r="J68" s="183" t="s">
        <v>49</v>
      </c>
      <c r="K68" s="183" t="s">
        <v>3122</v>
      </c>
      <c r="L68" s="183" t="s">
        <v>54</v>
      </c>
      <c r="M68" s="183">
        <v>2024</v>
      </c>
      <c r="N68" s="282"/>
      <c r="O68" s="282" t="s">
        <v>3195</v>
      </c>
      <c r="P68" s="186">
        <v>2000</v>
      </c>
      <c r="Q68" s="186"/>
      <c r="R68" s="186"/>
      <c r="S68" s="186">
        <v>2000</v>
      </c>
      <c r="T68" s="186">
        <v>0</v>
      </c>
      <c r="U68" s="186"/>
      <c r="V68" s="282" t="s">
        <v>3122</v>
      </c>
      <c r="W68" s="282" t="s">
        <v>3115</v>
      </c>
      <c r="X68" s="282" t="s">
        <v>311</v>
      </c>
      <c r="Y68" s="283"/>
      <c r="Z68" s="283"/>
      <c r="AA68" s="283"/>
      <c r="AB68" s="283"/>
      <c r="AC68" s="186">
        <v>2000</v>
      </c>
      <c r="AD68" s="186"/>
      <c r="AE68" s="186"/>
      <c r="AF68" s="186">
        <v>2000</v>
      </c>
      <c r="AG68" s="283">
        <f t="shared" si="25"/>
        <v>0</v>
      </c>
      <c r="AH68" s="186"/>
      <c r="AI68" s="186"/>
      <c r="AJ68" s="186">
        <v>2000</v>
      </c>
      <c r="AK68" s="186"/>
      <c r="AL68" s="186">
        <v>0</v>
      </c>
      <c r="AM68" s="186">
        <v>2000</v>
      </c>
      <c r="AN68" s="186"/>
      <c r="AO68" s="186"/>
      <c r="AP68" s="186">
        <v>2000</v>
      </c>
      <c r="AQ68" s="186"/>
      <c r="AR68" s="186"/>
      <c r="AS68" s="186">
        <v>2000</v>
      </c>
      <c r="AT68" s="186"/>
      <c r="AU68" s="186">
        <v>0</v>
      </c>
      <c r="AV68" s="186">
        <v>1945.522921</v>
      </c>
      <c r="AW68" s="186"/>
      <c r="AX68" s="186"/>
      <c r="AY68" s="186">
        <v>1945.522921</v>
      </c>
      <c r="AZ68" s="186"/>
      <c r="BA68" s="186"/>
      <c r="BB68" s="186">
        <v>1945.522921</v>
      </c>
      <c r="BC68" s="186"/>
      <c r="BD68" s="186">
        <v>0</v>
      </c>
      <c r="BE68" s="186">
        <v>97.276146049999994</v>
      </c>
      <c r="BF68" s="186">
        <v>1300</v>
      </c>
      <c r="BG68" s="186"/>
      <c r="BH68" s="186"/>
      <c r="BI68" s="186">
        <v>1300</v>
      </c>
      <c r="BJ68" s="283">
        <f t="shared" si="27"/>
        <v>0</v>
      </c>
      <c r="BK68" s="186"/>
      <c r="BL68" s="186"/>
      <c r="BM68" s="186">
        <v>1300</v>
      </c>
      <c r="BN68" s="186"/>
      <c r="BO68" s="186">
        <v>0</v>
      </c>
      <c r="BP68" s="284">
        <v>1300</v>
      </c>
      <c r="BQ68" s="284"/>
      <c r="BR68" s="284"/>
      <c r="BS68" s="284">
        <v>1300</v>
      </c>
      <c r="BT68" s="284"/>
      <c r="BU68" s="284"/>
      <c r="BV68" s="284">
        <v>1300</v>
      </c>
      <c r="BW68" s="284"/>
      <c r="BX68" s="186">
        <v>0</v>
      </c>
      <c r="BY68" s="285">
        <v>100</v>
      </c>
      <c r="BZ68" s="286">
        <v>0</v>
      </c>
      <c r="CA68" s="286"/>
      <c r="CB68" s="286"/>
      <c r="CC68" s="286"/>
      <c r="CD68" s="187"/>
      <c r="CE68" s="286">
        <v>0</v>
      </c>
      <c r="CF68" s="286"/>
      <c r="CG68" s="286"/>
      <c r="CH68" s="286"/>
      <c r="CI68" s="187"/>
      <c r="CJ68" s="288"/>
      <c r="CK68" s="288"/>
      <c r="CL68" s="288"/>
      <c r="CM68" s="288"/>
      <c r="CN68" s="187">
        <v>48.743113999999998</v>
      </c>
      <c r="CO68" s="187">
        <v>0</v>
      </c>
      <c r="CP68" s="184"/>
      <c r="CQ68" s="184"/>
      <c r="CR68" s="184"/>
      <c r="CS68" s="184"/>
      <c r="CT68" s="291"/>
      <c r="CU68" s="160"/>
    </row>
    <row r="69" spans="1:99" ht="60.75" customHeight="1" outlineLevel="1">
      <c r="A69" s="183">
        <v>22</v>
      </c>
      <c r="B69" s="279" t="s">
        <v>3196</v>
      </c>
      <c r="C69" s="183" t="s">
        <v>304</v>
      </c>
      <c r="D69" s="183" t="s">
        <v>3197</v>
      </c>
      <c r="E69" s="183" t="s">
        <v>3061</v>
      </c>
      <c r="F69" s="183" t="s">
        <v>49</v>
      </c>
      <c r="G69" s="183" t="s">
        <v>3198</v>
      </c>
      <c r="H69" s="183">
        <v>8133147</v>
      </c>
      <c r="I69" s="184" t="s">
        <v>311</v>
      </c>
      <c r="J69" s="183" t="s">
        <v>49</v>
      </c>
      <c r="K69" s="183" t="s">
        <v>3199</v>
      </c>
      <c r="L69" s="183">
        <v>2025</v>
      </c>
      <c r="M69" s="183">
        <v>2025</v>
      </c>
      <c r="N69" s="282"/>
      <c r="O69" s="282" t="s">
        <v>3200</v>
      </c>
      <c r="P69" s="283">
        <v>3266</v>
      </c>
      <c r="Q69" s="283"/>
      <c r="R69" s="283"/>
      <c r="S69" s="283">
        <v>3266</v>
      </c>
      <c r="T69" s="186">
        <v>0</v>
      </c>
      <c r="U69" s="186"/>
      <c r="V69" s="282" t="s">
        <v>3199</v>
      </c>
      <c r="W69" s="282" t="s">
        <v>853</v>
      </c>
      <c r="X69" s="282" t="s">
        <v>311</v>
      </c>
      <c r="Y69" s="283"/>
      <c r="Z69" s="283"/>
      <c r="AA69" s="283"/>
      <c r="AB69" s="283"/>
      <c r="AC69" s="186">
        <v>3266</v>
      </c>
      <c r="AD69" s="283"/>
      <c r="AE69" s="283"/>
      <c r="AF69" s="186">
        <v>3266</v>
      </c>
      <c r="AG69" s="283">
        <f t="shared" si="25"/>
        <v>0</v>
      </c>
      <c r="AH69" s="283"/>
      <c r="AI69" s="283"/>
      <c r="AJ69" s="283">
        <v>3266</v>
      </c>
      <c r="AK69" s="283"/>
      <c r="AL69" s="186">
        <v>0</v>
      </c>
      <c r="AM69" s="186">
        <v>1266</v>
      </c>
      <c r="AN69" s="283"/>
      <c r="AO69" s="283"/>
      <c r="AP69" s="186">
        <v>1266</v>
      </c>
      <c r="AQ69" s="283"/>
      <c r="AR69" s="283"/>
      <c r="AS69" s="283">
        <v>1266</v>
      </c>
      <c r="AT69" s="283"/>
      <c r="AU69" s="186">
        <v>0</v>
      </c>
      <c r="AV69" s="186">
        <v>154.90600000000001</v>
      </c>
      <c r="AW69" s="283"/>
      <c r="AX69" s="283"/>
      <c r="AY69" s="186">
        <v>154.90600000000001</v>
      </c>
      <c r="AZ69" s="283"/>
      <c r="BA69" s="283"/>
      <c r="BB69" s="283">
        <v>154.90600000000001</v>
      </c>
      <c r="BC69" s="283"/>
      <c r="BD69" s="186">
        <v>0</v>
      </c>
      <c r="BE69" s="186">
        <v>12.235860979462876</v>
      </c>
      <c r="BF69" s="186">
        <v>166.44900000000001</v>
      </c>
      <c r="BG69" s="283"/>
      <c r="BH69" s="283"/>
      <c r="BI69" s="186">
        <v>166.44900000000001</v>
      </c>
      <c r="BJ69" s="283">
        <f t="shared" si="27"/>
        <v>0</v>
      </c>
      <c r="BK69" s="283"/>
      <c r="BL69" s="283"/>
      <c r="BM69" s="283">
        <v>166.44900000000001</v>
      </c>
      <c r="BN69" s="283"/>
      <c r="BO69" s="186">
        <v>0</v>
      </c>
      <c r="BP69" s="284">
        <v>154.90600000000001</v>
      </c>
      <c r="BQ69" s="283"/>
      <c r="BR69" s="283"/>
      <c r="BS69" s="284">
        <v>154.90600000000001</v>
      </c>
      <c r="BT69" s="283"/>
      <c r="BU69" s="283"/>
      <c r="BV69" s="283">
        <v>154.90600000000001</v>
      </c>
      <c r="BW69" s="283"/>
      <c r="BX69" s="186">
        <v>0</v>
      </c>
      <c r="BY69" s="285">
        <v>93.065143076858377</v>
      </c>
      <c r="BZ69" s="286">
        <v>0</v>
      </c>
      <c r="CA69" s="287"/>
      <c r="CB69" s="287"/>
      <c r="CC69" s="287"/>
      <c r="CD69" s="187"/>
      <c r="CE69" s="286">
        <v>0</v>
      </c>
      <c r="CF69" s="287"/>
      <c r="CG69" s="287"/>
      <c r="CH69" s="287"/>
      <c r="CI69" s="187"/>
      <c r="CJ69" s="288"/>
      <c r="CK69" s="288"/>
      <c r="CL69" s="288"/>
      <c r="CM69" s="288"/>
      <c r="CN69" s="288"/>
      <c r="CO69" s="187">
        <v>11.543000000000006</v>
      </c>
      <c r="CP69" s="184" t="s">
        <v>3071</v>
      </c>
      <c r="CQ69" s="184"/>
      <c r="CR69" s="280" t="s">
        <v>3201</v>
      </c>
      <c r="CS69" s="280"/>
      <c r="CT69" s="291"/>
      <c r="CU69" s="160"/>
    </row>
    <row r="70" spans="1:99" ht="97.5" customHeight="1" outlineLevel="1">
      <c r="A70" s="183">
        <v>23</v>
      </c>
      <c r="B70" s="315" t="s">
        <v>3202</v>
      </c>
      <c r="C70" s="280" t="s">
        <v>3042</v>
      </c>
      <c r="D70" s="183" t="s">
        <v>3203</v>
      </c>
      <c r="E70" s="280" t="s">
        <v>3061</v>
      </c>
      <c r="F70" s="183" t="s">
        <v>49</v>
      </c>
      <c r="G70" s="280" t="s">
        <v>3142</v>
      </c>
      <c r="H70" s="280"/>
      <c r="I70" s="184" t="s">
        <v>311</v>
      </c>
      <c r="J70" s="183" t="s">
        <v>49</v>
      </c>
      <c r="K70" s="280" t="s">
        <v>3204</v>
      </c>
      <c r="L70" s="183">
        <v>2021</v>
      </c>
      <c r="M70" s="183">
        <v>2021</v>
      </c>
      <c r="N70" s="282"/>
      <c r="O70" s="282" t="s">
        <v>3205</v>
      </c>
      <c r="P70" s="186">
        <v>998.5</v>
      </c>
      <c r="Q70" s="186"/>
      <c r="R70" s="186"/>
      <c r="S70" s="186">
        <v>960</v>
      </c>
      <c r="T70" s="186">
        <v>38.5</v>
      </c>
      <c r="U70" s="186"/>
      <c r="V70" s="282" t="s">
        <v>3204</v>
      </c>
      <c r="W70" s="282" t="s">
        <v>3115</v>
      </c>
      <c r="X70" s="282" t="s">
        <v>311</v>
      </c>
      <c r="Y70" s="303"/>
      <c r="Z70" s="303"/>
      <c r="AA70" s="303"/>
      <c r="AB70" s="303"/>
      <c r="AC70" s="186">
        <v>960</v>
      </c>
      <c r="AD70" s="186"/>
      <c r="AE70" s="186"/>
      <c r="AF70" s="186">
        <v>960</v>
      </c>
      <c r="AG70" s="283">
        <f t="shared" si="25"/>
        <v>0</v>
      </c>
      <c r="AH70" s="186"/>
      <c r="AI70" s="186"/>
      <c r="AJ70" s="186"/>
      <c r="AK70" s="186">
        <v>960</v>
      </c>
      <c r="AL70" s="186">
        <v>38.5</v>
      </c>
      <c r="AM70" s="186">
        <v>960</v>
      </c>
      <c r="AN70" s="186"/>
      <c r="AO70" s="186"/>
      <c r="AP70" s="186">
        <v>960</v>
      </c>
      <c r="AQ70" s="186"/>
      <c r="AR70" s="186"/>
      <c r="AS70" s="186"/>
      <c r="AT70" s="186">
        <v>960</v>
      </c>
      <c r="AU70" s="186">
        <v>38.5</v>
      </c>
      <c r="AV70" s="186">
        <v>960</v>
      </c>
      <c r="AW70" s="186"/>
      <c r="AX70" s="186"/>
      <c r="AY70" s="186">
        <v>960</v>
      </c>
      <c r="AZ70" s="186"/>
      <c r="BA70" s="186"/>
      <c r="BB70" s="186"/>
      <c r="BC70" s="186">
        <v>960</v>
      </c>
      <c r="BD70" s="186">
        <v>38.5</v>
      </c>
      <c r="BE70" s="186">
        <v>100</v>
      </c>
      <c r="BF70" s="186">
        <v>0</v>
      </c>
      <c r="BG70" s="186"/>
      <c r="BH70" s="186"/>
      <c r="BI70" s="186">
        <v>0</v>
      </c>
      <c r="BJ70" s="283">
        <f t="shared" si="27"/>
        <v>0</v>
      </c>
      <c r="BK70" s="186"/>
      <c r="BL70" s="186"/>
      <c r="BM70" s="186"/>
      <c r="BN70" s="186"/>
      <c r="BO70" s="186"/>
      <c r="BP70" s="284">
        <v>0</v>
      </c>
      <c r="BQ70" s="186"/>
      <c r="BR70" s="186"/>
      <c r="BS70" s="186"/>
      <c r="BT70" s="186"/>
      <c r="BU70" s="186"/>
      <c r="BV70" s="186"/>
      <c r="BW70" s="186"/>
      <c r="BX70" s="186"/>
      <c r="BY70" s="285"/>
      <c r="BZ70" s="286">
        <v>0</v>
      </c>
      <c r="CA70" s="187"/>
      <c r="CB70" s="187"/>
      <c r="CC70" s="187"/>
      <c r="CD70" s="187"/>
      <c r="CE70" s="286">
        <v>0</v>
      </c>
      <c r="CF70" s="187"/>
      <c r="CG70" s="187"/>
      <c r="CH70" s="187"/>
      <c r="CI70" s="187"/>
      <c r="CJ70" s="288"/>
      <c r="CK70" s="288"/>
      <c r="CL70" s="288"/>
      <c r="CM70" s="288"/>
      <c r="CN70" s="288"/>
      <c r="CO70" s="187">
        <v>0</v>
      </c>
      <c r="CP70" s="184"/>
      <c r="CQ70" s="184" t="s">
        <v>488</v>
      </c>
      <c r="CR70" s="310"/>
      <c r="CS70" s="310"/>
      <c r="CT70" s="301"/>
      <c r="CU70" s="161"/>
    </row>
    <row r="71" spans="1:99" ht="76.900000000000006" outlineLevel="1">
      <c r="A71" s="183">
        <v>24</v>
      </c>
      <c r="B71" s="315" t="s">
        <v>3206</v>
      </c>
      <c r="C71" s="280" t="s">
        <v>3042</v>
      </c>
      <c r="D71" s="183" t="s">
        <v>3207</v>
      </c>
      <c r="E71" s="280" t="s">
        <v>3061</v>
      </c>
      <c r="F71" s="183" t="s">
        <v>49</v>
      </c>
      <c r="G71" s="183" t="s">
        <v>55</v>
      </c>
      <c r="H71" s="183"/>
      <c r="I71" s="184" t="s">
        <v>311</v>
      </c>
      <c r="J71" s="183" t="s">
        <v>49</v>
      </c>
      <c r="K71" s="280" t="s">
        <v>3204</v>
      </c>
      <c r="L71" s="183">
        <v>2021</v>
      </c>
      <c r="M71" s="183">
        <v>2021</v>
      </c>
      <c r="N71" s="282"/>
      <c r="O71" s="282" t="s">
        <v>3208</v>
      </c>
      <c r="P71" s="186">
        <v>1400</v>
      </c>
      <c r="Q71" s="186"/>
      <c r="R71" s="186"/>
      <c r="S71" s="186">
        <v>1329</v>
      </c>
      <c r="T71" s="186">
        <v>71</v>
      </c>
      <c r="U71" s="186"/>
      <c r="V71" s="282" t="s">
        <v>3204</v>
      </c>
      <c r="W71" s="282" t="s">
        <v>3115</v>
      </c>
      <c r="X71" s="282" t="s">
        <v>311</v>
      </c>
      <c r="Y71" s="303"/>
      <c r="Z71" s="303"/>
      <c r="AA71" s="303"/>
      <c r="AB71" s="303"/>
      <c r="AC71" s="186">
        <v>1329</v>
      </c>
      <c r="AD71" s="186"/>
      <c r="AE71" s="186"/>
      <c r="AF71" s="186">
        <v>1329</v>
      </c>
      <c r="AG71" s="283">
        <f t="shared" si="25"/>
        <v>0</v>
      </c>
      <c r="AH71" s="186"/>
      <c r="AI71" s="186"/>
      <c r="AJ71" s="186"/>
      <c r="AK71" s="186">
        <v>1329</v>
      </c>
      <c r="AL71" s="186">
        <v>71</v>
      </c>
      <c r="AM71" s="186">
        <v>1329</v>
      </c>
      <c r="AN71" s="186"/>
      <c r="AO71" s="186"/>
      <c r="AP71" s="186">
        <v>1329</v>
      </c>
      <c r="AQ71" s="186"/>
      <c r="AR71" s="186"/>
      <c r="AS71" s="186"/>
      <c r="AT71" s="186">
        <v>1329</v>
      </c>
      <c r="AU71" s="186">
        <v>71</v>
      </c>
      <c r="AV71" s="186">
        <v>1329</v>
      </c>
      <c r="AW71" s="186"/>
      <c r="AX71" s="186"/>
      <c r="AY71" s="186">
        <v>1329</v>
      </c>
      <c r="AZ71" s="186"/>
      <c r="BA71" s="186"/>
      <c r="BB71" s="186"/>
      <c r="BC71" s="186">
        <v>1329</v>
      </c>
      <c r="BD71" s="186">
        <v>71</v>
      </c>
      <c r="BE71" s="186">
        <v>100</v>
      </c>
      <c r="BF71" s="186">
        <v>0</v>
      </c>
      <c r="BG71" s="186"/>
      <c r="BH71" s="186"/>
      <c r="BI71" s="186">
        <v>0</v>
      </c>
      <c r="BJ71" s="283">
        <f t="shared" si="27"/>
        <v>0</v>
      </c>
      <c r="BK71" s="186"/>
      <c r="BL71" s="186"/>
      <c r="BM71" s="186"/>
      <c r="BN71" s="186"/>
      <c r="BO71" s="186"/>
      <c r="BP71" s="284">
        <v>0</v>
      </c>
      <c r="BQ71" s="284"/>
      <c r="BR71" s="284"/>
      <c r="BS71" s="284"/>
      <c r="BT71" s="284"/>
      <c r="BU71" s="284"/>
      <c r="BV71" s="284"/>
      <c r="BW71" s="284"/>
      <c r="BX71" s="186"/>
      <c r="BY71" s="285"/>
      <c r="BZ71" s="286">
        <v>0</v>
      </c>
      <c r="CA71" s="286"/>
      <c r="CB71" s="286"/>
      <c r="CC71" s="286"/>
      <c r="CD71" s="187"/>
      <c r="CE71" s="286">
        <v>0</v>
      </c>
      <c r="CF71" s="286"/>
      <c r="CG71" s="286"/>
      <c r="CH71" s="286"/>
      <c r="CI71" s="187"/>
      <c r="CJ71" s="288"/>
      <c r="CK71" s="288"/>
      <c r="CL71" s="288"/>
      <c r="CM71" s="288"/>
      <c r="CN71" s="288"/>
      <c r="CO71" s="187">
        <v>0</v>
      </c>
      <c r="CP71" s="184"/>
      <c r="CQ71" s="184" t="s">
        <v>488</v>
      </c>
      <c r="CR71" s="310"/>
      <c r="CS71" s="310"/>
      <c r="CT71" s="301"/>
      <c r="CU71" s="161"/>
    </row>
    <row r="72" spans="1:99" ht="76.5" customHeight="1" outlineLevel="1">
      <c r="A72" s="183">
        <v>25</v>
      </c>
      <c r="B72" s="315" t="s">
        <v>3209</v>
      </c>
      <c r="C72" s="280" t="s">
        <v>3042</v>
      </c>
      <c r="D72" s="183" t="s">
        <v>3210</v>
      </c>
      <c r="E72" s="280" t="s">
        <v>3061</v>
      </c>
      <c r="F72" s="183" t="s">
        <v>49</v>
      </c>
      <c r="G72" s="280" t="s">
        <v>3142</v>
      </c>
      <c r="H72" s="280"/>
      <c r="I72" s="184" t="s">
        <v>311</v>
      </c>
      <c r="J72" s="183" t="s">
        <v>49</v>
      </c>
      <c r="K72" s="280" t="s">
        <v>3204</v>
      </c>
      <c r="L72" s="183">
        <v>2021</v>
      </c>
      <c r="M72" s="183">
        <v>2021</v>
      </c>
      <c r="N72" s="282"/>
      <c r="O72" s="282" t="s">
        <v>3211</v>
      </c>
      <c r="P72" s="186">
        <v>720</v>
      </c>
      <c r="Q72" s="186"/>
      <c r="R72" s="186"/>
      <c r="S72" s="186">
        <v>671</v>
      </c>
      <c r="T72" s="186">
        <v>49</v>
      </c>
      <c r="U72" s="186"/>
      <c r="V72" s="282" t="s">
        <v>3204</v>
      </c>
      <c r="W72" s="282" t="s">
        <v>3115</v>
      </c>
      <c r="X72" s="282" t="s">
        <v>311</v>
      </c>
      <c r="Y72" s="303"/>
      <c r="Z72" s="303"/>
      <c r="AA72" s="303"/>
      <c r="AB72" s="303"/>
      <c r="AC72" s="186">
        <v>671</v>
      </c>
      <c r="AD72" s="186"/>
      <c r="AE72" s="186"/>
      <c r="AF72" s="186">
        <v>671</v>
      </c>
      <c r="AG72" s="283">
        <f t="shared" si="25"/>
        <v>0</v>
      </c>
      <c r="AH72" s="186"/>
      <c r="AI72" s="186"/>
      <c r="AJ72" s="186"/>
      <c r="AK72" s="186">
        <v>671</v>
      </c>
      <c r="AL72" s="186">
        <v>49</v>
      </c>
      <c r="AM72" s="186">
        <v>671</v>
      </c>
      <c r="AN72" s="186"/>
      <c r="AO72" s="186"/>
      <c r="AP72" s="186">
        <v>671</v>
      </c>
      <c r="AQ72" s="186"/>
      <c r="AR72" s="186"/>
      <c r="AS72" s="186"/>
      <c r="AT72" s="186">
        <v>671</v>
      </c>
      <c r="AU72" s="186">
        <v>49</v>
      </c>
      <c r="AV72" s="186">
        <v>671</v>
      </c>
      <c r="AW72" s="186"/>
      <c r="AX72" s="186"/>
      <c r="AY72" s="186">
        <v>671</v>
      </c>
      <c r="AZ72" s="186"/>
      <c r="BA72" s="186"/>
      <c r="BB72" s="186"/>
      <c r="BC72" s="186">
        <v>671</v>
      </c>
      <c r="BD72" s="186">
        <v>49</v>
      </c>
      <c r="BE72" s="186">
        <v>100</v>
      </c>
      <c r="BF72" s="186">
        <v>0</v>
      </c>
      <c r="BG72" s="186"/>
      <c r="BH72" s="186"/>
      <c r="BI72" s="186">
        <v>0</v>
      </c>
      <c r="BJ72" s="283">
        <f t="shared" si="27"/>
        <v>0</v>
      </c>
      <c r="BK72" s="186"/>
      <c r="BL72" s="186"/>
      <c r="BM72" s="186"/>
      <c r="BN72" s="186"/>
      <c r="BO72" s="186"/>
      <c r="BP72" s="284">
        <v>0</v>
      </c>
      <c r="BQ72" s="284"/>
      <c r="BR72" s="284"/>
      <c r="BS72" s="284"/>
      <c r="BT72" s="284"/>
      <c r="BU72" s="284"/>
      <c r="BV72" s="284"/>
      <c r="BW72" s="284"/>
      <c r="BX72" s="186"/>
      <c r="BY72" s="285"/>
      <c r="BZ72" s="286">
        <v>0</v>
      </c>
      <c r="CA72" s="286"/>
      <c r="CB72" s="286"/>
      <c r="CC72" s="286"/>
      <c r="CD72" s="187"/>
      <c r="CE72" s="286">
        <v>0</v>
      </c>
      <c r="CF72" s="286"/>
      <c r="CG72" s="286"/>
      <c r="CH72" s="286"/>
      <c r="CI72" s="187"/>
      <c r="CJ72" s="288"/>
      <c r="CK72" s="288"/>
      <c r="CL72" s="288"/>
      <c r="CM72" s="288"/>
      <c r="CN72" s="288"/>
      <c r="CO72" s="187">
        <v>0</v>
      </c>
      <c r="CP72" s="184"/>
      <c r="CQ72" s="184" t="s">
        <v>488</v>
      </c>
      <c r="CR72" s="310"/>
      <c r="CS72" s="310"/>
      <c r="CT72" s="301"/>
      <c r="CU72" s="161"/>
    </row>
    <row r="73" spans="1:99" ht="60" customHeight="1" outlineLevel="1">
      <c r="A73" s="183">
        <v>26</v>
      </c>
      <c r="B73" s="292" t="s">
        <v>3212</v>
      </c>
      <c r="C73" s="280" t="s">
        <v>3042</v>
      </c>
      <c r="D73" s="183" t="s">
        <v>3213</v>
      </c>
      <c r="E73" s="183" t="s">
        <v>3061</v>
      </c>
      <c r="F73" s="183" t="s">
        <v>49</v>
      </c>
      <c r="G73" s="183" t="s">
        <v>55</v>
      </c>
      <c r="H73" s="183"/>
      <c r="I73" s="184" t="s">
        <v>311</v>
      </c>
      <c r="J73" s="183" t="s">
        <v>49</v>
      </c>
      <c r="K73" s="280" t="s">
        <v>3204</v>
      </c>
      <c r="L73" s="183">
        <v>2021</v>
      </c>
      <c r="M73" s="183">
        <v>2021</v>
      </c>
      <c r="N73" s="282"/>
      <c r="O73" s="282" t="s">
        <v>3214</v>
      </c>
      <c r="P73" s="186">
        <v>340</v>
      </c>
      <c r="Q73" s="186"/>
      <c r="R73" s="186"/>
      <c r="S73" s="186">
        <v>340</v>
      </c>
      <c r="T73" s="186">
        <v>0</v>
      </c>
      <c r="U73" s="186"/>
      <c r="V73" s="282" t="s">
        <v>3204</v>
      </c>
      <c r="W73" s="282" t="s">
        <v>3115</v>
      </c>
      <c r="X73" s="282" t="s">
        <v>311</v>
      </c>
      <c r="Y73" s="303"/>
      <c r="Z73" s="303"/>
      <c r="AA73" s="303"/>
      <c r="AB73" s="303"/>
      <c r="AC73" s="186">
        <v>340</v>
      </c>
      <c r="AD73" s="186"/>
      <c r="AE73" s="186"/>
      <c r="AF73" s="186">
        <v>340</v>
      </c>
      <c r="AG73" s="283">
        <f t="shared" si="25"/>
        <v>270</v>
      </c>
      <c r="AH73" s="186">
        <v>270</v>
      </c>
      <c r="AI73" s="186"/>
      <c r="AJ73" s="194"/>
      <c r="AK73" s="186">
        <v>70</v>
      </c>
      <c r="AL73" s="186">
        <v>0</v>
      </c>
      <c r="AM73" s="186">
        <v>70</v>
      </c>
      <c r="AN73" s="186"/>
      <c r="AO73" s="186"/>
      <c r="AP73" s="186">
        <v>70</v>
      </c>
      <c r="AQ73" s="186"/>
      <c r="AR73" s="186"/>
      <c r="AS73" s="186"/>
      <c r="AT73" s="186">
        <v>70</v>
      </c>
      <c r="AU73" s="186">
        <v>0</v>
      </c>
      <c r="AV73" s="186">
        <v>70</v>
      </c>
      <c r="AW73" s="186"/>
      <c r="AX73" s="186"/>
      <c r="AY73" s="186">
        <v>70</v>
      </c>
      <c r="AZ73" s="186"/>
      <c r="BA73" s="186"/>
      <c r="BB73" s="186"/>
      <c r="BC73" s="186">
        <v>70</v>
      </c>
      <c r="BD73" s="186">
        <v>0</v>
      </c>
      <c r="BE73" s="186">
        <v>100</v>
      </c>
      <c r="BF73" s="186">
        <v>0</v>
      </c>
      <c r="BG73" s="186"/>
      <c r="BH73" s="186"/>
      <c r="BI73" s="186">
        <v>0</v>
      </c>
      <c r="BJ73" s="283">
        <f t="shared" si="27"/>
        <v>0</v>
      </c>
      <c r="BK73" s="186"/>
      <c r="BL73" s="186"/>
      <c r="BM73" s="186"/>
      <c r="BN73" s="186"/>
      <c r="BO73" s="186">
        <v>0</v>
      </c>
      <c r="BP73" s="284">
        <v>0</v>
      </c>
      <c r="BQ73" s="284"/>
      <c r="BR73" s="284"/>
      <c r="BS73" s="284"/>
      <c r="BT73" s="284"/>
      <c r="BU73" s="284"/>
      <c r="BV73" s="284"/>
      <c r="BW73" s="284"/>
      <c r="BX73" s="186">
        <v>0</v>
      </c>
      <c r="BY73" s="285"/>
      <c r="BZ73" s="286">
        <v>0</v>
      </c>
      <c r="CA73" s="286"/>
      <c r="CB73" s="286"/>
      <c r="CC73" s="286"/>
      <c r="CD73" s="187">
        <v>0</v>
      </c>
      <c r="CE73" s="286">
        <v>0</v>
      </c>
      <c r="CF73" s="286"/>
      <c r="CG73" s="286"/>
      <c r="CH73" s="286"/>
      <c r="CI73" s="187"/>
      <c r="CJ73" s="288"/>
      <c r="CK73" s="288"/>
      <c r="CL73" s="288"/>
      <c r="CM73" s="288"/>
      <c r="CN73" s="288"/>
      <c r="CO73" s="187">
        <v>0</v>
      </c>
      <c r="CP73" s="184"/>
      <c r="CQ73" s="184" t="s">
        <v>488</v>
      </c>
      <c r="CR73" s="183"/>
      <c r="CS73" s="183"/>
      <c r="CT73" s="301"/>
      <c r="CU73" s="161"/>
    </row>
    <row r="74" spans="1:99" ht="79.5" customHeight="1" outlineLevel="1">
      <c r="A74" s="183">
        <v>27</v>
      </c>
      <c r="B74" s="279" t="s">
        <v>3215</v>
      </c>
      <c r="C74" s="280" t="s">
        <v>3042</v>
      </c>
      <c r="D74" s="183" t="s">
        <v>3216</v>
      </c>
      <c r="E74" s="183" t="s">
        <v>3217</v>
      </c>
      <c r="F74" s="183" t="s">
        <v>49</v>
      </c>
      <c r="G74" s="183" t="s">
        <v>48</v>
      </c>
      <c r="H74" s="183"/>
      <c r="I74" s="184" t="s">
        <v>311</v>
      </c>
      <c r="J74" s="183" t="s">
        <v>49</v>
      </c>
      <c r="K74" s="280" t="s">
        <v>3218</v>
      </c>
      <c r="L74" s="183">
        <v>2021</v>
      </c>
      <c r="M74" s="183">
        <v>2021</v>
      </c>
      <c r="N74" s="282"/>
      <c r="O74" s="282" t="s">
        <v>3219</v>
      </c>
      <c r="P74" s="186">
        <v>1235.789</v>
      </c>
      <c r="Q74" s="186"/>
      <c r="R74" s="186"/>
      <c r="S74" s="186">
        <v>1150</v>
      </c>
      <c r="T74" s="186">
        <v>85.788999999999987</v>
      </c>
      <c r="U74" s="186"/>
      <c r="V74" s="282" t="s">
        <v>3218</v>
      </c>
      <c r="W74" s="282" t="s">
        <v>3115</v>
      </c>
      <c r="X74" s="282" t="s">
        <v>311</v>
      </c>
      <c r="Y74" s="303"/>
      <c r="Z74" s="303"/>
      <c r="AA74" s="303"/>
      <c r="AB74" s="303"/>
      <c r="AC74" s="186">
        <v>1150</v>
      </c>
      <c r="AD74" s="186"/>
      <c r="AE74" s="186"/>
      <c r="AF74" s="186">
        <v>1150</v>
      </c>
      <c r="AG74" s="283">
        <f t="shared" si="25"/>
        <v>0</v>
      </c>
      <c r="AH74" s="186"/>
      <c r="AI74" s="186"/>
      <c r="AJ74" s="186"/>
      <c r="AK74" s="186">
        <v>1150</v>
      </c>
      <c r="AL74" s="186">
        <v>85.788999999999987</v>
      </c>
      <c r="AM74" s="186">
        <v>1150</v>
      </c>
      <c r="AN74" s="186"/>
      <c r="AO74" s="186"/>
      <c r="AP74" s="186">
        <v>1150</v>
      </c>
      <c r="AQ74" s="186"/>
      <c r="AR74" s="186"/>
      <c r="AS74" s="186"/>
      <c r="AT74" s="186">
        <v>1150</v>
      </c>
      <c r="AU74" s="186">
        <v>85.788999999999987</v>
      </c>
      <c r="AV74" s="186">
        <v>1150</v>
      </c>
      <c r="AW74" s="186"/>
      <c r="AX74" s="186"/>
      <c r="AY74" s="186">
        <v>1150</v>
      </c>
      <c r="AZ74" s="186"/>
      <c r="BA74" s="186"/>
      <c r="BB74" s="186"/>
      <c r="BC74" s="186">
        <v>1150</v>
      </c>
      <c r="BD74" s="186">
        <v>85.788999999999987</v>
      </c>
      <c r="BE74" s="186">
        <v>100</v>
      </c>
      <c r="BF74" s="186">
        <v>0</v>
      </c>
      <c r="BG74" s="186"/>
      <c r="BH74" s="186"/>
      <c r="BI74" s="186">
        <v>0</v>
      </c>
      <c r="BJ74" s="283">
        <f t="shared" si="27"/>
        <v>0</v>
      </c>
      <c r="BK74" s="186"/>
      <c r="BL74" s="186"/>
      <c r="BM74" s="186"/>
      <c r="BN74" s="186"/>
      <c r="BO74" s="186"/>
      <c r="BP74" s="284">
        <v>0</v>
      </c>
      <c r="BQ74" s="186"/>
      <c r="BR74" s="186"/>
      <c r="BS74" s="284"/>
      <c r="BT74" s="284"/>
      <c r="BU74" s="284"/>
      <c r="BV74" s="284"/>
      <c r="BW74" s="284"/>
      <c r="BX74" s="186"/>
      <c r="BY74" s="285"/>
      <c r="BZ74" s="286">
        <v>0</v>
      </c>
      <c r="CA74" s="187"/>
      <c r="CB74" s="187"/>
      <c r="CC74" s="286"/>
      <c r="CD74" s="187"/>
      <c r="CE74" s="286">
        <v>0</v>
      </c>
      <c r="CF74" s="187"/>
      <c r="CG74" s="187"/>
      <c r="CH74" s="286"/>
      <c r="CI74" s="187"/>
      <c r="CJ74" s="288"/>
      <c r="CK74" s="288"/>
      <c r="CL74" s="288"/>
      <c r="CM74" s="288"/>
      <c r="CN74" s="288"/>
      <c r="CO74" s="187">
        <v>0</v>
      </c>
      <c r="CP74" s="184"/>
      <c r="CQ74" s="184" t="s">
        <v>488</v>
      </c>
      <c r="CR74" s="183"/>
      <c r="CS74" s="183"/>
      <c r="CT74" s="301"/>
      <c r="CU74" s="161"/>
    </row>
    <row r="75" spans="1:99" ht="57" customHeight="1" outlineLevel="1">
      <c r="A75" s="183">
        <v>28</v>
      </c>
      <c r="B75" s="279" t="s">
        <v>3220</v>
      </c>
      <c r="C75" s="280" t="s">
        <v>3042</v>
      </c>
      <c r="D75" s="183" t="s">
        <v>3221</v>
      </c>
      <c r="E75" s="183" t="s">
        <v>3222</v>
      </c>
      <c r="F75" s="183" t="s">
        <v>49</v>
      </c>
      <c r="G75" s="183" t="s">
        <v>48</v>
      </c>
      <c r="H75" s="183"/>
      <c r="I75" s="184" t="s">
        <v>311</v>
      </c>
      <c r="J75" s="183" t="s">
        <v>49</v>
      </c>
      <c r="K75" s="280" t="s">
        <v>3187</v>
      </c>
      <c r="L75" s="183">
        <v>2021</v>
      </c>
      <c r="M75" s="183">
        <v>2021</v>
      </c>
      <c r="N75" s="282"/>
      <c r="O75" s="282" t="s">
        <v>3223</v>
      </c>
      <c r="P75" s="186">
        <v>132</v>
      </c>
      <c r="Q75" s="186"/>
      <c r="R75" s="186"/>
      <c r="S75" s="186">
        <v>132</v>
      </c>
      <c r="T75" s="186">
        <v>0</v>
      </c>
      <c r="U75" s="186"/>
      <c r="V75" s="282" t="s">
        <v>3187</v>
      </c>
      <c r="W75" s="282" t="s">
        <v>3115</v>
      </c>
      <c r="X75" s="282" t="s">
        <v>311</v>
      </c>
      <c r="Y75" s="303"/>
      <c r="Z75" s="303"/>
      <c r="AA75" s="303"/>
      <c r="AB75" s="303"/>
      <c r="AC75" s="186">
        <v>132</v>
      </c>
      <c r="AD75" s="186"/>
      <c r="AE75" s="186"/>
      <c r="AF75" s="186">
        <v>132</v>
      </c>
      <c r="AG75" s="283">
        <f t="shared" si="25"/>
        <v>0</v>
      </c>
      <c r="AH75" s="186"/>
      <c r="AI75" s="186"/>
      <c r="AJ75" s="186"/>
      <c r="AK75" s="186">
        <v>132</v>
      </c>
      <c r="AL75" s="186">
        <v>0</v>
      </c>
      <c r="AM75" s="186">
        <v>132</v>
      </c>
      <c r="AN75" s="186"/>
      <c r="AO75" s="186"/>
      <c r="AP75" s="186">
        <v>132</v>
      </c>
      <c r="AQ75" s="186"/>
      <c r="AR75" s="186"/>
      <c r="AS75" s="186"/>
      <c r="AT75" s="186">
        <v>132</v>
      </c>
      <c r="AU75" s="186">
        <v>0</v>
      </c>
      <c r="AV75" s="186">
        <v>132</v>
      </c>
      <c r="AW75" s="186"/>
      <c r="AX75" s="186"/>
      <c r="AY75" s="186">
        <v>132</v>
      </c>
      <c r="AZ75" s="186"/>
      <c r="BA75" s="186"/>
      <c r="BB75" s="186"/>
      <c r="BC75" s="186">
        <v>132</v>
      </c>
      <c r="BD75" s="186">
        <v>0</v>
      </c>
      <c r="BE75" s="186">
        <v>100</v>
      </c>
      <c r="BF75" s="186">
        <v>0</v>
      </c>
      <c r="BG75" s="186"/>
      <c r="BH75" s="186"/>
      <c r="BI75" s="186">
        <v>0</v>
      </c>
      <c r="BJ75" s="283">
        <f t="shared" si="27"/>
        <v>0</v>
      </c>
      <c r="BK75" s="186"/>
      <c r="BL75" s="186"/>
      <c r="BM75" s="186"/>
      <c r="BN75" s="186"/>
      <c r="BO75" s="186">
        <v>0</v>
      </c>
      <c r="BP75" s="284">
        <v>0</v>
      </c>
      <c r="BQ75" s="186"/>
      <c r="BR75" s="186"/>
      <c r="BS75" s="284"/>
      <c r="BT75" s="284"/>
      <c r="BU75" s="284"/>
      <c r="BV75" s="284"/>
      <c r="BW75" s="284"/>
      <c r="BX75" s="186">
        <v>0</v>
      </c>
      <c r="BY75" s="285"/>
      <c r="BZ75" s="286">
        <v>0</v>
      </c>
      <c r="CA75" s="187"/>
      <c r="CB75" s="187"/>
      <c r="CC75" s="286"/>
      <c r="CD75" s="187">
        <v>0</v>
      </c>
      <c r="CE75" s="286">
        <v>0</v>
      </c>
      <c r="CF75" s="187"/>
      <c r="CG75" s="187"/>
      <c r="CH75" s="286"/>
      <c r="CI75" s="187"/>
      <c r="CJ75" s="288"/>
      <c r="CK75" s="288"/>
      <c r="CL75" s="288"/>
      <c r="CM75" s="288"/>
      <c r="CN75" s="288"/>
      <c r="CO75" s="187">
        <v>0</v>
      </c>
      <c r="CP75" s="184"/>
      <c r="CQ75" s="184" t="s">
        <v>488</v>
      </c>
      <c r="CR75" s="183"/>
      <c r="CS75" s="183"/>
      <c r="CT75" s="301"/>
      <c r="CU75" s="161"/>
    </row>
    <row r="76" spans="1:99" ht="69.75" customHeight="1" outlineLevel="1">
      <c r="A76" s="183">
        <v>29</v>
      </c>
      <c r="B76" s="279" t="s">
        <v>3224</v>
      </c>
      <c r="C76" s="280" t="s">
        <v>3042</v>
      </c>
      <c r="D76" s="183" t="s">
        <v>3225</v>
      </c>
      <c r="E76" s="183" t="s">
        <v>3061</v>
      </c>
      <c r="F76" s="183" t="s">
        <v>49</v>
      </c>
      <c r="G76" s="183" t="s">
        <v>48</v>
      </c>
      <c r="H76" s="183"/>
      <c r="I76" s="184" t="s">
        <v>311</v>
      </c>
      <c r="J76" s="183" t="s">
        <v>49</v>
      </c>
      <c r="K76" s="183" t="s">
        <v>3122</v>
      </c>
      <c r="L76" s="183" t="s">
        <v>76</v>
      </c>
      <c r="M76" s="183">
        <v>2022</v>
      </c>
      <c r="N76" s="282"/>
      <c r="O76" s="282" t="s">
        <v>3226</v>
      </c>
      <c r="P76" s="283">
        <v>2547</v>
      </c>
      <c r="Q76" s="283"/>
      <c r="R76" s="283"/>
      <c r="S76" s="283">
        <v>2547</v>
      </c>
      <c r="T76" s="186">
        <v>0</v>
      </c>
      <c r="U76" s="186"/>
      <c r="V76" s="282" t="s">
        <v>3122</v>
      </c>
      <c r="W76" s="282" t="s">
        <v>3115</v>
      </c>
      <c r="X76" s="282" t="s">
        <v>311</v>
      </c>
      <c r="Y76" s="283"/>
      <c r="Z76" s="283"/>
      <c r="AA76" s="283"/>
      <c r="AB76" s="283"/>
      <c r="AC76" s="186">
        <v>2547</v>
      </c>
      <c r="AD76" s="283"/>
      <c r="AE76" s="283"/>
      <c r="AF76" s="186">
        <v>2547</v>
      </c>
      <c r="AG76" s="283">
        <f t="shared" si="25"/>
        <v>0</v>
      </c>
      <c r="AH76" s="283"/>
      <c r="AI76" s="283"/>
      <c r="AJ76" s="283"/>
      <c r="AK76" s="186">
        <v>2547</v>
      </c>
      <c r="AL76" s="186">
        <v>0</v>
      </c>
      <c r="AM76" s="186">
        <v>2547</v>
      </c>
      <c r="AN76" s="283"/>
      <c r="AO76" s="283"/>
      <c r="AP76" s="186">
        <v>2547</v>
      </c>
      <c r="AQ76" s="283"/>
      <c r="AR76" s="283"/>
      <c r="AS76" s="283"/>
      <c r="AT76" s="283">
        <v>2547</v>
      </c>
      <c r="AU76" s="186">
        <v>0</v>
      </c>
      <c r="AV76" s="186">
        <v>2547</v>
      </c>
      <c r="AW76" s="283"/>
      <c r="AX76" s="283"/>
      <c r="AY76" s="186">
        <v>2547</v>
      </c>
      <c r="AZ76" s="283"/>
      <c r="BA76" s="283"/>
      <c r="BB76" s="283"/>
      <c r="BC76" s="283">
        <v>2547</v>
      </c>
      <c r="BD76" s="186">
        <v>0</v>
      </c>
      <c r="BE76" s="186">
        <v>100</v>
      </c>
      <c r="BF76" s="186">
        <v>0</v>
      </c>
      <c r="BG76" s="283"/>
      <c r="BH76" s="283"/>
      <c r="BI76" s="186">
        <v>0</v>
      </c>
      <c r="BJ76" s="283">
        <f t="shared" si="27"/>
        <v>0</v>
      </c>
      <c r="BK76" s="283"/>
      <c r="BL76" s="283"/>
      <c r="BM76" s="283"/>
      <c r="BN76" s="283"/>
      <c r="BO76" s="186">
        <v>0</v>
      </c>
      <c r="BP76" s="284">
        <v>0</v>
      </c>
      <c r="BQ76" s="283"/>
      <c r="BR76" s="283"/>
      <c r="BS76" s="283"/>
      <c r="BT76" s="283"/>
      <c r="BU76" s="283"/>
      <c r="BV76" s="283"/>
      <c r="BW76" s="283"/>
      <c r="BX76" s="186">
        <v>0</v>
      </c>
      <c r="BY76" s="285"/>
      <c r="BZ76" s="286">
        <v>0</v>
      </c>
      <c r="CA76" s="287"/>
      <c r="CB76" s="287"/>
      <c r="CC76" s="287"/>
      <c r="CD76" s="187">
        <v>0</v>
      </c>
      <c r="CE76" s="286">
        <v>0</v>
      </c>
      <c r="CF76" s="287"/>
      <c r="CG76" s="287"/>
      <c r="CH76" s="287"/>
      <c r="CI76" s="187"/>
      <c r="CJ76" s="288"/>
      <c r="CK76" s="288"/>
      <c r="CL76" s="288"/>
      <c r="CM76" s="288"/>
      <c r="CN76" s="288"/>
      <c r="CO76" s="187">
        <v>0</v>
      </c>
      <c r="CP76" s="184"/>
      <c r="CQ76" s="184" t="s">
        <v>488</v>
      </c>
      <c r="CR76" s="183"/>
      <c r="CS76" s="183"/>
      <c r="CT76" s="291"/>
      <c r="CU76" s="160"/>
    </row>
    <row r="77" spans="1:99" ht="59.25" customHeight="1" outlineLevel="1">
      <c r="A77" s="183">
        <v>30</v>
      </c>
      <c r="B77" s="315" t="s">
        <v>3227</v>
      </c>
      <c r="C77" s="280" t="s">
        <v>3228</v>
      </c>
      <c r="D77" s="280" t="s">
        <v>3229</v>
      </c>
      <c r="E77" s="280" t="s">
        <v>3061</v>
      </c>
      <c r="F77" s="183" t="s">
        <v>49</v>
      </c>
      <c r="G77" s="183" t="s">
        <v>48</v>
      </c>
      <c r="H77" s="183">
        <v>8147265</v>
      </c>
      <c r="I77" s="184" t="s">
        <v>311</v>
      </c>
      <c r="J77" s="183" t="s">
        <v>49</v>
      </c>
      <c r="K77" s="280" t="s">
        <v>3230</v>
      </c>
      <c r="L77" s="183" t="s">
        <v>54</v>
      </c>
      <c r="M77" s="183">
        <v>2023</v>
      </c>
      <c r="N77" s="282"/>
      <c r="O77" s="282" t="s">
        <v>3231</v>
      </c>
      <c r="P77" s="186">
        <v>18800</v>
      </c>
      <c r="Q77" s="186"/>
      <c r="R77" s="186"/>
      <c r="S77" s="186">
        <v>18800</v>
      </c>
      <c r="T77" s="186">
        <v>0</v>
      </c>
      <c r="U77" s="186"/>
      <c r="V77" s="282" t="s">
        <v>3230</v>
      </c>
      <c r="W77" s="282" t="s">
        <v>3115</v>
      </c>
      <c r="X77" s="282" t="s">
        <v>311</v>
      </c>
      <c r="Y77" s="186"/>
      <c r="Z77" s="186"/>
      <c r="AA77" s="186"/>
      <c r="AB77" s="186"/>
      <c r="AC77" s="186">
        <f t="shared" ref="AC77" si="203">AD77+AE77+AF77</f>
        <v>18800</v>
      </c>
      <c r="AD77" s="186"/>
      <c r="AE77" s="186"/>
      <c r="AF77" s="186">
        <f t="shared" ref="AF77" si="204">SUM(AH77:AK77)</f>
        <v>18800</v>
      </c>
      <c r="AG77" s="283">
        <f t="shared" si="25"/>
        <v>18800</v>
      </c>
      <c r="AH77" s="186">
        <v>18800</v>
      </c>
      <c r="AI77" s="186"/>
      <c r="AJ77" s="186"/>
      <c r="AK77" s="186"/>
      <c r="AL77" s="186">
        <v>0</v>
      </c>
      <c r="AM77" s="186">
        <f t="shared" ref="AM77" si="205">AN77+AO77+AP77</f>
        <v>18800</v>
      </c>
      <c r="AN77" s="186"/>
      <c r="AO77" s="186"/>
      <c r="AP77" s="186">
        <f t="shared" ref="AP77" si="206">SUM(AQ77:AT77)</f>
        <v>18800</v>
      </c>
      <c r="AQ77" s="186">
        <v>18800</v>
      </c>
      <c r="AR77" s="186"/>
      <c r="AS77" s="186"/>
      <c r="AT77" s="186"/>
      <c r="AU77" s="186">
        <v>0</v>
      </c>
      <c r="AV77" s="186">
        <f t="shared" ref="AV77" si="207">AW77+AX77+AY77</f>
        <v>7841.7235000000001</v>
      </c>
      <c r="AW77" s="186"/>
      <c r="AX77" s="186"/>
      <c r="AY77" s="186">
        <f t="shared" ref="AY77" si="208">SUM(AZ77:BC77)</f>
        <v>7841.7235000000001</v>
      </c>
      <c r="AZ77" s="186">
        <f>7000+841.7235</f>
        <v>7841.7235000000001</v>
      </c>
      <c r="BA77" s="186"/>
      <c r="BB77" s="186"/>
      <c r="BC77" s="186"/>
      <c r="BD77" s="186">
        <v>0</v>
      </c>
      <c r="BE77" s="186">
        <f t="shared" ref="BE77" si="209">AV77/AM77*100</f>
        <v>41.711295212765961</v>
      </c>
      <c r="BF77" s="186">
        <f t="shared" ref="BF77" si="210">BG77+BH77+BI77</f>
        <v>11800</v>
      </c>
      <c r="BG77" s="186"/>
      <c r="BH77" s="186"/>
      <c r="BI77" s="186">
        <f t="shared" ref="BI77" si="211">SUM(BK77:BN77)</f>
        <v>11800</v>
      </c>
      <c r="BJ77" s="283">
        <f t="shared" si="27"/>
        <v>11800</v>
      </c>
      <c r="BK77" s="186">
        <v>11800</v>
      </c>
      <c r="BL77" s="186"/>
      <c r="BM77" s="186"/>
      <c r="BN77" s="186"/>
      <c r="BO77" s="186">
        <v>0</v>
      </c>
      <c r="BP77" s="284">
        <f t="shared" ref="BP77" si="212">BQ77+BR77+BS77</f>
        <v>3354.3985859999998</v>
      </c>
      <c r="BQ77" s="186"/>
      <c r="BR77" s="186"/>
      <c r="BS77" s="283">
        <f>SUM(BT77:BW77)</f>
        <v>3354.3985859999998</v>
      </c>
      <c r="BT77" s="186">
        <v>3354.3985859999998</v>
      </c>
      <c r="BU77" s="186"/>
      <c r="BV77" s="186"/>
      <c r="BW77" s="186"/>
      <c r="BX77" s="186">
        <v>0</v>
      </c>
      <c r="BY77" s="285">
        <f>BP77/BF77*100</f>
        <v>28.42710666101695</v>
      </c>
      <c r="BZ77" s="286">
        <f t="shared" ref="BZ77" si="213">CA77+CC77+CD77</f>
        <v>0</v>
      </c>
      <c r="CA77" s="187"/>
      <c r="CB77" s="187"/>
      <c r="CC77" s="187"/>
      <c r="CD77" s="187">
        <v>0</v>
      </c>
      <c r="CE77" s="286">
        <f t="shared" ref="CE77" si="214">CF77+CH77+CI77</f>
        <v>0</v>
      </c>
      <c r="CF77" s="187"/>
      <c r="CG77" s="187"/>
      <c r="CH77" s="187"/>
      <c r="CI77" s="187"/>
      <c r="CJ77" s="288"/>
      <c r="CK77" s="288"/>
      <c r="CL77" s="288"/>
      <c r="CM77" s="288"/>
      <c r="CN77" s="288"/>
      <c r="CO77" s="187">
        <f>BF77-BP77</f>
        <v>8445.6014140000007</v>
      </c>
      <c r="CP77" s="184"/>
      <c r="CQ77" s="184"/>
      <c r="CR77" s="183"/>
      <c r="CS77" s="183"/>
      <c r="CT77" s="487"/>
      <c r="CU77" s="167"/>
    </row>
    <row r="78" spans="1:99" ht="57.75" customHeight="1" outlineLevel="1">
      <c r="A78" s="183">
        <v>31</v>
      </c>
      <c r="B78" s="279" t="s">
        <v>3232</v>
      </c>
      <c r="C78" s="280" t="s">
        <v>3033</v>
      </c>
      <c r="D78" s="183" t="s">
        <v>3233</v>
      </c>
      <c r="E78" s="183" t="s">
        <v>194</v>
      </c>
      <c r="F78" s="183" t="s">
        <v>49</v>
      </c>
      <c r="G78" s="183" t="s">
        <v>3049</v>
      </c>
      <c r="H78" s="183"/>
      <c r="I78" s="184" t="s">
        <v>311</v>
      </c>
      <c r="J78" s="183" t="s">
        <v>49</v>
      </c>
      <c r="K78" s="183" t="s">
        <v>3037</v>
      </c>
      <c r="L78" s="183" t="s">
        <v>75</v>
      </c>
      <c r="M78" s="281">
        <v>2021</v>
      </c>
      <c r="N78" s="282"/>
      <c r="O78" s="282" t="s">
        <v>3234</v>
      </c>
      <c r="P78" s="283">
        <v>630</v>
      </c>
      <c r="Q78" s="283"/>
      <c r="R78" s="283"/>
      <c r="S78" s="283">
        <v>630</v>
      </c>
      <c r="T78" s="186">
        <v>0</v>
      </c>
      <c r="U78" s="186"/>
      <c r="V78" s="282" t="s">
        <v>3037</v>
      </c>
      <c r="W78" s="282" t="s">
        <v>3039</v>
      </c>
      <c r="X78" s="282" t="s">
        <v>311</v>
      </c>
      <c r="Y78" s="283"/>
      <c r="Z78" s="283"/>
      <c r="AA78" s="283"/>
      <c r="AB78" s="283"/>
      <c r="AC78" s="186">
        <v>630</v>
      </c>
      <c r="AD78" s="283"/>
      <c r="AE78" s="283"/>
      <c r="AF78" s="186">
        <v>630</v>
      </c>
      <c r="AG78" s="283">
        <f t="shared" si="25"/>
        <v>0</v>
      </c>
      <c r="AH78" s="283"/>
      <c r="AI78" s="283"/>
      <c r="AJ78" s="283"/>
      <c r="AK78" s="283">
        <v>630</v>
      </c>
      <c r="AL78" s="186">
        <v>0</v>
      </c>
      <c r="AM78" s="186">
        <v>630</v>
      </c>
      <c r="AN78" s="283"/>
      <c r="AO78" s="283"/>
      <c r="AP78" s="186">
        <v>630</v>
      </c>
      <c r="AQ78" s="283"/>
      <c r="AR78" s="283"/>
      <c r="AS78" s="283"/>
      <c r="AT78" s="283">
        <v>630</v>
      </c>
      <c r="AU78" s="186">
        <v>0</v>
      </c>
      <c r="AV78" s="186">
        <v>630</v>
      </c>
      <c r="AW78" s="283"/>
      <c r="AX78" s="283"/>
      <c r="AY78" s="186">
        <v>630</v>
      </c>
      <c r="AZ78" s="283"/>
      <c r="BA78" s="283"/>
      <c r="BB78" s="283"/>
      <c r="BC78" s="283">
        <v>630</v>
      </c>
      <c r="BD78" s="186">
        <v>0</v>
      </c>
      <c r="BE78" s="186">
        <v>100</v>
      </c>
      <c r="BF78" s="186">
        <v>0</v>
      </c>
      <c r="BG78" s="283"/>
      <c r="BH78" s="283"/>
      <c r="BI78" s="186">
        <v>0</v>
      </c>
      <c r="BJ78" s="283">
        <f t="shared" si="27"/>
        <v>0</v>
      </c>
      <c r="BK78" s="283"/>
      <c r="BL78" s="283"/>
      <c r="BM78" s="283"/>
      <c r="BN78" s="283"/>
      <c r="BO78" s="186">
        <v>0</v>
      </c>
      <c r="BP78" s="284">
        <v>0</v>
      </c>
      <c r="BQ78" s="283"/>
      <c r="BR78" s="283"/>
      <c r="BS78" s="283"/>
      <c r="BT78" s="283"/>
      <c r="BU78" s="283"/>
      <c r="BV78" s="283"/>
      <c r="BW78" s="283"/>
      <c r="BX78" s="186">
        <v>0</v>
      </c>
      <c r="BY78" s="285"/>
      <c r="BZ78" s="286">
        <v>0</v>
      </c>
      <c r="CA78" s="287"/>
      <c r="CB78" s="287"/>
      <c r="CC78" s="287"/>
      <c r="CD78" s="187">
        <v>0</v>
      </c>
      <c r="CE78" s="286">
        <v>0</v>
      </c>
      <c r="CF78" s="287"/>
      <c r="CG78" s="287"/>
      <c r="CH78" s="287"/>
      <c r="CI78" s="187"/>
      <c r="CJ78" s="288"/>
      <c r="CK78" s="288"/>
      <c r="CL78" s="288"/>
      <c r="CM78" s="288"/>
      <c r="CN78" s="288"/>
      <c r="CO78" s="187">
        <v>0</v>
      </c>
      <c r="CP78" s="184"/>
      <c r="CQ78" s="184" t="s">
        <v>488</v>
      </c>
      <c r="CR78" s="280" t="s">
        <v>3201</v>
      </c>
      <c r="CS78" s="280"/>
      <c r="CT78" s="291"/>
      <c r="CU78" s="160"/>
    </row>
    <row r="79" spans="1:99" ht="65.25" customHeight="1" outlineLevel="1">
      <c r="A79" s="183">
        <v>32</v>
      </c>
      <c r="B79" s="292" t="s">
        <v>3235</v>
      </c>
      <c r="C79" s="280" t="s">
        <v>3033</v>
      </c>
      <c r="D79" s="183" t="s">
        <v>3236</v>
      </c>
      <c r="E79" s="183" t="s">
        <v>3061</v>
      </c>
      <c r="F79" s="183" t="s">
        <v>49</v>
      </c>
      <c r="G79" s="183" t="s">
        <v>3049</v>
      </c>
      <c r="H79" s="183"/>
      <c r="I79" s="184" t="s">
        <v>311</v>
      </c>
      <c r="J79" s="183" t="s">
        <v>49</v>
      </c>
      <c r="K79" s="183" t="s">
        <v>3237</v>
      </c>
      <c r="L79" s="183">
        <v>2024</v>
      </c>
      <c r="M79" s="183">
        <v>2024</v>
      </c>
      <c r="N79" s="282"/>
      <c r="O79" s="282" t="s">
        <v>3238</v>
      </c>
      <c r="P79" s="283">
        <v>4400</v>
      </c>
      <c r="Q79" s="283"/>
      <c r="R79" s="283"/>
      <c r="S79" s="283">
        <v>4400</v>
      </c>
      <c r="T79" s="186">
        <v>0</v>
      </c>
      <c r="U79" s="186"/>
      <c r="V79" s="282" t="s">
        <v>3237</v>
      </c>
      <c r="W79" s="282" t="s">
        <v>3115</v>
      </c>
      <c r="X79" s="282" t="s">
        <v>311</v>
      </c>
      <c r="Y79" s="283"/>
      <c r="Z79" s="283"/>
      <c r="AA79" s="283"/>
      <c r="AB79" s="283"/>
      <c r="AC79" s="186">
        <v>4400</v>
      </c>
      <c r="AD79" s="283"/>
      <c r="AE79" s="283"/>
      <c r="AF79" s="186">
        <v>4400</v>
      </c>
      <c r="AG79" s="283">
        <f t="shared" si="25"/>
        <v>0</v>
      </c>
      <c r="AH79" s="283"/>
      <c r="AI79" s="283"/>
      <c r="AJ79" s="283"/>
      <c r="AK79" s="283">
        <v>4400</v>
      </c>
      <c r="AL79" s="186">
        <v>0</v>
      </c>
      <c r="AM79" s="186">
        <v>4000</v>
      </c>
      <c r="AN79" s="283"/>
      <c r="AO79" s="283"/>
      <c r="AP79" s="186">
        <v>4000</v>
      </c>
      <c r="AQ79" s="283"/>
      <c r="AR79" s="283"/>
      <c r="AS79" s="283"/>
      <c r="AT79" s="283">
        <v>4000</v>
      </c>
      <c r="AU79" s="186">
        <v>0</v>
      </c>
      <c r="AV79" s="186">
        <v>4000</v>
      </c>
      <c r="AW79" s="283"/>
      <c r="AX79" s="283"/>
      <c r="AY79" s="186">
        <v>4000</v>
      </c>
      <c r="AZ79" s="283"/>
      <c r="BA79" s="283"/>
      <c r="BB79" s="283"/>
      <c r="BC79" s="283">
        <v>4000</v>
      </c>
      <c r="BD79" s="186">
        <v>0</v>
      </c>
      <c r="BE79" s="186">
        <v>100</v>
      </c>
      <c r="BF79" s="186">
        <v>0</v>
      </c>
      <c r="BG79" s="283"/>
      <c r="BH79" s="283"/>
      <c r="BI79" s="186">
        <v>0</v>
      </c>
      <c r="BJ79" s="283">
        <f t="shared" si="27"/>
        <v>0</v>
      </c>
      <c r="BK79" s="283"/>
      <c r="BL79" s="283"/>
      <c r="BM79" s="283"/>
      <c r="BN79" s="283"/>
      <c r="BO79" s="186">
        <v>0</v>
      </c>
      <c r="BP79" s="284">
        <v>0</v>
      </c>
      <c r="BQ79" s="283"/>
      <c r="BR79" s="283"/>
      <c r="BS79" s="283"/>
      <c r="BT79" s="283"/>
      <c r="BU79" s="283"/>
      <c r="BV79" s="283"/>
      <c r="BW79" s="283"/>
      <c r="BX79" s="186">
        <v>0</v>
      </c>
      <c r="BY79" s="285"/>
      <c r="BZ79" s="286">
        <v>0</v>
      </c>
      <c r="CA79" s="287"/>
      <c r="CB79" s="287"/>
      <c r="CC79" s="287"/>
      <c r="CD79" s="187">
        <v>0</v>
      </c>
      <c r="CE79" s="286">
        <v>0</v>
      </c>
      <c r="CF79" s="287"/>
      <c r="CG79" s="287"/>
      <c r="CH79" s="287"/>
      <c r="CI79" s="187"/>
      <c r="CJ79" s="288"/>
      <c r="CK79" s="288"/>
      <c r="CL79" s="288"/>
      <c r="CM79" s="288"/>
      <c r="CN79" s="187">
        <v>400</v>
      </c>
      <c r="CO79" s="187">
        <v>0</v>
      </c>
      <c r="CP79" s="184"/>
      <c r="CQ79" s="184" t="s">
        <v>488</v>
      </c>
      <c r="CR79" s="289"/>
      <c r="CS79" s="289"/>
      <c r="CT79" s="291"/>
      <c r="CU79" s="160"/>
    </row>
    <row r="80" spans="1:99" ht="51" customHeight="1" outlineLevel="1">
      <c r="A80" s="183">
        <v>33</v>
      </c>
      <c r="B80" s="493" t="s">
        <v>3239</v>
      </c>
      <c r="C80" s="183" t="s">
        <v>304</v>
      </c>
      <c r="D80" s="183" t="s">
        <v>3037</v>
      </c>
      <c r="E80" s="294" t="s">
        <v>3048</v>
      </c>
      <c r="F80" s="183" t="s">
        <v>49</v>
      </c>
      <c r="G80" s="183" t="s">
        <v>3049</v>
      </c>
      <c r="H80" s="183" t="s">
        <v>3045</v>
      </c>
      <c r="I80" s="184" t="s">
        <v>311</v>
      </c>
      <c r="J80" s="183" t="s">
        <v>49</v>
      </c>
      <c r="K80" s="494" t="s">
        <v>3204</v>
      </c>
      <c r="L80" s="183" t="s">
        <v>75</v>
      </c>
      <c r="M80" s="183">
        <v>2021</v>
      </c>
      <c r="N80" s="284"/>
      <c r="O80" s="282" t="s">
        <v>3240</v>
      </c>
      <c r="P80" s="283">
        <v>7238.7969999999996</v>
      </c>
      <c r="Q80" s="283"/>
      <c r="R80" s="283"/>
      <c r="S80" s="283">
        <v>7238.7969999999996</v>
      </c>
      <c r="T80" s="186"/>
      <c r="U80" s="186"/>
      <c r="V80" s="70" t="s">
        <v>3204</v>
      </c>
      <c r="W80" s="282" t="s">
        <v>3115</v>
      </c>
      <c r="X80" s="282" t="s">
        <v>311</v>
      </c>
      <c r="Y80" s="186"/>
      <c r="Z80" s="186"/>
      <c r="AA80" s="186"/>
      <c r="AB80" s="186"/>
      <c r="AC80" s="186">
        <f t="shared" ref="AC80" si="215">AD80+AE80+AF80</f>
        <v>7238.7969999999996</v>
      </c>
      <c r="AD80" s="283"/>
      <c r="AE80" s="283"/>
      <c r="AF80" s="186">
        <f t="shared" ref="AF80" si="216">SUM(AH80:AK80)</f>
        <v>7238.7969999999996</v>
      </c>
      <c r="AG80" s="283">
        <f t="shared" si="25"/>
        <v>0</v>
      </c>
      <c r="AH80" s="283"/>
      <c r="AI80" s="283"/>
      <c r="AJ80" s="283">
        <v>7238.7969999999996</v>
      </c>
      <c r="AK80" s="283"/>
      <c r="AL80" s="186"/>
      <c r="AM80" s="186">
        <f t="shared" ref="AM80" si="217">AN80+AO80+AP80</f>
        <v>7238.7969999999996</v>
      </c>
      <c r="AN80" s="283"/>
      <c r="AO80" s="283"/>
      <c r="AP80" s="186">
        <f t="shared" ref="AP80" si="218">SUM(AQ80:AT80)</f>
        <v>7238.7969999999996</v>
      </c>
      <c r="AQ80" s="283"/>
      <c r="AR80" s="283"/>
      <c r="AS80" s="283">
        <v>7238.7969999999996</v>
      </c>
      <c r="AT80" s="283"/>
      <c r="AU80" s="186"/>
      <c r="AV80" s="186">
        <f t="shared" ref="AV80" si="219">AW80+AX80+AY80</f>
        <v>7238.7969999999996</v>
      </c>
      <c r="AW80" s="283"/>
      <c r="AX80" s="283"/>
      <c r="AY80" s="186">
        <f t="shared" ref="AY80" si="220">SUM(AZ80:BC80)</f>
        <v>7238.7969999999996</v>
      </c>
      <c r="AZ80" s="283"/>
      <c r="BA80" s="283"/>
      <c r="BB80" s="283">
        <v>7238.7969999999996</v>
      </c>
      <c r="BC80" s="283"/>
      <c r="BD80" s="186"/>
      <c r="BE80" s="186"/>
      <c r="BF80" s="186">
        <f t="shared" ref="BF80" si="221">BG80+BH80+BI80</f>
        <v>0</v>
      </c>
      <c r="BG80" s="283"/>
      <c r="BH80" s="283"/>
      <c r="BI80" s="186">
        <f t="shared" ref="BI80" si="222">SUM(BK80:BN80)</f>
        <v>0</v>
      </c>
      <c r="BJ80" s="283">
        <f t="shared" si="27"/>
        <v>0</v>
      </c>
      <c r="BK80" s="283"/>
      <c r="BL80" s="283"/>
      <c r="BM80" s="283"/>
      <c r="BN80" s="283"/>
      <c r="BO80" s="186"/>
      <c r="BP80" s="284">
        <f t="shared" ref="BP80" si="223">BQ80+BR80+BS80</f>
        <v>0</v>
      </c>
      <c r="BQ80" s="283"/>
      <c r="BR80" s="283"/>
      <c r="BS80" s="283"/>
      <c r="BT80" s="283"/>
      <c r="BU80" s="283"/>
      <c r="BV80" s="283"/>
      <c r="BW80" s="283"/>
      <c r="BX80" s="186"/>
      <c r="BY80" s="186"/>
      <c r="BZ80" s="287"/>
      <c r="CA80" s="287"/>
      <c r="CB80" s="287"/>
      <c r="CC80" s="287"/>
      <c r="CD80" s="187"/>
      <c r="CE80" s="287"/>
      <c r="CF80" s="287"/>
      <c r="CG80" s="287"/>
      <c r="CH80" s="287"/>
      <c r="CI80" s="187"/>
      <c r="CJ80" s="187"/>
      <c r="CK80" s="187"/>
      <c r="CL80" s="187"/>
      <c r="CM80" s="187"/>
      <c r="CN80" s="187"/>
      <c r="CO80" s="187">
        <f t="shared" ref="CO80" si="224">BF80-BP80</f>
        <v>0</v>
      </c>
      <c r="CP80" s="187"/>
      <c r="CQ80" s="187"/>
      <c r="CR80" s="289" t="s">
        <v>3040</v>
      </c>
      <c r="CS80" s="289"/>
      <c r="CT80" s="291"/>
      <c r="CU80" s="160"/>
    </row>
    <row r="81" spans="1:99" ht="15.4" outlineLevel="1">
      <c r="A81" s="488" t="s">
        <v>45</v>
      </c>
      <c r="B81" s="489" t="s">
        <v>913</v>
      </c>
      <c r="C81" s="183"/>
      <c r="D81" s="183"/>
      <c r="E81" s="183"/>
      <c r="F81" s="183"/>
      <c r="G81" s="183"/>
      <c r="H81" s="183"/>
      <c r="I81" s="184"/>
      <c r="J81" s="183"/>
      <c r="K81" s="183"/>
      <c r="L81" s="183"/>
      <c r="M81" s="183"/>
      <c r="N81" s="282"/>
      <c r="O81" s="282"/>
      <c r="P81" s="186">
        <f t="shared" ref="P81:AU81" si="225">SUM(P82:P134)</f>
        <v>434380.29749599996</v>
      </c>
      <c r="Q81" s="186">
        <f t="shared" si="225"/>
        <v>0</v>
      </c>
      <c r="R81" s="186">
        <f t="shared" si="225"/>
        <v>70000</v>
      </c>
      <c r="S81" s="186">
        <f t="shared" si="225"/>
        <v>350666.29749599996</v>
      </c>
      <c r="T81" s="186">
        <f t="shared" si="225"/>
        <v>13714</v>
      </c>
      <c r="U81" s="186">
        <f t="shared" si="225"/>
        <v>0</v>
      </c>
      <c r="V81" s="285">
        <f t="shared" si="225"/>
        <v>0</v>
      </c>
      <c r="W81" s="285">
        <f t="shared" si="225"/>
        <v>0</v>
      </c>
      <c r="X81" s="285">
        <f t="shared" si="225"/>
        <v>0</v>
      </c>
      <c r="Y81" s="186">
        <f t="shared" si="225"/>
        <v>0</v>
      </c>
      <c r="Z81" s="186">
        <f t="shared" si="225"/>
        <v>0</v>
      </c>
      <c r="AA81" s="186">
        <f t="shared" si="225"/>
        <v>0</v>
      </c>
      <c r="AB81" s="186">
        <f t="shared" si="225"/>
        <v>0</v>
      </c>
      <c r="AC81" s="186">
        <f t="shared" si="225"/>
        <v>409106.29749599996</v>
      </c>
      <c r="AD81" s="186">
        <f t="shared" si="225"/>
        <v>0</v>
      </c>
      <c r="AE81" s="186">
        <f t="shared" si="225"/>
        <v>0</v>
      </c>
      <c r="AF81" s="186">
        <f t="shared" si="225"/>
        <v>339105.29749599996</v>
      </c>
      <c r="AG81" s="186">
        <f t="shared" si="225"/>
        <v>536</v>
      </c>
      <c r="AH81" s="186">
        <f t="shared" si="225"/>
        <v>536</v>
      </c>
      <c r="AI81" s="186">
        <f t="shared" si="225"/>
        <v>0</v>
      </c>
      <c r="AJ81" s="186">
        <f t="shared" si="225"/>
        <v>194979</v>
      </c>
      <c r="AK81" s="186">
        <f t="shared" si="225"/>
        <v>143590.29749600001</v>
      </c>
      <c r="AL81" s="186">
        <f t="shared" si="225"/>
        <v>13714</v>
      </c>
      <c r="AM81" s="186">
        <f t="shared" si="225"/>
        <v>536</v>
      </c>
      <c r="AN81" s="186">
        <f t="shared" si="225"/>
        <v>0</v>
      </c>
      <c r="AO81" s="186">
        <f t="shared" si="225"/>
        <v>0</v>
      </c>
      <c r="AP81" s="186">
        <f t="shared" si="225"/>
        <v>536</v>
      </c>
      <c r="AQ81" s="186">
        <f t="shared" si="225"/>
        <v>536</v>
      </c>
      <c r="AR81" s="186">
        <f t="shared" si="225"/>
        <v>0</v>
      </c>
      <c r="AS81" s="186">
        <f t="shared" si="225"/>
        <v>0</v>
      </c>
      <c r="AT81" s="186">
        <f t="shared" si="225"/>
        <v>0</v>
      </c>
      <c r="AU81" s="186">
        <f t="shared" si="225"/>
        <v>0</v>
      </c>
      <c r="AV81" s="186">
        <f t="shared" ref="AV81:BN81" si="226">SUM(AV82:AV134)</f>
        <v>0</v>
      </c>
      <c r="AW81" s="186">
        <f t="shared" si="226"/>
        <v>0</v>
      </c>
      <c r="AX81" s="186">
        <f t="shared" si="226"/>
        <v>0</v>
      </c>
      <c r="AY81" s="186">
        <f t="shared" si="226"/>
        <v>0</v>
      </c>
      <c r="AZ81" s="186">
        <f t="shared" si="226"/>
        <v>0</v>
      </c>
      <c r="BA81" s="186">
        <f t="shared" si="226"/>
        <v>0</v>
      </c>
      <c r="BB81" s="186">
        <f t="shared" si="226"/>
        <v>0</v>
      </c>
      <c r="BC81" s="186">
        <f t="shared" si="226"/>
        <v>0</v>
      </c>
      <c r="BD81" s="186">
        <f t="shared" si="226"/>
        <v>0</v>
      </c>
      <c r="BE81" s="186">
        <f t="shared" si="226"/>
        <v>0</v>
      </c>
      <c r="BF81" s="186">
        <f t="shared" si="226"/>
        <v>0</v>
      </c>
      <c r="BG81" s="186">
        <f t="shared" si="226"/>
        <v>0</v>
      </c>
      <c r="BH81" s="186">
        <f t="shared" si="226"/>
        <v>0</v>
      </c>
      <c r="BI81" s="186">
        <f t="shared" si="226"/>
        <v>0</v>
      </c>
      <c r="BJ81" s="186">
        <f t="shared" si="226"/>
        <v>0</v>
      </c>
      <c r="BK81" s="186">
        <f t="shared" si="226"/>
        <v>0</v>
      </c>
      <c r="BL81" s="186">
        <f t="shared" si="226"/>
        <v>0</v>
      </c>
      <c r="BM81" s="186">
        <f t="shared" si="226"/>
        <v>0</v>
      </c>
      <c r="BN81" s="186">
        <f t="shared" si="226"/>
        <v>0</v>
      </c>
      <c r="BO81" s="186"/>
      <c r="BP81" s="284"/>
      <c r="BQ81" s="186"/>
      <c r="BR81" s="186"/>
      <c r="BS81" s="186"/>
      <c r="BT81" s="186"/>
      <c r="BU81" s="186"/>
      <c r="BV81" s="186"/>
      <c r="BW81" s="186"/>
      <c r="BX81" s="186"/>
      <c r="BY81" s="285"/>
      <c r="BZ81" s="286"/>
      <c r="CA81" s="187"/>
      <c r="CB81" s="187"/>
      <c r="CC81" s="187"/>
      <c r="CD81" s="187"/>
      <c r="CE81" s="286"/>
      <c r="CF81" s="187"/>
      <c r="CG81" s="187"/>
      <c r="CH81" s="187"/>
      <c r="CI81" s="187"/>
      <c r="CJ81" s="288"/>
      <c r="CK81" s="288"/>
      <c r="CL81" s="307"/>
      <c r="CM81" s="288"/>
      <c r="CN81" s="288"/>
      <c r="CO81" s="187"/>
      <c r="CP81" s="184"/>
      <c r="CQ81" s="184"/>
      <c r="CR81" s="280"/>
      <c r="CS81" s="280"/>
      <c r="CT81" s="291"/>
      <c r="CU81" s="160"/>
    </row>
    <row r="82" spans="1:99" ht="76.5" customHeight="1" outlineLevel="1">
      <c r="A82" s="183">
        <v>1</v>
      </c>
      <c r="B82" s="279" t="s">
        <v>3241</v>
      </c>
      <c r="C82" s="183" t="s">
        <v>3059</v>
      </c>
      <c r="D82" s="183" t="s">
        <v>3242</v>
      </c>
      <c r="E82" s="280" t="s">
        <v>3061</v>
      </c>
      <c r="F82" s="183" t="s">
        <v>49</v>
      </c>
      <c r="G82" s="183" t="s">
        <v>48</v>
      </c>
      <c r="H82" s="183"/>
      <c r="I82" s="184" t="s">
        <v>311</v>
      </c>
      <c r="J82" s="183" t="s">
        <v>49</v>
      </c>
      <c r="K82" s="183" t="s">
        <v>3131</v>
      </c>
      <c r="L82" s="183" t="s">
        <v>54</v>
      </c>
      <c r="M82" s="183">
        <v>2024</v>
      </c>
      <c r="N82" s="282"/>
      <c r="O82" s="282" t="s">
        <v>3243</v>
      </c>
      <c r="P82" s="283">
        <v>11997</v>
      </c>
      <c r="Q82" s="283"/>
      <c r="R82" s="283"/>
      <c r="S82" s="283">
        <v>11997</v>
      </c>
      <c r="T82" s="186">
        <v>0</v>
      </c>
      <c r="U82" s="186"/>
      <c r="V82" s="282" t="s">
        <v>3131</v>
      </c>
      <c r="W82" s="282" t="s">
        <v>3115</v>
      </c>
      <c r="X82" s="282" t="s">
        <v>311</v>
      </c>
      <c r="Y82" s="186"/>
      <c r="Z82" s="186"/>
      <c r="AA82" s="186"/>
      <c r="AB82" s="186"/>
      <c r="AC82" s="186">
        <v>536</v>
      </c>
      <c r="AD82" s="283"/>
      <c r="AE82" s="283"/>
      <c r="AF82" s="186">
        <v>536</v>
      </c>
      <c r="AG82" s="283">
        <f t="shared" si="25"/>
        <v>536</v>
      </c>
      <c r="AH82" s="283">
        <v>536</v>
      </c>
      <c r="AI82" s="283"/>
      <c r="AJ82" s="283"/>
      <c r="AK82" s="283"/>
      <c r="AL82" s="186">
        <v>0</v>
      </c>
      <c r="AM82" s="186">
        <v>536</v>
      </c>
      <c r="AN82" s="283"/>
      <c r="AO82" s="283"/>
      <c r="AP82" s="186">
        <v>536</v>
      </c>
      <c r="AQ82" s="283">
        <v>536</v>
      </c>
      <c r="AR82" s="283"/>
      <c r="AS82" s="283"/>
      <c r="AT82" s="283"/>
      <c r="AU82" s="186">
        <v>0</v>
      </c>
      <c r="AV82" s="186">
        <v>0</v>
      </c>
      <c r="AW82" s="283"/>
      <c r="AX82" s="283"/>
      <c r="AY82" s="186">
        <v>0</v>
      </c>
      <c r="AZ82" s="283"/>
      <c r="BA82" s="283"/>
      <c r="BB82" s="283"/>
      <c r="BC82" s="283"/>
      <c r="BD82" s="186">
        <v>0</v>
      </c>
      <c r="BE82" s="186">
        <v>0</v>
      </c>
      <c r="BF82" s="186">
        <v>0</v>
      </c>
      <c r="BG82" s="283"/>
      <c r="BH82" s="283"/>
      <c r="BI82" s="186">
        <v>0</v>
      </c>
      <c r="BJ82" s="283">
        <f t="shared" si="27"/>
        <v>0</v>
      </c>
      <c r="BK82" s="283"/>
      <c r="BL82" s="283"/>
      <c r="BM82" s="283"/>
      <c r="BN82" s="283"/>
      <c r="BO82" s="186">
        <v>0</v>
      </c>
      <c r="BP82" s="284">
        <v>0</v>
      </c>
      <c r="BQ82" s="283"/>
      <c r="BR82" s="283"/>
      <c r="BS82" s="283"/>
      <c r="BT82" s="283"/>
      <c r="BU82" s="283"/>
      <c r="BV82" s="283"/>
      <c r="BW82" s="283"/>
      <c r="BX82" s="186">
        <v>0</v>
      </c>
      <c r="BY82" s="285"/>
      <c r="BZ82" s="286">
        <v>0</v>
      </c>
      <c r="CA82" s="287"/>
      <c r="CB82" s="287"/>
      <c r="CC82" s="287"/>
      <c r="CD82" s="187">
        <v>0</v>
      </c>
      <c r="CE82" s="286">
        <v>0</v>
      </c>
      <c r="CF82" s="287"/>
      <c r="CG82" s="287"/>
      <c r="CH82" s="287"/>
      <c r="CI82" s="187"/>
      <c r="CJ82" s="288"/>
      <c r="CK82" s="288"/>
      <c r="CL82" s="288"/>
      <c r="CM82" s="288"/>
      <c r="CN82" s="288"/>
      <c r="CO82" s="187">
        <v>0</v>
      </c>
      <c r="CP82" s="184"/>
      <c r="CQ82" s="184" t="s">
        <v>488</v>
      </c>
      <c r="CR82" s="280"/>
      <c r="CS82" s="280"/>
      <c r="CT82" s="291"/>
      <c r="CU82" s="160"/>
    </row>
    <row r="83" spans="1:99" ht="60.75" customHeight="1" outlineLevel="1">
      <c r="A83" s="183">
        <v>2</v>
      </c>
      <c r="B83" s="279" t="s">
        <v>3244</v>
      </c>
      <c r="C83" s="183" t="s">
        <v>304</v>
      </c>
      <c r="D83" s="183" t="s">
        <v>3245</v>
      </c>
      <c r="E83" s="183" t="s">
        <v>3061</v>
      </c>
      <c r="F83" s="183" t="s">
        <v>49</v>
      </c>
      <c r="G83" s="183" t="s">
        <v>3194</v>
      </c>
      <c r="H83" s="183"/>
      <c r="I83" s="184" t="s">
        <v>311</v>
      </c>
      <c r="J83" s="183" t="s">
        <v>49</v>
      </c>
      <c r="K83" s="183" t="s">
        <v>3246</v>
      </c>
      <c r="L83" s="183" t="s">
        <v>84</v>
      </c>
      <c r="M83" s="183"/>
      <c r="N83" s="282"/>
      <c r="O83" s="282" t="s">
        <v>3247</v>
      </c>
      <c r="P83" s="283">
        <v>5600</v>
      </c>
      <c r="Q83" s="283"/>
      <c r="R83" s="283"/>
      <c r="S83" s="283">
        <v>5600</v>
      </c>
      <c r="T83" s="186">
        <v>0</v>
      </c>
      <c r="U83" s="186"/>
      <c r="V83" s="282" t="s">
        <v>3246</v>
      </c>
      <c r="W83" s="282" t="s">
        <v>3115</v>
      </c>
      <c r="X83" s="282" t="s">
        <v>311</v>
      </c>
      <c r="Y83" s="283"/>
      <c r="Z83" s="283"/>
      <c r="AA83" s="283"/>
      <c r="AB83" s="283"/>
      <c r="AC83" s="186">
        <v>5600</v>
      </c>
      <c r="AD83" s="283"/>
      <c r="AE83" s="283"/>
      <c r="AF83" s="186">
        <v>5600</v>
      </c>
      <c r="AG83" s="283">
        <f t="shared" si="25"/>
        <v>0</v>
      </c>
      <c r="AH83" s="283"/>
      <c r="AI83" s="283"/>
      <c r="AJ83" s="186">
        <v>3060</v>
      </c>
      <c r="AK83" s="186">
        <v>2540</v>
      </c>
      <c r="AL83" s="186">
        <v>0</v>
      </c>
      <c r="AM83" s="186"/>
      <c r="AN83" s="283"/>
      <c r="AO83" s="283"/>
      <c r="AP83" s="283"/>
      <c r="AQ83" s="283"/>
      <c r="AR83" s="283"/>
      <c r="AS83" s="283"/>
      <c r="AT83" s="283"/>
      <c r="AU83" s="186"/>
      <c r="AV83" s="186"/>
      <c r="AW83" s="283"/>
      <c r="AX83" s="283"/>
      <c r="AY83" s="283"/>
      <c r="AZ83" s="283"/>
      <c r="BA83" s="283"/>
      <c r="BB83" s="283"/>
      <c r="BC83" s="283"/>
      <c r="BD83" s="186"/>
      <c r="BE83" s="186"/>
      <c r="BF83" s="186"/>
      <c r="BG83" s="283"/>
      <c r="BH83" s="283"/>
      <c r="BI83" s="283"/>
      <c r="BJ83" s="283">
        <f t="shared" si="27"/>
        <v>0</v>
      </c>
      <c r="BK83" s="283"/>
      <c r="BL83" s="283"/>
      <c r="BM83" s="283"/>
      <c r="BN83" s="283"/>
      <c r="BO83" s="186"/>
      <c r="BP83" s="284"/>
      <c r="BQ83" s="283"/>
      <c r="BR83" s="283"/>
      <c r="BS83" s="283"/>
      <c r="BT83" s="283"/>
      <c r="BU83" s="283"/>
      <c r="BV83" s="283"/>
      <c r="BW83" s="283"/>
      <c r="BX83" s="186"/>
      <c r="BY83" s="285"/>
      <c r="BZ83" s="286"/>
      <c r="CA83" s="287"/>
      <c r="CB83" s="287"/>
      <c r="CC83" s="287"/>
      <c r="CD83" s="187"/>
      <c r="CE83" s="286"/>
      <c r="CF83" s="287"/>
      <c r="CG83" s="287"/>
      <c r="CH83" s="287"/>
      <c r="CI83" s="187"/>
      <c r="CJ83" s="288"/>
      <c r="CK83" s="288"/>
      <c r="CL83" s="288"/>
      <c r="CM83" s="288"/>
      <c r="CN83" s="288"/>
      <c r="CO83" s="187"/>
      <c r="CP83" s="184"/>
      <c r="CQ83" s="184"/>
      <c r="CR83" s="280" t="s">
        <v>3100</v>
      </c>
      <c r="CS83" s="280"/>
      <c r="CT83" s="291"/>
      <c r="CU83" s="160"/>
    </row>
    <row r="84" spans="1:99" ht="61.5" outlineLevel="1">
      <c r="A84" s="183">
        <v>3</v>
      </c>
      <c r="B84" s="292" t="s">
        <v>3254</v>
      </c>
      <c r="C84" s="183" t="s">
        <v>304</v>
      </c>
      <c r="D84" s="183" t="s">
        <v>3255</v>
      </c>
      <c r="E84" s="183"/>
      <c r="F84" s="183" t="s">
        <v>49</v>
      </c>
      <c r="G84" s="183"/>
      <c r="H84" s="183"/>
      <c r="I84" s="184" t="s">
        <v>311</v>
      </c>
      <c r="J84" s="183" t="s">
        <v>49</v>
      </c>
      <c r="K84" s="183" t="s">
        <v>3204</v>
      </c>
      <c r="L84" s="183" t="s">
        <v>75</v>
      </c>
      <c r="M84" s="183"/>
      <c r="N84" s="284"/>
      <c r="O84" s="282" t="s">
        <v>3102</v>
      </c>
      <c r="P84" s="283">
        <v>3000</v>
      </c>
      <c r="Q84" s="283"/>
      <c r="R84" s="283"/>
      <c r="S84" s="283">
        <v>3000</v>
      </c>
      <c r="T84" s="186">
        <v>0</v>
      </c>
      <c r="U84" s="186"/>
      <c r="V84" s="282" t="s">
        <v>3204</v>
      </c>
      <c r="W84" s="282" t="s">
        <v>3115</v>
      </c>
      <c r="X84" s="282" t="s">
        <v>311</v>
      </c>
      <c r="Y84" s="186">
        <v>0</v>
      </c>
      <c r="Z84" s="186"/>
      <c r="AA84" s="186"/>
      <c r="AB84" s="186"/>
      <c r="AC84" s="186">
        <v>3000</v>
      </c>
      <c r="AD84" s="283"/>
      <c r="AE84" s="283"/>
      <c r="AF84" s="186">
        <v>3000</v>
      </c>
      <c r="AG84" s="283">
        <f t="shared" si="25"/>
        <v>0</v>
      </c>
      <c r="AH84" s="283"/>
      <c r="AI84" s="283"/>
      <c r="AJ84" s="283">
        <v>3000</v>
      </c>
      <c r="AK84" s="283"/>
      <c r="AL84" s="186">
        <v>0</v>
      </c>
      <c r="AM84" s="283"/>
      <c r="AN84" s="283"/>
      <c r="AO84" s="283"/>
      <c r="AP84" s="283"/>
      <c r="AQ84" s="283"/>
      <c r="AR84" s="283"/>
      <c r="AS84" s="283"/>
      <c r="AT84" s="283"/>
      <c r="AU84" s="186"/>
      <c r="AV84" s="283"/>
      <c r="AW84" s="283"/>
      <c r="AX84" s="283"/>
      <c r="AY84" s="283"/>
      <c r="AZ84" s="283"/>
      <c r="BA84" s="283"/>
      <c r="BB84" s="283"/>
      <c r="BC84" s="283"/>
      <c r="BD84" s="186"/>
      <c r="BE84" s="186"/>
      <c r="BF84" s="283"/>
      <c r="BG84" s="283"/>
      <c r="BH84" s="283"/>
      <c r="BI84" s="283"/>
      <c r="BJ84" s="283">
        <f t="shared" si="27"/>
        <v>0</v>
      </c>
      <c r="BK84" s="283"/>
      <c r="BL84" s="283"/>
      <c r="BM84" s="283"/>
      <c r="BN84" s="283"/>
      <c r="BO84" s="186"/>
      <c r="BP84" s="283"/>
      <c r="BQ84" s="283"/>
      <c r="BR84" s="283"/>
      <c r="BS84" s="283"/>
      <c r="BT84" s="283"/>
      <c r="BU84" s="283"/>
      <c r="BV84" s="283"/>
      <c r="BW84" s="283"/>
      <c r="BX84" s="186"/>
      <c r="BY84" s="186"/>
      <c r="BZ84" s="287"/>
      <c r="CA84" s="287"/>
      <c r="CB84" s="287"/>
      <c r="CC84" s="287"/>
      <c r="CD84" s="187"/>
      <c r="CE84" s="287"/>
      <c r="CF84" s="287"/>
      <c r="CG84" s="287"/>
      <c r="CH84" s="287"/>
      <c r="CI84" s="187"/>
      <c r="CJ84" s="187"/>
      <c r="CK84" s="187"/>
      <c r="CL84" s="187"/>
      <c r="CM84" s="187"/>
      <c r="CN84" s="187"/>
      <c r="CO84" s="187"/>
      <c r="CP84" s="187"/>
      <c r="CQ84" s="187"/>
      <c r="CR84" s="304"/>
      <c r="CS84" s="304"/>
      <c r="CT84" s="291"/>
      <c r="CU84" s="160"/>
    </row>
    <row r="85" spans="1:99" ht="83.25" customHeight="1" outlineLevel="1">
      <c r="A85" s="183">
        <v>4</v>
      </c>
      <c r="B85" s="279" t="s">
        <v>3256</v>
      </c>
      <c r="C85" s="183" t="s">
        <v>304</v>
      </c>
      <c r="D85" s="183" t="s">
        <v>3681</v>
      </c>
      <c r="E85" s="183"/>
      <c r="F85" s="183" t="s">
        <v>49</v>
      </c>
      <c r="G85" s="183"/>
      <c r="H85" s="183"/>
      <c r="I85" s="184" t="s">
        <v>311</v>
      </c>
      <c r="J85" s="183" t="s">
        <v>49</v>
      </c>
      <c r="K85" s="183" t="s">
        <v>3204</v>
      </c>
      <c r="L85" s="183" t="s">
        <v>75</v>
      </c>
      <c r="M85" s="183"/>
      <c r="N85" s="284"/>
      <c r="O85" s="282" t="s">
        <v>3102</v>
      </c>
      <c r="P85" s="283">
        <v>1899</v>
      </c>
      <c r="Q85" s="283"/>
      <c r="R85" s="283"/>
      <c r="S85" s="283">
        <v>1899</v>
      </c>
      <c r="T85" s="186">
        <v>0</v>
      </c>
      <c r="U85" s="186"/>
      <c r="V85" s="282" t="s">
        <v>3204</v>
      </c>
      <c r="W85" s="282" t="s">
        <v>3115</v>
      </c>
      <c r="X85" s="282" t="s">
        <v>311</v>
      </c>
      <c r="Y85" s="186">
        <v>0</v>
      </c>
      <c r="Z85" s="186"/>
      <c r="AA85" s="186"/>
      <c r="AB85" s="186"/>
      <c r="AC85" s="186">
        <v>1899</v>
      </c>
      <c r="AD85" s="283"/>
      <c r="AE85" s="283"/>
      <c r="AF85" s="186">
        <v>1899</v>
      </c>
      <c r="AG85" s="283">
        <f t="shared" si="25"/>
        <v>0</v>
      </c>
      <c r="AH85" s="283"/>
      <c r="AI85" s="283"/>
      <c r="AJ85" s="283">
        <v>1899</v>
      </c>
      <c r="AK85" s="283"/>
      <c r="AL85" s="186">
        <v>0</v>
      </c>
      <c r="AM85" s="283"/>
      <c r="AN85" s="283"/>
      <c r="AO85" s="283"/>
      <c r="AP85" s="283"/>
      <c r="AQ85" s="283"/>
      <c r="AR85" s="283"/>
      <c r="AS85" s="283"/>
      <c r="AT85" s="283"/>
      <c r="AU85" s="186"/>
      <c r="AV85" s="283"/>
      <c r="AW85" s="283"/>
      <c r="AX85" s="283"/>
      <c r="AY85" s="283"/>
      <c r="AZ85" s="283"/>
      <c r="BA85" s="283"/>
      <c r="BB85" s="283"/>
      <c r="BC85" s="283"/>
      <c r="BD85" s="186"/>
      <c r="BE85" s="186"/>
      <c r="BF85" s="283"/>
      <c r="BG85" s="283"/>
      <c r="BH85" s="283"/>
      <c r="BI85" s="283"/>
      <c r="BJ85" s="283">
        <f t="shared" si="27"/>
        <v>0</v>
      </c>
      <c r="BK85" s="283"/>
      <c r="BL85" s="283"/>
      <c r="BM85" s="283"/>
      <c r="BN85" s="283"/>
      <c r="BO85" s="186"/>
      <c r="BP85" s="283"/>
      <c r="BQ85" s="283"/>
      <c r="BR85" s="283"/>
      <c r="BS85" s="283"/>
      <c r="BT85" s="283"/>
      <c r="BU85" s="283"/>
      <c r="BV85" s="283"/>
      <c r="BW85" s="283"/>
      <c r="BX85" s="186"/>
      <c r="BY85" s="186"/>
      <c r="BZ85" s="287"/>
      <c r="CA85" s="287"/>
      <c r="CB85" s="287"/>
      <c r="CC85" s="287"/>
      <c r="CD85" s="187"/>
      <c r="CE85" s="287"/>
      <c r="CF85" s="287"/>
      <c r="CG85" s="287"/>
      <c r="CH85" s="287"/>
      <c r="CI85" s="187"/>
      <c r="CJ85" s="187"/>
      <c r="CK85" s="187"/>
      <c r="CL85" s="187"/>
      <c r="CM85" s="187"/>
      <c r="CN85" s="187"/>
      <c r="CO85" s="187"/>
      <c r="CP85" s="187"/>
      <c r="CQ85" s="187"/>
      <c r="CR85" s="304"/>
      <c r="CS85" s="304"/>
      <c r="CT85" s="291"/>
      <c r="CU85" s="160"/>
    </row>
    <row r="86" spans="1:99" ht="61.5" outlineLevel="1">
      <c r="A86" s="183">
        <v>5</v>
      </c>
      <c r="B86" s="279" t="s">
        <v>3257</v>
      </c>
      <c r="C86" s="183" t="s">
        <v>304</v>
      </c>
      <c r="D86" s="183" t="s">
        <v>3258</v>
      </c>
      <c r="E86" s="183"/>
      <c r="F86" s="183" t="s">
        <v>49</v>
      </c>
      <c r="G86" s="183"/>
      <c r="H86" s="183"/>
      <c r="I86" s="184" t="s">
        <v>311</v>
      </c>
      <c r="J86" s="183" t="s">
        <v>49</v>
      </c>
      <c r="K86" s="183" t="s">
        <v>3122</v>
      </c>
      <c r="L86" s="183" t="s">
        <v>75</v>
      </c>
      <c r="M86" s="287"/>
      <c r="N86" s="283"/>
      <c r="O86" s="282" t="s">
        <v>3102</v>
      </c>
      <c r="P86" s="283">
        <v>25000</v>
      </c>
      <c r="Q86" s="283"/>
      <c r="R86" s="283"/>
      <c r="S86" s="283">
        <v>25000</v>
      </c>
      <c r="T86" s="186">
        <v>0</v>
      </c>
      <c r="U86" s="186"/>
      <c r="V86" s="282" t="s">
        <v>3122</v>
      </c>
      <c r="W86" s="282" t="s">
        <v>3115</v>
      </c>
      <c r="X86" s="282" t="s">
        <v>311</v>
      </c>
      <c r="Y86" s="186"/>
      <c r="Z86" s="186"/>
      <c r="AA86" s="186"/>
      <c r="AB86" s="186"/>
      <c r="AC86" s="186">
        <v>25000</v>
      </c>
      <c r="AD86" s="283"/>
      <c r="AE86" s="283"/>
      <c r="AF86" s="186">
        <v>25000</v>
      </c>
      <c r="AG86" s="283">
        <f t="shared" si="25"/>
        <v>0</v>
      </c>
      <c r="AH86" s="283"/>
      <c r="AI86" s="283"/>
      <c r="AJ86" s="283">
        <v>25000</v>
      </c>
      <c r="AK86" s="283"/>
      <c r="AL86" s="186">
        <v>0</v>
      </c>
      <c r="AM86" s="283"/>
      <c r="AN86" s="283"/>
      <c r="AO86" s="283"/>
      <c r="AP86" s="283"/>
      <c r="AQ86" s="283"/>
      <c r="AR86" s="283"/>
      <c r="AS86" s="283"/>
      <c r="AT86" s="283"/>
      <c r="AU86" s="186"/>
      <c r="AV86" s="283"/>
      <c r="AW86" s="283"/>
      <c r="AX86" s="283"/>
      <c r="AY86" s="283"/>
      <c r="AZ86" s="283"/>
      <c r="BA86" s="283"/>
      <c r="BB86" s="283"/>
      <c r="BC86" s="283"/>
      <c r="BD86" s="186"/>
      <c r="BE86" s="186"/>
      <c r="BF86" s="283"/>
      <c r="BG86" s="283"/>
      <c r="BH86" s="283"/>
      <c r="BI86" s="283"/>
      <c r="BJ86" s="283">
        <f t="shared" si="27"/>
        <v>0</v>
      </c>
      <c r="BK86" s="283"/>
      <c r="BL86" s="283"/>
      <c r="BM86" s="283"/>
      <c r="BN86" s="283"/>
      <c r="BO86" s="186"/>
      <c r="BP86" s="283"/>
      <c r="BQ86" s="283"/>
      <c r="BR86" s="283"/>
      <c r="BS86" s="283"/>
      <c r="BT86" s="283"/>
      <c r="BU86" s="283"/>
      <c r="BV86" s="283"/>
      <c r="BW86" s="283"/>
      <c r="BX86" s="186"/>
      <c r="BY86" s="186"/>
      <c r="BZ86" s="287"/>
      <c r="CA86" s="287"/>
      <c r="CB86" s="287"/>
      <c r="CC86" s="287"/>
      <c r="CD86" s="187"/>
      <c r="CE86" s="287"/>
      <c r="CF86" s="287"/>
      <c r="CG86" s="287"/>
      <c r="CH86" s="287"/>
      <c r="CI86" s="187"/>
      <c r="CJ86" s="187"/>
      <c r="CK86" s="187"/>
      <c r="CL86" s="187"/>
      <c r="CM86" s="187"/>
      <c r="CN86" s="187"/>
      <c r="CO86" s="187"/>
      <c r="CP86" s="187"/>
      <c r="CQ86" s="187"/>
      <c r="CR86" s="304"/>
      <c r="CS86" s="304"/>
      <c r="CT86" s="291"/>
      <c r="CU86" s="160"/>
    </row>
    <row r="87" spans="1:99" ht="69.75" customHeight="1" outlineLevel="1">
      <c r="A87" s="183">
        <v>6</v>
      </c>
      <c r="B87" s="292" t="s">
        <v>3259</v>
      </c>
      <c r="C87" s="183" t="s">
        <v>304</v>
      </c>
      <c r="D87" s="302" t="s">
        <v>3260</v>
      </c>
      <c r="E87" s="183"/>
      <c r="F87" s="183" t="s">
        <v>49</v>
      </c>
      <c r="G87" s="183"/>
      <c r="H87" s="183"/>
      <c r="I87" s="184" t="s">
        <v>311</v>
      </c>
      <c r="J87" s="183" t="s">
        <v>49</v>
      </c>
      <c r="K87" s="183" t="s">
        <v>3218</v>
      </c>
      <c r="L87" s="183" t="s">
        <v>75</v>
      </c>
      <c r="M87" s="287"/>
      <c r="N87" s="284"/>
      <c r="O87" s="282" t="s">
        <v>3102</v>
      </c>
      <c r="P87" s="186">
        <v>20000</v>
      </c>
      <c r="Q87" s="186"/>
      <c r="R87" s="186"/>
      <c r="S87" s="186">
        <v>20000</v>
      </c>
      <c r="T87" s="186">
        <v>0</v>
      </c>
      <c r="U87" s="186"/>
      <c r="V87" s="282" t="s">
        <v>3218</v>
      </c>
      <c r="W87" s="282" t="s">
        <v>3115</v>
      </c>
      <c r="X87" s="282" t="s">
        <v>311</v>
      </c>
      <c r="Y87" s="186"/>
      <c r="Z87" s="186"/>
      <c r="AA87" s="186"/>
      <c r="AB87" s="186"/>
      <c r="AC87" s="186">
        <v>20000</v>
      </c>
      <c r="AD87" s="186"/>
      <c r="AE87" s="186"/>
      <c r="AF87" s="186">
        <v>20000</v>
      </c>
      <c r="AG87" s="283">
        <f t="shared" si="25"/>
        <v>0</v>
      </c>
      <c r="AH87" s="186"/>
      <c r="AI87" s="186"/>
      <c r="AJ87" s="186">
        <v>20000</v>
      </c>
      <c r="AK87" s="186"/>
      <c r="AL87" s="186">
        <v>0</v>
      </c>
      <c r="AM87" s="186"/>
      <c r="AN87" s="186"/>
      <c r="AO87" s="186"/>
      <c r="AP87" s="186"/>
      <c r="AQ87" s="186"/>
      <c r="AR87" s="186"/>
      <c r="AS87" s="186"/>
      <c r="AT87" s="186"/>
      <c r="AU87" s="186"/>
      <c r="AV87" s="186"/>
      <c r="AW87" s="186"/>
      <c r="AX87" s="186"/>
      <c r="AY87" s="186"/>
      <c r="AZ87" s="186"/>
      <c r="BA87" s="186"/>
      <c r="BB87" s="186"/>
      <c r="BC87" s="186"/>
      <c r="BD87" s="186"/>
      <c r="BE87" s="186"/>
      <c r="BF87" s="186"/>
      <c r="BG87" s="186"/>
      <c r="BH87" s="186"/>
      <c r="BI87" s="186"/>
      <c r="BJ87" s="283">
        <f t="shared" si="27"/>
        <v>0</v>
      </c>
      <c r="BK87" s="186"/>
      <c r="BL87" s="186"/>
      <c r="BM87" s="186"/>
      <c r="BN87" s="186"/>
      <c r="BO87" s="186"/>
      <c r="BP87" s="284"/>
      <c r="BQ87" s="284"/>
      <c r="BR87" s="284"/>
      <c r="BS87" s="284"/>
      <c r="BT87" s="284"/>
      <c r="BU87" s="284"/>
      <c r="BV87" s="284"/>
      <c r="BW87" s="284"/>
      <c r="BX87" s="186"/>
      <c r="BY87" s="186"/>
      <c r="BZ87" s="286"/>
      <c r="CA87" s="286"/>
      <c r="CB87" s="286"/>
      <c r="CC87" s="286"/>
      <c r="CD87" s="187"/>
      <c r="CE87" s="286"/>
      <c r="CF87" s="286"/>
      <c r="CG87" s="286"/>
      <c r="CH87" s="286"/>
      <c r="CI87" s="187"/>
      <c r="CJ87" s="187"/>
      <c r="CK87" s="187"/>
      <c r="CL87" s="187"/>
      <c r="CM87" s="187"/>
      <c r="CN87" s="187"/>
      <c r="CO87" s="187"/>
      <c r="CP87" s="187"/>
      <c r="CQ87" s="187"/>
      <c r="CR87" s="304"/>
      <c r="CS87" s="304"/>
      <c r="CT87" s="291"/>
      <c r="CU87" s="160"/>
    </row>
    <row r="88" spans="1:99" ht="63" customHeight="1" outlineLevel="1">
      <c r="A88" s="183">
        <v>7</v>
      </c>
      <c r="B88" s="490" t="s">
        <v>3261</v>
      </c>
      <c r="C88" s="183" t="s">
        <v>304</v>
      </c>
      <c r="D88" s="302"/>
      <c r="E88" s="183"/>
      <c r="F88" s="183" t="s">
        <v>49</v>
      </c>
      <c r="G88" s="183"/>
      <c r="H88" s="183"/>
      <c r="I88" s="184" t="s">
        <v>311</v>
      </c>
      <c r="J88" s="183" t="s">
        <v>49</v>
      </c>
      <c r="K88" s="183" t="s">
        <v>3122</v>
      </c>
      <c r="L88" s="183" t="s">
        <v>75</v>
      </c>
      <c r="M88" s="287"/>
      <c r="N88" s="284"/>
      <c r="O88" s="282" t="s">
        <v>3102</v>
      </c>
      <c r="P88" s="186">
        <v>3000</v>
      </c>
      <c r="Q88" s="186"/>
      <c r="R88" s="186"/>
      <c r="S88" s="186">
        <v>3000</v>
      </c>
      <c r="T88" s="186"/>
      <c r="U88" s="186"/>
      <c r="V88" s="282" t="s">
        <v>3122</v>
      </c>
      <c r="W88" s="282" t="s">
        <v>3115</v>
      </c>
      <c r="X88" s="282" t="s">
        <v>311</v>
      </c>
      <c r="Y88" s="186"/>
      <c r="Z88" s="186"/>
      <c r="AA88" s="186"/>
      <c r="AB88" s="186"/>
      <c r="AC88" s="186">
        <v>3000</v>
      </c>
      <c r="AD88" s="186"/>
      <c r="AE88" s="186"/>
      <c r="AF88" s="186">
        <v>3000</v>
      </c>
      <c r="AG88" s="283">
        <f t="shared" si="25"/>
        <v>0</v>
      </c>
      <c r="AH88" s="186"/>
      <c r="AI88" s="186"/>
      <c r="AJ88" s="186">
        <v>3000</v>
      </c>
      <c r="AK88" s="186"/>
      <c r="AL88" s="186"/>
      <c r="AM88" s="186"/>
      <c r="AN88" s="186"/>
      <c r="AO88" s="186"/>
      <c r="AP88" s="186"/>
      <c r="AQ88" s="186"/>
      <c r="AR88" s="186"/>
      <c r="AS88" s="186"/>
      <c r="AT88" s="186"/>
      <c r="AU88" s="186"/>
      <c r="AV88" s="186"/>
      <c r="AW88" s="186"/>
      <c r="AX88" s="186"/>
      <c r="AY88" s="186"/>
      <c r="AZ88" s="186"/>
      <c r="BA88" s="186"/>
      <c r="BB88" s="186"/>
      <c r="BC88" s="186"/>
      <c r="BD88" s="186"/>
      <c r="BE88" s="186"/>
      <c r="BF88" s="186"/>
      <c r="BG88" s="186"/>
      <c r="BH88" s="186"/>
      <c r="BI88" s="186"/>
      <c r="BJ88" s="283">
        <f t="shared" si="27"/>
        <v>0</v>
      </c>
      <c r="BK88" s="186"/>
      <c r="BL88" s="186"/>
      <c r="BM88" s="186"/>
      <c r="BN88" s="186"/>
      <c r="BO88" s="186"/>
      <c r="BP88" s="284"/>
      <c r="BQ88" s="284"/>
      <c r="BR88" s="284"/>
      <c r="BS88" s="284"/>
      <c r="BT88" s="284"/>
      <c r="BU88" s="284"/>
      <c r="BV88" s="284"/>
      <c r="BW88" s="284"/>
      <c r="BX88" s="186"/>
      <c r="BY88" s="186"/>
      <c r="BZ88" s="286"/>
      <c r="CA88" s="286"/>
      <c r="CB88" s="286"/>
      <c r="CC88" s="286"/>
      <c r="CD88" s="187"/>
      <c r="CE88" s="286"/>
      <c r="CF88" s="286"/>
      <c r="CG88" s="286"/>
      <c r="CH88" s="286"/>
      <c r="CI88" s="187"/>
      <c r="CJ88" s="187"/>
      <c r="CK88" s="187"/>
      <c r="CL88" s="187"/>
      <c r="CM88" s="187"/>
      <c r="CN88" s="187"/>
      <c r="CO88" s="187"/>
      <c r="CP88" s="187"/>
      <c r="CQ88" s="187"/>
      <c r="CR88" s="304"/>
      <c r="CS88" s="304"/>
      <c r="CT88" s="291"/>
      <c r="CU88" s="160"/>
    </row>
    <row r="89" spans="1:99" ht="72.75" customHeight="1" outlineLevel="1">
      <c r="A89" s="183">
        <v>8</v>
      </c>
      <c r="B89" s="490" t="s">
        <v>3262</v>
      </c>
      <c r="C89" s="183" t="s">
        <v>304</v>
      </c>
      <c r="D89" s="302"/>
      <c r="E89" s="183"/>
      <c r="F89" s="183" t="s">
        <v>49</v>
      </c>
      <c r="G89" s="183"/>
      <c r="H89" s="183"/>
      <c r="I89" s="184" t="s">
        <v>311</v>
      </c>
      <c r="J89" s="183" t="s">
        <v>49</v>
      </c>
      <c r="K89" s="183" t="s">
        <v>3218</v>
      </c>
      <c r="L89" s="183" t="s">
        <v>75</v>
      </c>
      <c r="M89" s="287"/>
      <c r="N89" s="284"/>
      <c r="O89" s="282" t="s">
        <v>3350</v>
      </c>
      <c r="P89" s="186">
        <v>10000</v>
      </c>
      <c r="Q89" s="186"/>
      <c r="R89" s="186"/>
      <c r="S89" s="186">
        <v>10000</v>
      </c>
      <c r="T89" s="186"/>
      <c r="U89" s="186"/>
      <c r="V89" s="282" t="s">
        <v>3218</v>
      </c>
      <c r="W89" s="282" t="s">
        <v>3115</v>
      </c>
      <c r="X89" s="282" t="s">
        <v>311</v>
      </c>
      <c r="Y89" s="186"/>
      <c r="Z89" s="186"/>
      <c r="AA89" s="186"/>
      <c r="AB89" s="186"/>
      <c r="AC89" s="186">
        <v>10000</v>
      </c>
      <c r="AD89" s="186"/>
      <c r="AE89" s="186"/>
      <c r="AF89" s="186">
        <v>10000</v>
      </c>
      <c r="AG89" s="283">
        <f t="shared" si="25"/>
        <v>0</v>
      </c>
      <c r="AH89" s="186"/>
      <c r="AI89" s="186"/>
      <c r="AJ89" s="186">
        <v>10000</v>
      </c>
      <c r="AK89" s="186"/>
      <c r="AL89" s="186"/>
      <c r="AM89" s="186"/>
      <c r="AN89" s="186"/>
      <c r="AO89" s="186"/>
      <c r="AP89" s="186"/>
      <c r="AQ89" s="186"/>
      <c r="AR89" s="186"/>
      <c r="AS89" s="186"/>
      <c r="AT89" s="186"/>
      <c r="AU89" s="186"/>
      <c r="AV89" s="186"/>
      <c r="AW89" s="186"/>
      <c r="AX89" s="186"/>
      <c r="AY89" s="186"/>
      <c r="AZ89" s="186"/>
      <c r="BA89" s="186"/>
      <c r="BB89" s="186"/>
      <c r="BC89" s="186"/>
      <c r="BD89" s="186"/>
      <c r="BE89" s="186"/>
      <c r="BF89" s="186"/>
      <c r="BG89" s="186"/>
      <c r="BH89" s="186"/>
      <c r="BI89" s="186"/>
      <c r="BJ89" s="283">
        <f t="shared" si="27"/>
        <v>0</v>
      </c>
      <c r="BK89" s="186"/>
      <c r="BL89" s="186"/>
      <c r="BM89" s="186"/>
      <c r="BN89" s="186"/>
      <c r="BO89" s="186"/>
      <c r="BP89" s="284"/>
      <c r="BQ89" s="284"/>
      <c r="BR89" s="284"/>
      <c r="BS89" s="284"/>
      <c r="BT89" s="284"/>
      <c r="BU89" s="284"/>
      <c r="BV89" s="284"/>
      <c r="BW89" s="284"/>
      <c r="BX89" s="186"/>
      <c r="BY89" s="186"/>
      <c r="BZ89" s="286"/>
      <c r="CA89" s="286"/>
      <c r="CB89" s="286"/>
      <c r="CC89" s="286"/>
      <c r="CD89" s="187"/>
      <c r="CE89" s="286"/>
      <c r="CF89" s="286"/>
      <c r="CG89" s="286"/>
      <c r="CH89" s="286"/>
      <c r="CI89" s="187"/>
      <c r="CJ89" s="187"/>
      <c r="CK89" s="187"/>
      <c r="CL89" s="187"/>
      <c r="CM89" s="187"/>
      <c r="CN89" s="187"/>
      <c r="CO89" s="187"/>
      <c r="CP89" s="187"/>
      <c r="CQ89" s="187"/>
      <c r="CR89" s="304"/>
      <c r="CS89" s="304"/>
      <c r="CT89" s="291"/>
      <c r="CU89" s="160"/>
    </row>
    <row r="90" spans="1:99" ht="61.5" customHeight="1" outlineLevel="1">
      <c r="A90" s="183">
        <v>9</v>
      </c>
      <c r="B90" s="279" t="s">
        <v>3263</v>
      </c>
      <c r="C90" s="183" t="s">
        <v>304</v>
      </c>
      <c r="D90" s="183" t="s">
        <v>3264</v>
      </c>
      <c r="E90" s="183"/>
      <c r="F90" s="183" t="s">
        <v>49</v>
      </c>
      <c r="G90" s="183"/>
      <c r="H90" s="183"/>
      <c r="I90" s="184" t="s">
        <v>311</v>
      </c>
      <c r="J90" s="183" t="s">
        <v>49</v>
      </c>
      <c r="K90" s="183" t="s">
        <v>3169</v>
      </c>
      <c r="L90" s="183" t="s">
        <v>75</v>
      </c>
      <c r="M90" s="183"/>
      <c r="N90" s="282"/>
      <c r="O90" s="282" t="s">
        <v>3102</v>
      </c>
      <c r="P90" s="283">
        <v>9000</v>
      </c>
      <c r="Q90" s="283"/>
      <c r="R90" s="283"/>
      <c r="S90" s="283">
        <v>9000</v>
      </c>
      <c r="T90" s="186">
        <v>0</v>
      </c>
      <c r="U90" s="186"/>
      <c r="V90" s="282" t="s">
        <v>3169</v>
      </c>
      <c r="W90" s="282" t="s">
        <v>3115</v>
      </c>
      <c r="X90" s="282" t="s">
        <v>311</v>
      </c>
      <c r="Y90" s="283"/>
      <c r="Z90" s="283"/>
      <c r="AA90" s="283"/>
      <c r="AB90" s="283"/>
      <c r="AC90" s="186">
        <v>9000</v>
      </c>
      <c r="AD90" s="283"/>
      <c r="AE90" s="283"/>
      <c r="AF90" s="186">
        <v>9000</v>
      </c>
      <c r="AG90" s="283">
        <f t="shared" ref="AG90:AG154" si="227">AH90+AI90</f>
        <v>0</v>
      </c>
      <c r="AH90" s="283"/>
      <c r="AI90" s="283"/>
      <c r="AJ90" s="283">
        <v>9000</v>
      </c>
      <c r="AK90" s="283"/>
      <c r="AL90" s="186">
        <v>0</v>
      </c>
      <c r="AM90" s="283"/>
      <c r="AN90" s="283"/>
      <c r="AO90" s="283"/>
      <c r="AP90" s="283"/>
      <c r="AQ90" s="283"/>
      <c r="AR90" s="283"/>
      <c r="AS90" s="283"/>
      <c r="AT90" s="283"/>
      <c r="AU90" s="186"/>
      <c r="AV90" s="283"/>
      <c r="AW90" s="283"/>
      <c r="AX90" s="283"/>
      <c r="AY90" s="283"/>
      <c r="AZ90" s="283"/>
      <c r="BA90" s="283"/>
      <c r="BB90" s="283"/>
      <c r="BC90" s="283"/>
      <c r="BD90" s="186"/>
      <c r="BE90" s="186"/>
      <c r="BF90" s="283"/>
      <c r="BG90" s="283"/>
      <c r="BH90" s="283"/>
      <c r="BI90" s="283"/>
      <c r="BJ90" s="283">
        <f t="shared" ref="BJ90:BJ154" si="228">BK90+BL90</f>
        <v>0</v>
      </c>
      <c r="BK90" s="283"/>
      <c r="BL90" s="283"/>
      <c r="BM90" s="283"/>
      <c r="BN90" s="283"/>
      <c r="BO90" s="186"/>
      <c r="BP90" s="283"/>
      <c r="BQ90" s="283"/>
      <c r="BR90" s="283"/>
      <c r="BS90" s="283"/>
      <c r="BT90" s="283"/>
      <c r="BU90" s="283"/>
      <c r="BV90" s="283"/>
      <c r="BW90" s="283"/>
      <c r="BX90" s="186"/>
      <c r="BY90" s="186"/>
      <c r="BZ90" s="287"/>
      <c r="CA90" s="287"/>
      <c r="CB90" s="287"/>
      <c r="CC90" s="287"/>
      <c r="CD90" s="187"/>
      <c r="CE90" s="287"/>
      <c r="CF90" s="287"/>
      <c r="CG90" s="287"/>
      <c r="CH90" s="287"/>
      <c r="CI90" s="187"/>
      <c r="CJ90" s="187"/>
      <c r="CK90" s="187"/>
      <c r="CL90" s="187"/>
      <c r="CM90" s="187"/>
      <c r="CN90" s="187"/>
      <c r="CO90" s="187"/>
      <c r="CP90" s="187"/>
      <c r="CQ90" s="187"/>
      <c r="CR90" s="304"/>
      <c r="CS90" s="304"/>
      <c r="CT90" s="291"/>
      <c r="CU90" s="160"/>
    </row>
    <row r="91" spans="1:99" ht="122.25" customHeight="1" outlineLevel="1">
      <c r="A91" s="183">
        <v>10</v>
      </c>
      <c r="B91" s="279" t="s">
        <v>3265</v>
      </c>
      <c r="C91" s="183" t="s">
        <v>304</v>
      </c>
      <c r="D91" s="280" t="s">
        <v>3266</v>
      </c>
      <c r="E91" s="183"/>
      <c r="F91" s="183" t="s">
        <v>49</v>
      </c>
      <c r="G91" s="183"/>
      <c r="H91" s="183"/>
      <c r="I91" s="184" t="s">
        <v>311</v>
      </c>
      <c r="J91" s="183" t="s">
        <v>49</v>
      </c>
      <c r="K91" s="183" t="s">
        <v>3204</v>
      </c>
      <c r="L91" s="183" t="s">
        <v>75</v>
      </c>
      <c r="M91" s="183"/>
      <c r="N91" s="285"/>
      <c r="O91" s="282" t="s">
        <v>3102</v>
      </c>
      <c r="P91" s="283">
        <v>1798</v>
      </c>
      <c r="Q91" s="283"/>
      <c r="R91" s="283"/>
      <c r="S91" s="283">
        <v>1798</v>
      </c>
      <c r="T91" s="186">
        <v>0</v>
      </c>
      <c r="U91" s="186"/>
      <c r="V91" s="282" t="s">
        <v>3204</v>
      </c>
      <c r="W91" s="282" t="s">
        <v>3115</v>
      </c>
      <c r="X91" s="282" t="s">
        <v>311</v>
      </c>
      <c r="Y91" s="283"/>
      <c r="Z91" s="283"/>
      <c r="AA91" s="283"/>
      <c r="AB91" s="283"/>
      <c r="AC91" s="186">
        <v>1798</v>
      </c>
      <c r="AD91" s="283"/>
      <c r="AE91" s="283"/>
      <c r="AF91" s="186">
        <v>1798</v>
      </c>
      <c r="AG91" s="283">
        <f t="shared" si="227"/>
        <v>0</v>
      </c>
      <c r="AH91" s="283"/>
      <c r="AI91" s="283"/>
      <c r="AJ91" s="283">
        <v>1798</v>
      </c>
      <c r="AK91" s="283"/>
      <c r="AL91" s="186">
        <v>0</v>
      </c>
      <c r="AM91" s="283"/>
      <c r="AN91" s="283"/>
      <c r="AO91" s="283"/>
      <c r="AP91" s="283"/>
      <c r="AQ91" s="283"/>
      <c r="AR91" s="283"/>
      <c r="AS91" s="283"/>
      <c r="AT91" s="283"/>
      <c r="AU91" s="186"/>
      <c r="AV91" s="283"/>
      <c r="AW91" s="283"/>
      <c r="AX91" s="283"/>
      <c r="AY91" s="283"/>
      <c r="AZ91" s="283"/>
      <c r="BA91" s="283"/>
      <c r="BB91" s="283"/>
      <c r="BC91" s="283"/>
      <c r="BD91" s="186"/>
      <c r="BE91" s="186"/>
      <c r="BF91" s="283"/>
      <c r="BG91" s="283"/>
      <c r="BH91" s="283"/>
      <c r="BI91" s="283"/>
      <c r="BJ91" s="283">
        <f t="shared" si="228"/>
        <v>0</v>
      </c>
      <c r="BK91" s="283"/>
      <c r="BL91" s="283"/>
      <c r="BM91" s="283"/>
      <c r="BN91" s="283"/>
      <c r="BO91" s="186"/>
      <c r="BP91" s="283"/>
      <c r="BQ91" s="283"/>
      <c r="BR91" s="283"/>
      <c r="BS91" s="283"/>
      <c r="BT91" s="283"/>
      <c r="BU91" s="283"/>
      <c r="BV91" s="283"/>
      <c r="BW91" s="283"/>
      <c r="BX91" s="186"/>
      <c r="BY91" s="186"/>
      <c r="BZ91" s="287"/>
      <c r="CA91" s="287"/>
      <c r="CB91" s="287"/>
      <c r="CC91" s="287"/>
      <c r="CD91" s="187"/>
      <c r="CE91" s="287"/>
      <c r="CF91" s="287"/>
      <c r="CG91" s="287"/>
      <c r="CH91" s="287"/>
      <c r="CI91" s="187"/>
      <c r="CJ91" s="187"/>
      <c r="CK91" s="187"/>
      <c r="CL91" s="187"/>
      <c r="CM91" s="187"/>
      <c r="CN91" s="187"/>
      <c r="CO91" s="187"/>
      <c r="CP91" s="187"/>
      <c r="CQ91" s="187"/>
      <c r="CR91" s="304"/>
      <c r="CS91" s="304"/>
      <c r="CT91" s="291"/>
      <c r="CU91" s="160"/>
    </row>
    <row r="92" spans="1:99" ht="76.900000000000006" outlineLevel="1">
      <c r="A92" s="183">
        <v>11</v>
      </c>
      <c r="B92" s="279" t="s">
        <v>3267</v>
      </c>
      <c r="C92" s="183" t="s">
        <v>304</v>
      </c>
      <c r="D92" s="280" t="s">
        <v>3268</v>
      </c>
      <c r="E92" s="183"/>
      <c r="F92" s="183" t="s">
        <v>49</v>
      </c>
      <c r="G92" s="183"/>
      <c r="H92" s="183"/>
      <c r="I92" s="184" t="s">
        <v>311</v>
      </c>
      <c r="J92" s="183" t="s">
        <v>49</v>
      </c>
      <c r="K92" s="183" t="s">
        <v>3113</v>
      </c>
      <c r="L92" s="183" t="s">
        <v>75</v>
      </c>
      <c r="M92" s="183"/>
      <c r="N92" s="282"/>
      <c r="O92" s="282" t="s">
        <v>3102</v>
      </c>
      <c r="P92" s="283">
        <v>1936</v>
      </c>
      <c r="Q92" s="283"/>
      <c r="R92" s="283"/>
      <c r="S92" s="283">
        <v>1760</v>
      </c>
      <c r="T92" s="186">
        <v>176</v>
      </c>
      <c r="U92" s="186"/>
      <c r="V92" s="282" t="s">
        <v>3113</v>
      </c>
      <c r="W92" s="282" t="s">
        <v>3115</v>
      </c>
      <c r="X92" s="282" t="s">
        <v>311</v>
      </c>
      <c r="Y92" s="283"/>
      <c r="Z92" s="283"/>
      <c r="AA92" s="283"/>
      <c r="AB92" s="283"/>
      <c r="AC92" s="186">
        <v>1760</v>
      </c>
      <c r="AD92" s="283"/>
      <c r="AE92" s="283"/>
      <c r="AF92" s="186">
        <v>1760</v>
      </c>
      <c r="AG92" s="283">
        <f t="shared" si="227"/>
        <v>0</v>
      </c>
      <c r="AH92" s="283"/>
      <c r="AI92" s="283"/>
      <c r="AJ92" s="283">
        <v>1760</v>
      </c>
      <c r="AK92" s="283"/>
      <c r="AL92" s="186">
        <v>176</v>
      </c>
      <c r="AM92" s="283"/>
      <c r="AN92" s="283"/>
      <c r="AO92" s="283"/>
      <c r="AP92" s="283"/>
      <c r="AQ92" s="283"/>
      <c r="AR92" s="283"/>
      <c r="AS92" s="283"/>
      <c r="AT92" s="283"/>
      <c r="AU92" s="186"/>
      <c r="AV92" s="283"/>
      <c r="AW92" s="283"/>
      <c r="AX92" s="283"/>
      <c r="AY92" s="283"/>
      <c r="AZ92" s="283"/>
      <c r="BA92" s="283"/>
      <c r="BB92" s="283"/>
      <c r="BC92" s="283"/>
      <c r="BD92" s="186"/>
      <c r="BE92" s="186"/>
      <c r="BF92" s="283"/>
      <c r="BG92" s="283"/>
      <c r="BH92" s="283"/>
      <c r="BI92" s="283"/>
      <c r="BJ92" s="283">
        <f t="shared" si="228"/>
        <v>0</v>
      </c>
      <c r="BK92" s="283"/>
      <c r="BL92" s="283"/>
      <c r="BM92" s="283"/>
      <c r="BN92" s="283"/>
      <c r="BO92" s="186"/>
      <c r="BP92" s="283"/>
      <c r="BQ92" s="283"/>
      <c r="BR92" s="283"/>
      <c r="BS92" s="283"/>
      <c r="BT92" s="283"/>
      <c r="BU92" s="283"/>
      <c r="BV92" s="283"/>
      <c r="BW92" s="283"/>
      <c r="BX92" s="186"/>
      <c r="BY92" s="186"/>
      <c r="BZ92" s="287"/>
      <c r="CA92" s="287"/>
      <c r="CB92" s="287"/>
      <c r="CC92" s="287"/>
      <c r="CD92" s="187"/>
      <c r="CE92" s="287"/>
      <c r="CF92" s="287"/>
      <c r="CG92" s="287"/>
      <c r="CH92" s="287"/>
      <c r="CI92" s="187"/>
      <c r="CJ92" s="187"/>
      <c r="CK92" s="187"/>
      <c r="CL92" s="187"/>
      <c r="CM92" s="187"/>
      <c r="CN92" s="187"/>
      <c r="CO92" s="187"/>
      <c r="CP92" s="187"/>
      <c r="CQ92" s="187"/>
      <c r="CR92" s="304"/>
      <c r="CS92" s="304"/>
      <c r="CT92" s="291"/>
      <c r="CU92" s="160"/>
    </row>
    <row r="93" spans="1:99" ht="61.5" outlineLevel="1">
      <c r="A93" s="183">
        <v>12</v>
      </c>
      <c r="B93" s="279" t="s">
        <v>3269</v>
      </c>
      <c r="C93" s="183" t="s">
        <v>304</v>
      </c>
      <c r="D93" s="280" t="s">
        <v>3270</v>
      </c>
      <c r="E93" s="183"/>
      <c r="F93" s="183" t="s">
        <v>49</v>
      </c>
      <c r="G93" s="183"/>
      <c r="H93" s="183"/>
      <c r="I93" s="184" t="s">
        <v>311</v>
      </c>
      <c r="J93" s="183" t="s">
        <v>49</v>
      </c>
      <c r="K93" s="183" t="s">
        <v>3113</v>
      </c>
      <c r="L93" s="183" t="s">
        <v>75</v>
      </c>
      <c r="M93" s="183"/>
      <c r="N93" s="282"/>
      <c r="O93" s="282" t="s">
        <v>3102</v>
      </c>
      <c r="P93" s="283">
        <v>2918</v>
      </c>
      <c r="Q93" s="283"/>
      <c r="R93" s="283"/>
      <c r="S93" s="283">
        <v>2500</v>
      </c>
      <c r="T93" s="186">
        <v>418</v>
      </c>
      <c r="U93" s="186"/>
      <c r="V93" s="282" t="s">
        <v>3113</v>
      </c>
      <c r="W93" s="282" t="s">
        <v>3115</v>
      </c>
      <c r="X93" s="282" t="s">
        <v>311</v>
      </c>
      <c r="Y93" s="283"/>
      <c r="Z93" s="283"/>
      <c r="AA93" s="283"/>
      <c r="AB93" s="283"/>
      <c r="AC93" s="186">
        <v>2500</v>
      </c>
      <c r="AD93" s="283"/>
      <c r="AE93" s="283"/>
      <c r="AF93" s="186">
        <v>2500</v>
      </c>
      <c r="AG93" s="283">
        <f t="shared" si="227"/>
        <v>0</v>
      </c>
      <c r="AH93" s="283"/>
      <c r="AI93" s="283"/>
      <c r="AJ93" s="283">
        <v>2500</v>
      </c>
      <c r="AK93" s="283"/>
      <c r="AL93" s="186">
        <v>418</v>
      </c>
      <c r="AM93" s="283"/>
      <c r="AN93" s="283"/>
      <c r="AO93" s="283"/>
      <c r="AP93" s="283"/>
      <c r="AQ93" s="283"/>
      <c r="AR93" s="283"/>
      <c r="AS93" s="283"/>
      <c r="AT93" s="283"/>
      <c r="AU93" s="186"/>
      <c r="AV93" s="283"/>
      <c r="AW93" s="283"/>
      <c r="AX93" s="283"/>
      <c r="AY93" s="283"/>
      <c r="AZ93" s="283"/>
      <c r="BA93" s="283"/>
      <c r="BB93" s="283"/>
      <c r="BC93" s="283"/>
      <c r="BD93" s="186"/>
      <c r="BE93" s="186"/>
      <c r="BF93" s="283"/>
      <c r="BG93" s="283"/>
      <c r="BH93" s="283"/>
      <c r="BI93" s="283"/>
      <c r="BJ93" s="283">
        <f t="shared" si="228"/>
        <v>0</v>
      </c>
      <c r="BK93" s="283"/>
      <c r="BL93" s="283"/>
      <c r="BM93" s="283"/>
      <c r="BN93" s="283"/>
      <c r="BO93" s="186"/>
      <c r="BP93" s="283"/>
      <c r="BQ93" s="283"/>
      <c r="BR93" s="283"/>
      <c r="BS93" s="283"/>
      <c r="BT93" s="283"/>
      <c r="BU93" s="283"/>
      <c r="BV93" s="283"/>
      <c r="BW93" s="283"/>
      <c r="BX93" s="186"/>
      <c r="BY93" s="186"/>
      <c r="BZ93" s="287"/>
      <c r="CA93" s="287"/>
      <c r="CB93" s="287"/>
      <c r="CC93" s="287"/>
      <c r="CD93" s="187"/>
      <c r="CE93" s="287"/>
      <c r="CF93" s="287"/>
      <c r="CG93" s="287"/>
      <c r="CH93" s="287"/>
      <c r="CI93" s="187"/>
      <c r="CJ93" s="187"/>
      <c r="CK93" s="187"/>
      <c r="CL93" s="187"/>
      <c r="CM93" s="187"/>
      <c r="CN93" s="187"/>
      <c r="CO93" s="187"/>
      <c r="CP93" s="187"/>
      <c r="CQ93" s="187"/>
      <c r="CR93" s="304"/>
      <c r="CS93" s="304"/>
      <c r="CT93" s="291"/>
      <c r="CU93" s="160"/>
    </row>
    <row r="94" spans="1:99" ht="83.25" customHeight="1" outlineLevel="1">
      <c r="A94" s="183">
        <v>13</v>
      </c>
      <c r="B94" s="279" t="s">
        <v>3271</v>
      </c>
      <c r="C94" s="183" t="s">
        <v>304</v>
      </c>
      <c r="D94" s="280" t="s">
        <v>3272</v>
      </c>
      <c r="E94" s="280"/>
      <c r="F94" s="183" t="s">
        <v>10</v>
      </c>
      <c r="G94" s="280"/>
      <c r="H94" s="280"/>
      <c r="I94" s="184" t="s">
        <v>311</v>
      </c>
      <c r="J94" s="183" t="s">
        <v>10</v>
      </c>
      <c r="K94" s="183" t="s">
        <v>3113</v>
      </c>
      <c r="L94" s="183" t="s">
        <v>83</v>
      </c>
      <c r="M94" s="183"/>
      <c r="N94" s="186"/>
      <c r="O94" s="282" t="s">
        <v>3273</v>
      </c>
      <c r="P94" s="186">
        <v>159475</v>
      </c>
      <c r="Q94" s="186"/>
      <c r="R94" s="186">
        <v>70000</v>
      </c>
      <c r="S94" s="186">
        <v>89475</v>
      </c>
      <c r="T94" s="186">
        <v>0</v>
      </c>
      <c r="U94" s="186"/>
      <c r="V94" s="282" t="s">
        <v>3113</v>
      </c>
      <c r="W94" s="282" t="s">
        <v>3115</v>
      </c>
      <c r="X94" s="282" t="s">
        <v>311</v>
      </c>
      <c r="Y94" s="186"/>
      <c r="Z94" s="186"/>
      <c r="AA94" s="186"/>
      <c r="AB94" s="186"/>
      <c r="AC94" s="186">
        <v>159476</v>
      </c>
      <c r="AD94" s="186"/>
      <c r="AE94" s="186"/>
      <c r="AF94" s="186">
        <f>159475-70000</f>
        <v>89475</v>
      </c>
      <c r="AG94" s="283">
        <f t="shared" si="227"/>
        <v>0</v>
      </c>
      <c r="AH94" s="186"/>
      <c r="AI94" s="186"/>
      <c r="AJ94" s="186">
        <f>159475-70000</f>
        <v>89475</v>
      </c>
      <c r="AK94" s="186"/>
      <c r="AL94" s="186">
        <v>0</v>
      </c>
      <c r="AM94" s="186"/>
      <c r="AN94" s="186"/>
      <c r="AO94" s="186"/>
      <c r="AP94" s="186"/>
      <c r="AQ94" s="186"/>
      <c r="AR94" s="186"/>
      <c r="AS94" s="186"/>
      <c r="AT94" s="186"/>
      <c r="AU94" s="186"/>
      <c r="AV94" s="186"/>
      <c r="AW94" s="186"/>
      <c r="AX94" s="186"/>
      <c r="AY94" s="186"/>
      <c r="AZ94" s="186"/>
      <c r="BA94" s="186"/>
      <c r="BB94" s="186"/>
      <c r="BC94" s="186"/>
      <c r="BD94" s="186"/>
      <c r="BE94" s="186"/>
      <c r="BF94" s="186"/>
      <c r="BG94" s="186"/>
      <c r="BH94" s="186"/>
      <c r="BI94" s="186"/>
      <c r="BJ94" s="283">
        <f t="shared" si="228"/>
        <v>0</v>
      </c>
      <c r="BK94" s="186"/>
      <c r="BL94" s="186"/>
      <c r="BM94" s="186"/>
      <c r="BN94" s="186"/>
      <c r="BO94" s="186"/>
      <c r="BP94" s="186"/>
      <c r="BQ94" s="186"/>
      <c r="BR94" s="186"/>
      <c r="BS94" s="186"/>
      <c r="BT94" s="186"/>
      <c r="BU94" s="186"/>
      <c r="BV94" s="186"/>
      <c r="BW94" s="186"/>
      <c r="BX94" s="186"/>
      <c r="BY94" s="186"/>
      <c r="BZ94" s="187"/>
      <c r="CA94" s="187"/>
      <c r="CB94" s="187"/>
      <c r="CC94" s="187"/>
      <c r="CD94" s="187"/>
      <c r="CE94" s="187"/>
      <c r="CF94" s="187"/>
      <c r="CG94" s="187"/>
      <c r="CH94" s="187"/>
      <c r="CI94" s="187"/>
      <c r="CJ94" s="187"/>
      <c r="CK94" s="187">
        <v>159475</v>
      </c>
      <c r="CL94" s="187"/>
      <c r="CM94" s="187">
        <v>70000</v>
      </c>
      <c r="CN94" s="187">
        <v>89475</v>
      </c>
      <c r="CO94" s="187"/>
      <c r="CP94" s="187"/>
      <c r="CQ94" s="187"/>
      <c r="CR94" s="280"/>
      <c r="CS94" s="280"/>
      <c r="CT94" s="291"/>
      <c r="CU94" s="160"/>
    </row>
    <row r="95" spans="1:99" ht="93.75" customHeight="1" outlineLevel="1">
      <c r="A95" s="183">
        <v>14</v>
      </c>
      <c r="B95" s="279" t="s">
        <v>3274</v>
      </c>
      <c r="C95" s="183" t="s">
        <v>304</v>
      </c>
      <c r="D95" s="183" t="s">
        <v>3275</v>
      </c>
      <c r="E95" s="183"/>
      <c r="F95" s="183" t="s">
        <v>49</v>
      </c>
      <c r="G95" s="183"/>
      <c r="H95" s="183"/>
      <c r="I95" s="184" t="s">
        <v>311</v>
      </c>
      <c r="J95" s="183" t="s">
        <v>49</v>
      </c>
      <c r="K95" s="183" t="s">
        <v>3276</v>
      </c>
      <c r="L95" s="183" t="s">
        <v>75</v>
      </c>
      <c r="M95" s="183"/>
      <c r="N95" s="282"/>
      <c r="O95" s="282" t="s">
        <v>3663</v>
      </c>
      <c r="P95" s="283">
        <v>4700</v>
      </c>
      <c r="Q95" s="283"/>
      <c r="R95" s="283"/>
      <c r="S95" s="283">
        <v>4700</v>
      </c>
      <c r="T95" s="186"/>
      <c r="U95" s="186"/>
      <c r="V95" s="282" t="s">
        <v>3276</v>
      </c>
      <c r="W95" s="282" t="s">
        <v>3115</v>
      </c>
      <c r="X95" s="282" t="s">
        <v>311</v>
      </c>
      <c r="Y95" s="283"/>
      <c r="Z95" s="283"/>
      <c r="AA95" s="283"/>
      <c r="AB95" s="283"/>
      <c r="AC95" s="186">
        <v>4700</v>
      </c>
      <c r="AD95" s="283"/>
      <c r="AE95" s="283"/>
      <c r="AF95" s="186">
        <v>4700</v>
      </c>
      <c r="AG95" s="283">
        <f t="shared" si="227"/>
        <v>0</v>
      </c>
      <c r="AH95" s="283"/>
      <c r="AI95" s="283"/>
      <c r="AJ95" s="283">
        <v>4700</v>
      </c>
      <c r="AK95" s="283"/>
      <c r="AL95" s="186"/>
      <c r="AM95" s="283"/>
      <c r="AN95" s="283"/>
      <c r="AO95" s="283"/>
      <c r="AP95" s="283"/>
      <c r="AQ95" s="283"/>
      <c r="AR95" s="283"/>
      <c r="AS95" s="283"/>
      <c r="AT95" s="283"/>
      <c r="AU95" s="186"/>
      <c r="AV95" s="283"/>
      <c r="AW95" s="283"/>
      <c r="AX95" s="283"/>
      <c r="AY95" s="283"/>
      <c r="AZ95" s="283"/>
      <c r="BA95" s="283"/>
      <c r="BB95" s="283"/>
      <c r="BC95" s="283"/>
      <c r="BD95" s="186"/>
      <c r="BE95" s="186"/>
      <c r="BF95" s="283"/>
      <c r="BG95" s="283"/>
      <c r="BH95" s="283"/>
      <c r="BI95" s="283"/>
      <c r="BJ95" s="283">
        <f t="shared" si="228"/>
        <v>0</v>
      </c>
      <c r="BK95" s="283"/>
      <c r="BL95" s="283"/>
      <c r="BM95" s="283"/>
      <c r="BN95" s="283"/>
      <c r="BO95" s="186"/>
      <c r="BP95" s="283"/>
      <c r="BQ95" s="283"/>
      <c r="BR95" s="283"/>
      <c r="BS95" s="283"/>
      <c r="BT95" s="283"/>
      <c r="BU95" s="283"/>
      <c r="BV95" s="283"/>
      <c r="BW95" s="283"/>
      <c r="BX95" s="186"/>
      <c r="BY95" s="186"/>
      <c r="BZ95" s="287"/>
      <c r="CA95" s="287"/>
      <c r="CB95" s="287"/>
      <c r="CC95" s="287"/>
      <c r="CD95" s="187"/>
      <c r="CE95" s="287"/>
      <c r="CF95" s="287"/>
      <c r="CG95" s="287"/>
      <c r="CH95" s="287"/>
      <c r="CI95" s="187"/>
      <c r="CJ95" s="187"/>
      <c r="CK95" s="187"/>
      <c r="CL95" s="187"/>
      <c r="CM95" s="187"/>
      <c r="CN95" s="187"/>
      <c r="CO95" s="187"/>
      <c r="CP95" s="187"/>
      <c r="CQ95" s="187"/>
      <c r="CR95" s="184"/>
      <c r="CS95" s="184"/>
      <c r="CT95" s="291"/>
      <c r="CU95" s="160"/>
    </row>
    <row r="96" spans="1:99" ht="61.5" outlineLevel="1">
      <c r="A96" s="183">
        <v>15</v>
      </c>
      <c r="B96" s="292" t="s">
        <v>3277</v>
      </c>
      <c r="C96" s="183" t="s">
        <v>304</v>
      </c>
      <c r="D96" s="302" t="s">
        <v>3278</v>
      </c>
      <c r="E96" s="183"/>
      <c r="F96" s="183" t="s">
        <v>49</v>
      </c>
      <c r="G96" s="183"/>
      <c r="H96" s="183"/>
      <c r="I96" s="184" t="s">
        <v>311</v>
      </c>
      <c r="J96" s="183" t="s">
        <v>49</v>
      </c>
      <c r="K96" s="183" t="s">
        <v>3122</v>
      </c>
      <c r="L96" s="183" t="s">
        <v>54</v>
      </c>
      <c r="M96" s="183"/>
      <c r="N96" s="282"/>
      <c r="O96" s="282" t="s">
        <v>3279</v>
      </c>
      <c r="P96" s="283">
        <v>3522</v>
      </c>
      <c r="Q96" s="283"/>
      <c r="R96" s="283"/>
      <c r="S96" s="283">
        <v>3522</v>
      </c>
      <c r="T96" s="186">
        <v>0</v>
      </c>
      <c r="U96" s="186"/>
      <c r="V96" s="282" t="s">
        <v>3122</v>
      </c>
      <c r="W96" s="282" t="s">
        <v>3115</v>
      </c>
      <c r="X96" s="282" t="s">
        <v>311</v>
      </c>
      <c r="Y96" s="283"/>
      <c r="Z96" s="283"/>
      <c r="AA96" s="283"/>
      <c r="AB96" s="283"/>
      <c r="AC96" s="186">
        <v>3522</v>
      </c>
      <c r="AD96" s="283"/>
      <c r="AE96" s="283"/>
      <c r="AF96" s="186">
        <v>3522</v>
      </c>
      <c r="AG96" s="283">
        <f t="shared" si="227"/>
        <v>0</v>
      </c>
      <c r="AH96" s="283"/>
      <c r="AI96" s="283"/>
      <c r="AJ96" s="283">
        <v>3522</v>
      </c>
      <c r="AK96" s="283"/>
      <c r="AL96" s="186">
        <v>0</v>
      </c>
      <c r="AM96" s="283"/>
      <c r="AN96" s="283"/>
      <c r="AO96" s="283"/>
      <c r="AP96" s="283"/>
      <c r="AQ96" s="283"/>
      <c r="AR96" s="283"/>
      <c r="AS96" s="283"/>
      <c r="AT96" s="283"/>
      <c r="AU96" s="186"/>
      <c r="AV96" s="283"/>
      <c r="AW96" s="283"/>
      <c r="AX96" s="283"/>
      <c r="AY96" s="283"/>
      <c r="AZ96" s="283"/>
      <c r="BA96" s="283"/>
      <c r="BB96" s="283"/>
      <c r="BC96" s="283"/>
      <c r="BD96" s="186"/>
      <c r="BE96" s="186"/>
      <c r="BF96" s="283"/>
      <c r="BG96" s="283"/>
      <c r="BH96" s="283"/>
      <c r="BI96" s="283"/>
      <c r="BJ96" s="283">
        <f t="shared" si="228"/>
        <v>0</v>
      </c>
      <c r="BK96" s="283"/>
      <c r="BL96" s="283"/>
      <c r="BM96" s="283"/>
      <c r="BN96" s="283"/>
      <c r="BO96" s="186"/>
      <c r="BP96" s="283"/>
      <c r="BQ96" s="283"/>
      <c r="BR96" s="283"/>
      <c r="BS96" s="283"/>
      <c r="BT96" s="283"/>
      <c r="BU96" s="283"/>
      <c r="BV96" s="283"/>
      <c r="BW96" s="283"/>
      <c r="BX96" s="186"/>
      <c r="BY96" s="186"/>
      <c r="BZ96" s="287"/>
      <c r="CA96" s="287"/>
      <c r="CB96" s="287"/>
      <c r="CC96" s="287"/>
      <c r="CD96" s="187"/>
      <c r="CE96" s="287"/>
      <c r="CF96" s="287"/>
      <c r="CG96" s="287"/>
      <c r="CH96" s="287"/>
      <c r="CI96" s="187"/>
      <c r="CJ96" s="187"/>
      <c r="CK96" s="187"/>
      <c r="CL96" s="187"/>
      <c r="CM96" s="187"/>
      <c r="CN96" s="187"/>
      <c r="CO96" s="187"/>
      <c r="CP96" s="187"/>
      <c r="CQ96" s="187"/>
      <c r="CR96" s="184"/>
      <c r="CS96" s="184"/>
      <c r="CT96" s="291"/>
      <c r="CU96" s="160"/>
    </row>
    <row r="97" spans="1:99" ht="102.75" customHeight="1" outlineLevel="1">
      <c r="A97" s="183">
        <v>16</v>
      </c>
      <c r="B97" s="292" t="s">
        <v>3280</v>
      </c>
      <c r="C97" s="183" t="s">
        <v>304</v>
      </c>
      <c r="D97" s="183" t="s">
        <v>3281</v>
      </c>
      <c r="E97" s="183"/>
      <c r="F97" s="183" t="s">
        <v>49</v>
      </c>
      <c r="G97" s="183"/>
      <c r="H97" s="183"/>
      <c r="I97" s="184" t="s">
        <v>311</v>
      </c>
      <c r="J97" s="183" t="s">
        <v>49</v>
      </c>
      <c r="K97" s="183" t="s">
        <v>3282</v>
      </c>
      <c r="L97" s="183" t="s">
        <v>84</v>
      </c>
      <c r="M97" s="183"/>
      <c r="N97" s="282"/>
      <c r="O97" s="282" t="s">
        <v>3664</v>
      </c>
      <c r="P97" s="283">
        <v>2500</v>
      </c>
      <c r="Q97" s="283"/>
      <c r="R97" s="283"/>
      <c r="S97" s="186">
        <v>2500</v>
      </c>
      <c r="T97" s="186">
        <v>0</v>
      </c>
      <c r="U97" s="186"/>
      <c r="V97" s="282" t="s">
        <v>3282</v>
      </c>
      <c r="W97" s="282" t="s">
        <v>3115</v>
      </c>
      <c r="X97" s="282" t="s">
        <v>311</v>
      </c>
      <c r="Y97" s="283"/>
      <c r="Z97" s="283"/>
      <c r="AA97" s="283"/>
      <c r="AB97" s="283"/>
      <c r="AC97" s="186">
        <v>2500</v>
      </c>
      <c r="AD97" s="283"/>
      <c r="AE97" s="283"/>
      <c r="AF97" s="186">
        <v>2500</v>
      </c>
      <c r="AG97" s="283">
        <f t="shared" si="227"/>
        <v>0</v>
      </c>
      <c r="AH97" s="186"/>
      <c r="AI97" s="186"/>
      <c r="AJ97" s="186">
        <v>2500</v>
      </c>
      <c r="AK97" s="186"/>
      <c r="AL97" s="186">
        <v>0</v>
      </c>
      <c r="AM97" s="283"/>
      <c r="AN97" s="283"/>
      <c r="AO97" s="283"/>
      <c r="AP97" s="186"/>
      <c r="AQ97" s="186"/>
      <c r="AR97" s="186"/>
      <c r="AS97" s="186"/>
      <c r="AT97" s="186"/>
      <c r="AU97" s="186"/>
      <c r="AV97" s="283"/>
      <c r="AW97" s="283"/>
      <c r="AX97" s="283"/>
      <c r="AY97" s="186"/>
      <c r="AZ97" s="186"/>
      <c r="BA97" s="186"/>
      <c r="BB97" s="186"/>
      <c r="BC97" s="186"/>
      <c r="BD97" s="186"/>
      <c r="BE97" s="186"/>
      <c r="BF97" s="283"/>
      <c r="BG97" s="283"/>
      <c r="BH97" s="283"/>
      <c r="BI97" s="186"/>
      <c r="BJ97" s="283">
        <f t="shared" si="228"/>
        <v>0</v>
      </c>
      <c r="BK97" s="186"/>
      <c r="BL97" s="186"/>
      <c r="BM97" s="186"/>
      <c r="BN97" s="186"/>
      <c r="BO97" s="186"/>
      <c r="BP97" s="283"/>
      <c r="BQ97" s="283"/>
      <c r="BR97" s="283"/>
      <c r="BS97" s="284"/>
      <c r="BT97" s="284"/>
      <c r="BU97" s="284"/>
      <c r="BV97" s="284"/>
      <c r="BW97" s="284"/>
      <c r="BX97" s="186"/>
      <c r="BY97" s="186"/>
      <c r="BZ97" s="287"/>
      <c r="CA97" s="287"/>
      <c r="CB97" s="287"/>
      <c r="CC97" s="286"/>
      <c r="CD97" s="187"/>
      <c r="CE97" s="287"/>
      <c r="CF97" s="287"/>
      <c r="CG97" s="287"/>
      <c r="CH97" s="286"/>
      <c r="CI97" s="187"/>
      <c r="CJ97" s="187"/>
      <c r="CK97" s="187"/>
      <c r="CL97" s="187"/>
      <c r="CM97" s="187"/>
      <c r="CN97" s="187"/>
      <c r="CO97" s="187"/>
      <c r="CP97" s="187"/>
      <c r="CQ97" s="187"/>
      <c r="CR97" s="184"/>
      <c r="CS97" s="184"/>
      <c r="CT97" s="291"/>
      <c r="CU97" s="160"/>
    </row>
    <row r="98" spans="1:99" ht="82.5" customHeight="1" outlineLevel="1">
      <c r="A98" s="183">
        <v>17</v>
      </c>
      <c r="B98" s="292" t="s">
        <v>3283</v>
      </c>
      <c r="C98" s="183" t="s">
        <v>304</v>
      </c>
      <c r="D98" s="183" t="s">
        <v>3284</v>
      </c>
      <c r="E98" s="183"/>
      <c r="F98" s="183" t="s">
        <v>49</v>
      </c>
      <c r="G98" s="183"/>
      <c r="H98" s="183"/>
      <c r="I98" s="184" t="s">
        <v>311</v>
      </c>
      <c r="J98" s="183" t="s">
        <v>49</v>
      </c>
      <c r="K98" s="183" t="s">
        <v>3122</v>
      </c>
      <c r="L98" s="183" t="s">
        <v>84</v>
      </c>
      <c r="M98" s="183"/>
      <c r="N98" s="282"/>
      <c r="O98" s="282" t="s">
        <v>3664</v>
      </c>
      <c r="P98" s="283">
        <v>2000</v>
      </c>
      <c r="Q98" s="283"/>
      <c r="R98" s="283"/>
      <c r="S98" s="186">
        <v>2000</v>
      </c>
      <c r="T98" s="186">
        <v>0</v>
      </c>
      <c r="U98" s="186"/>
      <c r="V98" s="282" t="s">
        <v>3122</v>
      </c>
      <c r="W98" s="282" t="s">
        <v>3115</v>
      </c>
      <c r="X98" s="282" t="s">
        <v>311</v>
      </c>
      <c r="Y98" s="283"/>
      <c r="Z98" s="283"/>
      <c r="AA98" s="283"/>
      <c r="AB98" s="283"/>
      <c r="AC98" s="186">
        <v>2000</v>
      </c>
      <c r="AD98" s="283"/>
      <c r="AE98" s="283"/>
      <c r="AF98" s="186">
        <v>2000</v>
      </c>
      <c r="AG98" s="283">
        <f t="shared" si="227"/>
        <v>0</v>
      </c>
      <c r="AH98" s="186"/>
      <c r="AI98" s="186"/>
      <c r="AJ98" s="186">
        <v>2000</v>
      </c>
      <c r="AK98" s="186"/>
      <c r="AL98" s="186">
        <v>0</v>
      </c>
      <c r="AM98" s="283"/>
      <c r="AN98" s="283"/>
      <c r="AO98" s="283"/>
      <c r="AP98" s="186"/>
      <c r="AQ98" s="186"/>
      <c r="AR98" s="186"/>
      <c r="AS98" s="186"/>
      <c r="AT98" s="186"/>
      <c r="AU98" s="186"/>
      <c r="AV98" s="283"/>
      <c r="AW98" s="283"/>
      <c r="AX98" s="283"/>
      <c r="AY98" s="186"/>
      <c r="AZ98" s="186"/>
      <c r="BA98" s="186"/>
      <c r="BB98" s="186"/>
      <c r="BC98" s="186"/>
      <c r="BD98" s="186"/>
      <c r="BE98" s="186"/>
      <c r="BF98" s="283"/>
      <c r="BG98" s="283"/>
      <c r="BH98" s="283"/>
      <c r="BI98" s="186"/>
      <c r="BJ98" s="283">
        <f t="shared" si="228"/>
        <v>0</v>
      </c>
      <c r="BK98" s="186"/>
      <c r="BL98" s="186"/>
      <c r="BM98" s="186"/>
      <c r="BN98" s="186"/>
      <c r="BO98" s="186"/>
      <c r="BP98" s="283"/>
      <c r="BQ98" s="283"/>
      <c r="BR98" s="283"/>
      <c r="BS98" s="284"/>
      <c r="BT98" s="284"/>
      <c r="BU98" s="284"/>
      <c r="BV98" s="284"/>
      <c r="BW98" s="284"/>
      <c r="BX98" s="186"/>
      <c r="BY98" s="186"/>
      <c r="BZ98" s="287"/>
      <c r="CA98" s="287"/>
      <c r="CB98" s="287"/>
      <c r="CC98" s="286"/>
      <c r="CD98" s="187"/>
      <c r="CE98" s="287"/>
      <c r="CF98" s="287"/>
      <c r="CG98" s="287"/>
      <c r="CH98" s="286"/>
      <c r="CI98" s="187"/>
      <c r="CJ98" s="187"/>
      <c r="CK98" s="187"/>
      <c r="CL98" s="187"/>
      <c r="CM98" s="187"/>
      <c r="CN98" s="187"/>
      <c r="CO98" s="187"/>
      <c r="CP98" s="187"/>
      <c r="CQ98" s="187"/>
      <c r="CR98" s="184"/>
      <c r="CS98" s="184"/>
      <c r="CT98" s="291"/>
      <c r="CU98" s="160"/>
    </row>
    <row r="99" spans="1:99" ht="61.5" outlineLevel="1">
      <c r="A99" s="183">
        <v>18</v>
      </c>
      <c r="B99" s="292" t="s">
        <v>3285</v>
      </c>
      <c r="C99" s="183" t="s">
        <v>304</v>
      </c>
      <c r="D99" s="183" t="s">
        <v>3286</v>
      </c>
      <c r="E99" s="183"/>
      <c r="F99" s="183" t="s">
        <v>49</v>
      </c>
      <c r="G99" s="183"/>
      <c r="H99" s="183"/>
      <c r="I99" s="184" t="s">
        <v>311</v>
      </c>
      <c r="J99" s="183" t="s">
        <v>49</v>
      </c>
      <c r="K99" s="183" t="s">
        <v>3122</v>
      </c>
      <c r="L99" s="183" t="s">
        <v>54</v>
      </c>
      <c r="M99" s="183"/>
      <c r="N99" s="282"/>
      <c r="O99" s="282" t="s">
        <v>3664</v>
      </c>
      <c r="P99" s="283">
        <v>395</v>
      </c>
      <c r="Q99" s="283"/>
      <c r="R99" s="283"/>
      <c r="S99" s="186">
        <v>395</v>
      </c>
      <c r="T99" s="186"/>
      <c r="U99" s="186"/>
      <c r="V99" s="282" t="s">
        <v>3122</v>
      </c>
      <c r="W99" s="282" t="s">
        <v>3115</v>
      </c>
      <c r="X99" s="282" t="s">
        <v>311</v>
      </c>
      <c r="Y99" s="283"/>
      <c r="Z99" s="283"/>
      <c r="AA99" s="283"/>
      <c r="AB99" s="283"/>
      <c r="AC99" s="186">
        <v>395</v>
      </c>
      <c r="AD99" s="283"/>
      <c r="AE99" s="283"/>
      <c r="AF99" s="186">
        <v>395</v>
      </c>
      <c r="AG99" s="283">
        <f t="shared" si="227"/>
        <v>0</v>
      </c>
      <c r="AH99" s="186"/>
      <c r="AI99" s="186"/>
      <c r="AJ99" s="186">
        <v>395</v>
      </c>
      <c r="AK99" s="186"/>
      <c r="AL99" s="186"/>
      <c r="AM99" s="283"/>
      <c r="AN99" s="283"/>
      <c r="AO99" s="283"/>
      <c r="AP99" s="186"/>
      <c r="AQ99" s="186"/>
      <c r="AR99" s="186"/>
      <c r="AS99" s="186"/>
      <c r="AT99" s="186"/>
      <c r="AU99" s="186"/>
      <c r="AV99" s="283"/>
      <c r="AW99" s="283"/>
      <c r="AX99" s="283"/>
      <c r="AY99" s="186"/>
      <c r="AZ99" s="186"/>
      <c r="BA99" s="186"/>
      <c r="BB99" s="186"/>
      <c r="BC99" s="186"/>
      <c r="BD99" s="186"/>
      <c r="BE99" s="186"/>
      <c r="BF99" s="283"/>
      <c r="BG99" s="283"/>
      <c r="BH99" s="283"/>
      <c r="BI99" s="186"/>
      <c r="BJ99" s="283">
        <f t="shared" si="228"/>
        <v>0</v>
      </c>
      <c r="BK99" s="186"/>
      <c r="BL99" s="186"/>
      <c r="BM99" s="186"/>
      <c r="BN99" s="186"/>
      <c r="BO99" s="186"/>
      <c r="BP99" s="283"/>
      <c r="BQ99" s="283"/>
      <c r="BR99" s="283"/>
      <c r="BS99" s="284"/>
      <c r="BT99" s="284"/>
      <c r="BU99" s="284"/>
      <c r="BV99" s="284"/>
      <c r="BW99" s="284"/>
      <c r="BX99" s="186"/>
      <c r="BY99" s="186"/>
      <c r="BZ99" s="287"/>
      <c r="CA99" s="287"/>
      <c r="CB99" s="287"/>
      <c r="CC99" s="286"/>
      <c r="CD99" s="187"/>
      <c r="CE99" s="287"/>
      <c r="CF99" s="287"/>
      <c r="CG99" s="287"/>
      <c r="CH99" s="286"/>
      <c r="CI99" s="187"/>
      <c r="CJ99" s="187"/>
      <c r="CK99" s="187"/>
      <c r="CL99" s="187"/>
      <c r="CM99" s="187"/>
      <c r="CN99" s="187"/>
      <c r="CO99" s="187"/>
      <c r="CP99" s="187"/>
      <c r="CQ99" s="187"/>
      <c r="CR99" s="184"/>
      <c r="CS99" s="184"/>
      <c r="CT99" s="291"/>
      <c r="CU99" s="160"/>
    </row>
    <row r="100" spans="1:99" ht="65.25" customHeight="1" outlineLevel="1">
      <c r="A100" s="183">
        <v>19</v>
      </c>
      <c r="B100" s="279" t="s">
        <v>3287</v>
      </c>
      <c r="C100" s="183" t="s">
        <v>304</v>
      </c>
      <c r="D100" s="183" t="s">
        <v>3288</v>
      </c>
      <c r="E100" s="279"/>
      <c r="F100" s="183" t="s">
        <v>49</v>
      </c>
      <c r="G100" s="279"/>
      <c r="H100" s="279"/>
      <c r="I100" s="184" t="s">
        <v>311</v>
      </c>
      <c r="J100" s="183" t="s">
        <v>49</v>
      </c>
      <c r="K100" s="183" t="s">
        <v>3289</v>
      </c>
      <c r="L100" s="183" t="s">
        <v>84</v>
      </c>
      <c r="M100" s="183"/>
      <c r="N100" s="283"/>
      <c r="O100" s="282" t="s">
        <v>3664</v>
      </c>
      <c r="P100" s="283">
        <v>500</v>
      </c>
      <c r="Q100" s="283"/>
      <c r="R100" s="283"/>
      <c r="S100" s="186">
        <v>500</v>
      </c>
      <c r="T100" s="186">
        <v>0</v>
      </c>
      <c r="U100" s="186"/>
      <c r="V100" s="282" t="s">
        <v>3289</v>
      </c>
      <c r="W100" s="282" t="s">
        <v>3115</v>
      </c>
      <c r="X100" s="282" t="s">
        <v>311</v>
      </c>
      <c r="Y100" s="283"/>
      <c r="Z100" s="283"/>
      <c r="AA100" s="283"/>
      <c r="AB100" s="283"/>
      <c r="AC100" s="186">
        <v>500</v>
      </c>
      <c r="AD100" s="283"/>
      <c r="AE100" s="283"/>
      <c r="AF100" s="186">
        <v>500</v>
      </c>
      <c r="AG100" s="283">
        <f t="shared" si="227"/>
        <v>0</v>
      </c>
      <c r="AH100" s="186"/>
      <c r="AI100" s="186"/>
      <c r="AJ100" s="186">
        <v>500</v>
      </c>
      <c r="AK100" s="186"/>
      <c r="AL100" s="186">
        <v>0</v>
      </c>
      <c r="AM100" s="283"/>
      <c r="AN100" s="283"/>
      <c r="AO100" s="283"/>
      <c r="AP100" s="186"/>
      <c r="AQ100" s="186"/>
      <c r="AR100" s="186"/>
      <c r="AS100" s="186"/>
      <c r="AT100" s="186"/>
      <c r="AU100" s="186"/>
      <c r="AV100" s="283"/>
      <c r="AW100" s="283"/>
      <c r="AX100" s="283"/>
      <c r="AY100" s="186"/>
      <c r="AZ100" s="186"/>
      <c r="BA100" s="186"/>
      <c r="BB100" s="186"/>
      <c r="BC100" s="186"/>
      <c r="BD100" s="186"/>
      <c r="BE100" s="186"/>
      <c r="BF100" s="283"/>
      <c r="BG100" s="283"/>
      <c r="BH100" s="283"/>
      <c r="BI100" s="186"/>
      <c r="BJ100" s="283">
        <f t="shared" si="228"/>
        <v>0</v>
      </c>
      <c r="BK100" s="186"/>
      <c r="BL100" s="186"/>
      <c r="BM100" s="186"/>
      <c r="BN100" s="186"/>
      <c r="BO100" s="186"/>
      <c r="BP100" s="283"/>
      <c r="BQ100" s="283"/>
      <c r="BR100" s="283"/>
      <c r="BS100" s="284"/>
      <c r="BT100" s="284"/>
      <c r="BU100" s="284"/>
      <c r="BV100" s="284"/>
      <c r="BW100" s="284"/>
      <c r="BX100" s="186"/>
      <c r="BY100" s="186"/>
      <c r="BZ100" s="287"/>
      <c r="CA100" s="287"/>
      <c r="CB100" s="287"/>
      <c r="CC100" s="286"/>
      <c r="CD100" s="187"/>
      <c r="CE100" s="287"/>
      <c r="CF100" s="287"/>
      <c r="CG100" s="287"/>
      <c r="CH100" s="286"/>
      <c r="CI100" s="187"/>
      <c r="CJ100" s="187"/>
      <c r="CK100" s="187"/>
      <c r="CL100" s="187"/>
      <c r="CM100" s="187"/>
      <c r="CN100" s="187"/>
      <c r="CO100" s="187"/>
      <c r="CP100" s="187"/>
      <c r="CQ100" s="187"/>
      <c r="CR100" s="184"/>
      <c r="CS100" s="184"/>
      <c r="CT100" s="291"/>
      <c r="CU100" s="160"/>
    </row>
    <row r="101" spans="1:99" ht="51.75" customHeight="1" outlineLevel="1">
      <c r="A101" s="183">
        <v>20</v>
      </c>
      <c r="B101" s="279" t="s">
        <v>3290</v>
      </c>
      <c r="C101" s="183" t="s">
        <v>304</v>
      </c>
      <c r="D101" s="183" t="s">
        <v>3291</v>
      </c>
      <c r="E101" s="183"/>
      <c r="F101" s="183" t="s">
        <v>49</v>
      </c>
      <c r="G101" s="183"/>
      <c r="H101" s="183"/>
      <c r="I101" s="184" t="s">
        <v>311</v>
      </c>
      <c r="J101" s="183" t="s">
        <v>49</v>
      </c>
      <c r="K101" s="183" t="s">
        <v>3122</v>
      </c>
      <c r="L101" s="183" t="s">
        <v>84</v>
      </c>
      <c r="M101" s="183"/>
      <c r="N101" s="283"/>
      <c r="O101" s="282" t="s">
        <v>3664</v>
      </c>
      <c r="P101" s="283">
        <v>6670</v>
      </c>
      <c r="Q101" s="283"/>
      <c r="R101" s="283"/>
      <c r="S101" s="283">
        <v>6670</v>
      </c>
      <c r="T101" s="186">
        <v>0</v>
      </c>
      <c r="U101" s="186"/>
      <c r="V101" s="282" t="s">
        <v>3122</v>
      </c>
      <c r="W101" s="282" t="s">
        <v>3115</v>
      </c>
      <c r="X101" s="282" t="s">
        <v>311</v>
      </c>
      <c r="Y101" s="283"/>
      <c r="Z101" s="283"/>
      <c r="AA101" s="283"/>
      <c r="AB101" s="283"/>
      <c r="AC101" s="186">
        <v>6670</v>
      </c>
      <c r="AD101" s="283"/>
      <c r="AE101" s="283"/>
      <c r="AF101" s="186">
        <v>6670</v>
      </c>
      <c r="AG101" s="283">
        <f t="shared" si="227"/>
        <v>0</v>
      </c>
      <c r="AH101" s="283"/>
      <c r="AI101" s="283"/>
      <c r="AJ101" s="283">
        <v>6670</v>
      </c>
      <c r="AK101" s="283"/>
      <c r="AL101" s="186">
        <v>0</v>
      </c>
      <c r="AM101" s="283"/>
      <c r="AN101" s="283"/>
      <c r="AO101" s="283"/>
      <c r="AP101" s="283"/>
      <c r="AQ101" s="283"/>
      <c r="AR101" s="283"/>
      <c r="AS101" s="283"/>
      <c r="AT101" s="283"/>
      <c r="AU101" s="186"/>
      <c r="AV101" s="283"/>
      <c r="AW101" s="283"/>
      <c r="AX101" s="283"/>
      <c r="AY101" s="283"/>
      <c r="AZ101" s="283"/>
      <c r="BA101" s="283"/>
      <c r="BB101" s="283"/>
      <c r="BC101" s="283"/>
      <c r="BD101" s="186"/>
      <c r="BE101" s="186"/>
      <c r="BF101" s="283"/>
      <c r="BG101" s="283"/>
      <c r="BH101" s="283"/>
      <c r="BI101" s="283"/>
      <c r="BJ101" s="283">
        <f t="shared" si="228"/>
        <v>0</v>
      </c>
      <c r="BK101" s="283"/>
      <c r="BL101" s="283"/>
      <c r="BM101" s="283"/>
      <c r="BN101" s="283"/>
      <c r="BO101" s="186"/>
      <c r="BP101" s="283"/>
      <c r="BQ101" s="283"/>
      <c r="BR101" s="283"/>
      <c r="BS101" s="283"/>
      <c r="BT101" s="283"/>
      <c r="BU101" s="283"/>
      <c r="BV101" s="283"/>
      <c r="BW101" s="283"/>
      <c r="BX101" s="186"/>
      <c r="BY101" s="186"/>
      <c r="BZ101" s="287"/>
      <c r="CA101" s="287"/>
      <c r="CB101" s="287"/>
      <c r="CC101" s="287"/>
      <c r="CD101" s="187"/>
      <c r="CE101" s="287"/>
      <c r="CF101" s="287"/>
      <c r="CG101" s="287"/>
      <c r="CH101" s="287"/>
      <c r="CI101" s="187"/>
      <c r="CJ101" s="187"/>
      <c r="CK101" s="187"/>
      <c r="CL101" s="187"/>
      <c r="CM101" s="187"/>
      <c r="CN101" s="187"/>
      <c r="CO101" s="187"/>
      <c r="CP101" s="187"/>
      <c r="CQ101" s="187"/>
      <c r="CR101" s="184"/>
      <c r="CS101" s="184"/>
      <c r="CT101" s="291"/>
      <c r="CU101" s="160"/>
    </row>
    <row r="102" spans="1:99" ht="54.75" customHeight="1" outlineLevel="1">
      <c r="A102" s="183">
        <v>21</v>
      </c>
      <c r="B102" s="279" t="s">
        <v>3292</v>
      </c>
      <c r="C102" s="183" t="s">
        <v>304</v>
      </c>
      <c r="D102" s="183" t="s">
        <v>3293</v>
      </c>
      <c r="E102" s="183"/>
      <c r="F102" s="183" t="s">
        <v>49</v>
      </c>
      <c r="G102" s="183"/>
      <c r="H102" s="183"/>
      <c r="I102" s="184" t="s">
        <v>311</v>
      </c>
      <c r="J102" s="183" t="s">
        <v>49</v>
      </c>
      <c r="K102" s="183" t="s">
        <v>3122</v>
      </c>
      <c r="L102" s="183" t="s">
        <v>84</v>
      </c>
      <c r="M102" s="183"/>
      <c r="N102" s="283"/>
      <c r="O102" s="282" t="s">
        <v>3664</v>
      </c>
      <c r="P102" s="283">
        <v>4200</v>
      </c>
      <c r="Q102" s="283"/>
      <c r="R102" s="283"/>
      <c r="S102" s="283">
        <v>4200</v>
      </c>
      <c r="T102" s="186">
        <v>0</v>
      </c>
      <c r="U102" s="186"/>
      <c r="V102" s="282" t="s">
        <v>3122</v>
      </c>
      <c r="W102" s="282" t="s">
        <v>3115</v>
      </c>
      <c r="X102" s="282" t="s">
        <v>311</v>
      </c>
      <c r="Y102" s="283"/>
      <c r="Z102" s="283"/>
      <c r="AA102" s="283"/>
      <c r="AB102" s="283"/>
      <c r="AC102" s="186">
        <v>4200</v>
      </c>
      <c r="AD102" s="283"/>
      <c r="AE102" s="283"/>
      <c r="AF102" s="186">
        <v>4200</v>
      </c>
      <c r="AG102" s="283">
        <f t="shared" si="227"/>
        <v>0</v>
      </c>
      <c r="AH102" s="283"/>
      <c r="AI102" s="283"/>
      <c r="AJ102" s="283">
        <v>4200</v>
      </c>
      <c r="AK102" s="283"/>
      <c r="AL102" s="186">
        <v>0</v>
      </c>
      <c r="AM102" s="283"/>
      <c r="AN102" s="283"/>
      <c r="AO102" s="283"/>
      <c r="AP102" s="283"/>
      <c r="AQ102" s="283"/>
      <c r="AR102" s="283"/>
      <c r="AS102" s="283"/>
      <c r="AT102" s="283"/>
      <c r="AU102" s="186"/>
      <c r="AV102" s="283"/>
      <c r="AW102" s="283"/>
      <c r="AX102" s="283"/>
      <c r="AY102" s="283"/>
      <c r="AZ102" s="283"/>
      <c r="BA102" s="283"/>
      <c r="BB102" s="283"/>
      <c r="BC102" s="283"/>
      <c r="BD102" s="186"/>
      <c r="BE102" s="186"/>
      <c r="BF102" s="283"/>
      <c r="BG102" s="283"/>
      <c r="BH102" s="283"/>
      <c r="BI102" s="283"/>
      <c r="BJ102" s="283">
        <f t="shared" si="228"/>
        <v>0</v>
      </c>
      <c r="BK102" s="283"/>
      <c r="BL102" s="283"/>
      <c r="BM102" s="283"/>
      <c r="BN102" s="283"/>
      <c r="BO102" s="186"/>
      <c r="BP102" s="283"/>
      <c r="BQ102" s="283"/>
      <c r="BR102" s="283"/>
      <c r="BS102" s="283"/>
      <c r="BT102" s="283"/>
      <c r="BU102" s="283"/>
      <c r="BV102" s="283"/>
      <c r="BW102" s="283"/>
      <c r="BX102" s="186"/>
      <c r="BY102" s="186"/>
      <c r="BZ102" s="287"/>
      <c r="CA102" s="287"/>
      <c r="CB102" s="287"/>
      <c r="CC102" s="287"/>
      <c r="CD102" s="187"/>
      <c r="CE102" s="287"/>
      <c r="CF102" s="287"/>
      <c r="CG102" s="287"/>
      <c r="CH102" s="287"/>
      <c r="CI102" s="187"/>
      <c r="CJ102" s="187"/>
      <c r="CK102" s="187"/>
      <c r="CL102" s="187"/>
      <c r="CM102" s="187"/>
      <c r="CN102" s="187"/>
      <c r="CO102" s="187"/>
      <c r="CP102" s="187"/>
      <c r="CQ102" s="187"/>
      <c r="CR102" s="184"/>
      <c r="CS102" s="184"/>
      <c r="CT102" s="291"/>
      <c r="CU102" s="160"/>
    </row>
    <row r="103" spans="1:99" ht="59.25" customHeight="1" outlineLevel="1">
      <c r="A103" s="183">
        <v>22</v>
      </c>
      <c r="B103" s="279" t="s">
        <v>3294</v>
      </c>
      <c r="C103" s="280" t="s">
        <v>3042</v>
      </c>
      <c r="D103" s="280" t="s">
        <v>3295</v>
      </c>
      <c r="E103" s="281"/>
      <c r="F103" s="183" t="s">
        <v>49</v>
      </c>
      <c r="G103" s="281"/>
      <c r="H103" s="281"/>
      <c r="I103" s="184" t="s">
        <v>311</v>
      </c>
      <c r="J103" s="183" t="s">
        <v>49</v>
      </c>
      <c r="K103" s="183" t="s">
        <v>3296</v>
      </c>
      <c r="L103" s="183" t="s">
        <v>75</v>
      </c>
      <c r="M103" s="183"/>
      <c r="N103" s="282"/>
      <c r="O103" s="282" t="s">
        <v>3102</v>
      </c>
      <c r="P103" s="283">
        <v>8000</v>
      </c>
      <c r="Q103" s="283"/>
      <c r="R103" s="283"/>
      <c r="S103" s="283">
        <v>7200</v>
      </c>
      <c r="T103" s="186">
        <v>800</v>
      </c>
      <c r="U103" s="186"/>
      <c r="V103" s="282" t="s">
        <v>3296</v>
      </c>
      <c r="W103" s="282" t="s">
        <v>3115</v>
      </c>
      <c r="X103" s="282" t="s">
        <v>311</v>
      </c>
      <c r="Y103" s="283"/>
      <c r="Z103" s="283"/>
      <c r="AA103" s="283"/>
      <c r="AB103" s="283"/>
      <c r="AC103" s="186">
        <v>7200</v>
      </c>
      <c r="AD103" s="283"/>
      <c r="AE103" s="283"/>
      <c r="AF103" s="186">
        <v>7200</v>
      </c>
      <c r="AG103" s="283">
        <f t="shared" si="227"/>
        <v>0</v>
      </c>
      <c r="AH103" s="283"/>
      <c r="AI103" s="283"/>
      <c r="AJ103" s="283"/>
      <c r="AK103" s="283">
        <v>7200</v>
      </c>
      <c r="AL103" s="186">
        <v>800</v>
      </c>
      <c r="AM103" s="283"/>
      <c r="AN103" s="283"/>
      <c r="AO103" s="283"/>
      <c r="AP103" s="283"/>
      <c r="AQ103" s="283"/>
      <c r="AR103" s="283"/>
      <c r="AS103" s="283"/>
      <c r="AT103" s="283"/>
      <c r="AU103" s="186"/>
      <c r="AV103" s="283"/>
      <c r="AW103" s="283"/>
      <c r="AX103" s="283"/>
      <c r="AY103" s="283"/>
      <c r="AZ103" s="283"/>
      <c r="BA103" s="283"/>
      <c r="BB103" s="283"/>
      <c r="BC103" s="283"/>
      <c r="BD103" s="186"/>
      <c r="BE103" s="186"/>
      <c r="BF103" s="283"/>
      <c r="BG103" s="283"/>
      <c r="BH103" s="283"/>
      <c r="BI103" s="283"/>
      <c r="BJ103" s="283">
        <f t="shared" si="228"/>
        <v>0</v>
      </c>
      <c r="BK103" s="283"/>
      <c r="BL103" s="283"/>
      <c r="BM103" s="283"/>
      <c r="BN103" s="283"/>
      <c r="BO103" s="186"/>
      <c r="BP103" s="283"/>
      <c r="BQ103" s="283"/>
      <c r="BR103" s="283"/>
      <c r="BS103" s="283"/>
      <c r="BT103" s="283"/>
      <c r="BU103" s="283"/>
      <c r="BV103" s="283"/>
      <c r="BW103" s="283"/>
      <c r="BX103" s="186"/>
      <c r="BY103" s="186"/>
      <c r="BZ103" s="287"/>
      <c r="CA103" s="287"/>
      <c r="CB103" s="287"/>
      <c r="CC103" s="287"/>
      <c r="CD103" s="187"/>
      <c r="CE103" s="287"/>
      <c r="CF103" s="287"/>
      <c r="CG103" s="287"/>
      <c r="CH103" s="287"/>
      <c r="CI103" s="187"/>
      <c r="CJ103" s="187"/>
      <c r="CK103" s="187"/>
      <c r="CL103" s="187"/>
      <c r="CM103" s="187"/>
      <c r="CN103" s="187"/>
      <c r="CO103" s="187"/>
      <c r="CP103" s="187"/>
      <c r="CQ103" s="187"/>
      <c r="CR103" s="281"/>
      <c r="CS103" s="281"/>
      <c r="CT103" s="291"/>
      <c r="CU103" s="160"/>
    </row>
    <row r="104" spans="1:99" ht="56.25" customHeight="1" outlineLevel="1">
      <c r="A104" s="183">
        <v>23</v>
      </c>
      <c r="B104" s="279" t="s">
        <v>3297</v>
      </c>
      <c r="C104" s="280" t="s">
        <v>3042</v>
      </c>
      <c r="D104" s="183" t="s">
        <v>3298</v>
      </c>
      <c r="E104" s="183"/>
      <c r="F104" s="183" t="s">
        <v>49</v>
      </c>
      <c r="G104" s="183"/>
      <c r="H104" s="183"/>
      <c r="I104" s="184" t="s">
        <v>311</v>
      </c>
      <c r="J104" s="183" t="s">
        <v>49</v>
      </c>
      <c r="K104" s="183" t="s">
        <v>3299</v>
      </c>
      <c r="L104" s="183" t="s">
        <v>75</v>
      </c>
      <c r="M104" s="183"/>
      <c r="N104" s="282"/>
      <c r="O104" s="282" t="s">
        <v>3102</v>
      </c>
      <c r="P104" s="283">
        <v>7500</v>
      </c>
      <c r="Q104" s="283"/>
      <c r="R104" s="283"/>
      <c r="S104" s="283">
        <v>6300</v>
      </c>
      <c r="T104" s="186">
        <v>1200</v>
      </c>
      <c r="U104" s="186"/>
      <c r="V104" s="282" t="s">
        <v>3299</v>
      </c>
      <c r="W104" s="282" t="s">
        <v>3115</v>
      </c>
      <c r="X104" s="282" t="s">
        <v>311</v>
      </c>
      <c r="Y104" s="283"/>
      <c r="Z104" s="283"/>
      <c r="AA104" s="283"/>
      <c r="AB104" s="283"/>
      <c r="AC104" s="186">
        <v>6300</v>
      </c>
      <c r="AD104" s="283"/>
      <c r="AE104" s="283"/>
      <c r="AF104" s="186">
        <v>6300</v>
      </c>
      <c r="AG104" s="283">
        <f t="shared" si="227"/>
        <v>0</v>
      </c>
      <c r="AH104" s="283"/>
      <c r="AI104" s="283"/>
      <c r="AJ104" s="283"/>
      <c r="AK104" s="283">
        <v>6300</v>
      </c>
      <c r="AL104" s="186">
        <v>1200</v>
      </c>
      <c r="AM104" s="283"/>
      <c r="AN104" s="283"/>
      <c r="AO104" s="283"/>
      <c r="AP104" s="283"/>
      <c r="AQ104" s="283"/>
      <c r="AR104" s="283"/>
      <c r="AS104" s="283"/>
      <c r="AT104" s="283"/>
      <c r="AU104" s="186"/>
      <c r="AV104" s="283"/>
      <c r="AW104" s="283"/>
      <c r="AX104" s="283"/>
      <c r="AY104" s="283"/>
      <c r="AZ104" s="283"/>
      <c r="BA104" s="283"/>
      <c r="BB104" s="283"/>
      <c r="BC104" s="283"/>
      <c r="BD104" s="186"/>
      <c r="BE104" s="186"/>
      <c r="BF104" s="283"/>
      <c r="BG104" s="283"/>
      <c r="BH104" s="283"/>
      <c r="BI104" s="283"/>
      <c r="BJ104" s="283">
        <f t="shared" si="228"/>
        <v>0</v>
      </c>
      <c r="BK104" s="283"/>
      <c r="BL104" s="283"/>
      <c r="BM104" s="283"/>
      <c r="BN104" s="283"/>
      <c r="BO104" s="186"/>
      <c r="BP104" s="283"/>
      <c r="BQ104" s="283"/>
      <c r="BR104" s="283"/>
      <c r="BS104" s="283"/>
      <c r="BT104" s="283"/>
      <c r="BU104" s="283"/>
      <c r="BV104" s="283"/>
      <c r="BW104" s="283"/>
      <c r="BX104" s="186"/>
      <c r="BY104" s="186"/>
      <c r="BZ104" s="287"/>
      <c r="CA104" s="287"/>
      <c r="CB104" s="287"/>
      <c r="CC104" s="287"/>
      <c r="CD104" s="187"/>
      <c r="CE104" s="287"/>
      <c r="CF104" s="287"/>
      <c r="CG104" s="287"/>
      <c r="CH104" s="287"/>
      <c r="CI104" s="187"/>
      <c r="CJ104" s="187"/>
      <c r="CK104" s="187"/>
      <c r="CL104" s="187"/>
      <c r="CM104" s="187"/>
      <c r="CN104" s="187"/>
      <c r="CO104" s="187"/>
      <c r="CP104" s="187"/>
      <c r="CQ104" s="187"/>
      <c r="CR104" s="281"/>
      <c r="CS104" s="281"/>
      <c r="CT104" s="291"/>
      <c r="CU104" s="160"/>
    </row>
    <row r="105" spans="1:99" ht="42.75" customHeight="1" outlineLevel="1">
      <c r="A105" s="183">
        <v>24</v>
      </c>
      <c r="B105" s="279" t="s">
        <v>3300</v>
      </c>
      <c r="C105" s="280" t="s">
        <v>3042</v>
      </c>
      <c r="D105" s="183" t="s">
        <v>3301</v>
      </c>
      <c r="E105" s="183"/>
      <c r="F105" s="183" t="s">
        <v>49</v>
      </c>
      <c r="G105" s="183"/>
      <c r="H105" s="183"/>
      <c r="I105" s="184" t="s">
        <v>311</v>
      </c>
      <c r="J105" s="183" t="s">
        <v>49</v>
      </c>
      <c r="K105" s="183" t="s">
        <v>3122</v>
      </c>
      <c r="L105" s="183" t="s">
        <v>75</v>
      </c>
      <c r="M105" s="183"/>
      <c r="N105" s="282"/>
      <c r="O105" s="282" t="s">
        <v>3102</v>
      </c>
      <c r="P105" s="283">
        <v>6000</v>
      </c>
      <c r="Q105" s="283"/>
      <c r="R105" s="283"/>
      <c r="S105" s="283">
        <v>6000</v>
      </c>
      <c r="T105" s="186">
        <v>0</v>
      </c>
      <c r="U105" s="186"/>
      <c r="V105" s="282" t="s">
        <v>3122</v>
      </c>
      <c r="W105" s="282" t="s">
        <v>3115</v>
      </c>
      <c r="X105" s="282" t="s">
        <v>311</v>
      </c>
      <c r="Y105" s="283"/>
      <c r="Z105" s="283"/>
      <c r="AA105" s="283"/>
      <c r="AB105" s="283"/>
      <c r="AC105" s="186">
        <v>6000</v>
      </c>
      <c r="AD105" s="283"/>
      <c r="AE105" s="283"/>
      <c r="AF105" s="186">
        <v>6000</v>
      </c>
      <c r="AG105" s="283">
        <f t="shared" si="227"/>
        <v>0</v>
      </c>
      <c r="AH105" s="283"/>
      <c r="AI105" s="283"/>
      <c r="AJ105" s="283"/>
      <c r="AK105" s="283">
        <v>6000</v>
      </c>
      <c r="AL105" s="186">
        <v>0</v>
      </c>
      <c r="AM105" s="283"/>
      <c r="AN105" s="283"/>
      <c r="AO105" s="283"/>
      <c r="AP105" s="283"/>
      <c r="AQ105" s="283"/>
      <c r="AR105" s="283"/>
      <c r="AS105" s="283"/>
      <c r="AT105" s="283"/>
      <c r="AU105" s="186"/>
      <c r="AV105" s="283"/>
      <c r="AW105" s="283"/>
      <c r="AX105" s="283"/>
      <c r="AY105" s="283"/>
      <c r="AZ105" s="283"/>
      <c r="BA105" s="283"/>
      <c r="BB105" s="283"/>
      <c r="BC105" s="283"/>
      <c r="BD105" s="186"/>
      <c r="BE105" s="186"/>
      <c r="BF105" s="283"/>
      <c r="BG105" s="283"/>
      <c r="BH105" s="283"/>
      <c r="BI105" s="283"/>
      <c r="BJ105" s="283">
        <f t="shared" si="228"/>
        <v>0</v>
      </c>
      <c r="BK105" s="283"/>
      <c r="BL105" s="283"/>
      <c r="BM105" s="283"/>
      <c r="BN105" s="283"/>
      <c r="BO105" s="186"/>
      <c r="BP105" s="283"/>
      <c r="BQ105" s="283"/>
      <c r="BR105" s="283"/>
      <c r="BS105" s="283"/>
      <c r="BT105" s="283"/>
      <c r="BU105" s="283"/>
      <c r="BV105" s="283"/>
      <c r="BW105" s="283"/>
      <c r="BX105" s="186"/>
      <c r="BY105" s="186"/>
      <c r="BZ105" s="287"/>
      <c r="CA105" s="287"/>
      <c r="CB105" s="287"/>
      <c r="CC105" s="287"/>
      <c r="CD105" s="187"/>
      <c r="CE105" s="287"/>
      <c r="CF105" s="287"/>
      <c r="CG105" s="287"/>
      <c r="CH105" s="287"/>
      <c r="CI105" s="187"/>
      <c r="CJ105" s="187"/>
      <c r="CK105" s="187"/>
      <c r="CL105" s="187"/>
      <c r="CM105" s="187"/>
      <c r="CN105" s="187"/>
      <c r="CO105" s="187"/>
      <c r="CP105" s="187"/>
      <c r="CQ105" s="187"/>
      <c r="CR105" s="281"/>
      <c r="CS105" s="281"/>
      <c r="CT105" s="291"/>
      <c r="CU105" s="160"/>
    </row>
    <row r="106" spans="1:99" ht="52.5" customHeight="1" outlineLevel="1">
      <c r="A106" s="183">
        <v>25</v>
      </c>
      <c r="B106" s="279" t="s">
        <v>3302</v>
      </c>
      <c r="C106" s="280" t="s">
        <v>3042</v>
      </c>
      <c r="D106" s="183" t="s">
        <v>3301</v>
      </c>
      <c r="E106" s="183"/>
      <c r="F106" s="183" t="s">
        <v>49</v>
      </c>
      <c r="G106" s="183"/>
      <c r="H106" s="183"/>
      <c r="I106" s="184" t="s">
        <v>311</v>
      </c>
      <c r="J106" s="183" t="s">
        <v>49</v>
      </c>
      <c r="K106" s="183" t="s">
        <v>3122</v>
      </c>
      <c r="L106" s="183" t="s">
        <v>75</v>
      </c>
      <c r="M106" s="183"/>
      <c r="N106" s="282"/>
      <c r="O106" s="282" t="s">
        <v>3102</v>
      </c>
      <c r="P106" s="283">
        <v>6000</v>
      </c>
      <c r="Q106" s="283"/>
      <c r="R106" s="283"/>
      <c r="S106" s="283">
        <v>6000</v>
      </c>
      <c r="T106" s="186">
        <v>0</v>
      </c>
      <c r="U106" s="186"/>
      <c r="V106" s="282" t="s">
        <v>3122</v>
      </c>
      <c r="W106" s="282" t="s">
        <v>3115</v>
      </c>
      <c r="X106" s="282" t="s">
        <v>311</v>
      </c>
      <c r="Y106" s="283"/>
      <c r="Z106" s="283"/>
      <c r="AA106" s="283"/>
      <c r="AB106" s="283"/>
      <c r="AC106" s="186">
        <v>6000</v>
      </c>
      <c r="AD106" s="283"/>
      <c r="AE106" s="283"/>
      <c r="AF106" s="186">
        <v>6000</v>
      </c>
      <c r="AG106" s="283">
        <f t="shared" si="227"/>
        <v>0</v>
      </c>
      <c r="AH106" s="283"/>
      <c r="AI106" s="283"/>
      <c r="AJ106" s="283"/>
      <c r="AK106" s="283">
        <v>6000</v>
      </c>
      <c r="AL106" s="186">
        <v>0</v>
      </c>
      <c r="AM106" s="283"/>
      <c r="AN106" s="283"/>
      <c r="AO106" s="283"/>
      <c r="AP106" s="283"/>
      <c r="AQ106" s="283"/>
      <c r="AR106" s="283"/>
      <c r="AS106" s="283"/>
      <c r="AT106" s="283"/>
      <c r="AU106" s="186"/>
      <c r="AV106" s="283"/>
      <c r="AW106" s="283"/>
      <c r="AX106" s="283"/>
      <c r="AY106" s="283"/>
      <c r="AZ106" s="283"/>
      <c r="BA106" s="283"/>
      <c r="BB106" s="283"/>
      <c r="BC106" s="283"/>
      <c r="BD106" s="186"/>
      <c r="BE106" s="186"/>
      <c r="BF106" s="283"/>
      <c r="BG106" s="283"/>
      <c r="BH106" s="283"/>
      <c r="BI106" s="283"/>
      <c r="BJ106" s="283">
        <f t="shared" si="228"/>
        <v>0</v>
      </c>
      <c r="BK106" s="283"/>
      <c r="BL106" s="283"/>
      <c r="BM106" s="283"/>
      <c r="BN106" s="283"/>
      <c r="BO106" s="186"/>
      <c r="BP106" s="283"/>
      <c r="BQ106" s="283"/>
      <c r="BR106" s="283"/>
      <c r="BS106" s="283"/>
      <c r="BT106" s="283"/>
      <c r="BU106" s="283"/>
      <c r="BV106" s="283"/>
      <c r="BW106" s="283"/>
      <c r="BX106" s="186"/>
      <c r="BY106" s="186"/>
      <c r="BZ106" s="287"/>
      <c r="CA106" s="287"/>
      <c r="CB106" s="287"/>
      <c r="CC106" s="287"/>
      <c r="CD106" s="187"/>
      <c r="CE106" s="287"/>
      <c r="CF106" s="287"/>
      <c r="CG106" s="287"/>
      <c r="CH106" s="287"/>
      <c r="CI106" s="187"/>
      <c r="CJ106" s="187"/>
      <c r="CK106" s="187"/>
      <c r="CL106" s="187"/>
      <c r="CM106" s="187"/>
      <c r="CN106" s="187"/>
      <c r="CO106" s="187"/>
      <c r="CP106" s="187"/>
      <c r="CQ106" s="187"/>
      <c r="CR106" s="281"/>
      <c r="CS106" s="281"/>
      <c r="CT106" s="291"/>
      <c r="CU106" s="160"/>
    </row>
    <row r="107" spans="1:99" ht="57.75" customHeight="1" outlineLevel="1">
      <c r="A107" s="183">
        <v>26</v>
      </c>
      <c r="B107" s="279" t="s">
        <v>3303</v>
      </c>
      <c r="C107" s="280" t="s">
        <v>3042</v>
      </c>
      <c r="D107" s="183" t="s">
        <v>3304</v>
      </c>
      <c r="E107" s="183"/>
      <c r="F107" s="183" t="s">
        <v>49</v>
      </c>
      <c r="G107" s="183"/>
      <c r="H107" s="183"/>
      <c r="I107" s="184" t="s">
        <v>311</v>
      </c>
      <c r="J107" s="183" t="s">
        <v>49</v>
      </c>
      <c r="K107" s="183" t="s">
        <v>3299</v>
      </c>
      <c r="L107" s="183" t="s">
        <v>75</v>
      </c>
      <c r="M107" s="183"/>
      <c r="N107" s="282"/>
      <c r="O107" s="282" t="s">
        <v>3102</v>
      </c>
      <c r="P107" s="283">
        <v>5279</v>
      </c>
      <c r="Q107" s="283"/>
      <c r="R107" s="283"/>
      <c r="S107" s="283">
        <v>4869</v>
      </c>
      <c r="T107" s="186">
        <v>410</v>
      </c>
      <c r="U107" s="186"/>
      <c r="V107" s="282" t="s">
        <v>3299</v>
      </c>
      <c r="W107" s="282" t="s">
        <v>3115</v>
      </c>
      <c r="X107" s="282" t="s">
        <v>311</v>
      </c>
      <c r="Y107" s="283"/>
      <c r="Z107" s="283"/>
      <c r="AA107" s="283"/>
      <c r="AB107" s="283"/>
      <c r="AC107" s="186">
        <v>4869</v>
      </c>
      <c r="AD107" s="283"/>
      <c r="AE107" s="283"/>
      <c r="AF107" s="186">
        <v>4869</v>
      </c>
      <c r="AG107" s="283">
        <f t="shared" si="227"/>
        <v>0</v>
      </c>
      <c r="AH107" s="283"/>
      <c r="AI107" s="283"/>
      <c r="AJ107" s="283"/>
      <c r="AK107" s="283">
        <v>4869</v>
      </c>
      <c r="AL107" s="186">
        <v>410</v>
      </c>
      <c r="AM107" s="283"/>
      <c r="AN107" s="283"/>
      <c r="AO107" s="283"/>
      <c r="AP107" s="283"/>
      <c r="AQ107" s="283"/>
      <c r="AR107" s="283"/>
      <c r="AS107" s="283"/>
      <c r="AT107" s="283"/>
      <c r="AU107" s="186"/>
      <c r="AV107" s="283"/>
      <c r="AW107" s="283"/>
      <c r="AX107" s="283"/>
      <c r="AY107" s="283"/>
      <c r="AZ107" s="283"/>
      <c r="BA107" s="283"/>
      <c r="BB107" s="283"/>
      <c r="BC107" s="283"/>
      <c r="BD107" s="186"/>
      <c r="BE107" s="186"/>
      <c r="BF107" s="283"/>
      <c r="BG107" s="283"/>
      <c r="BH107" s="283"/>
      <c r="BI107" s="283"/>
      <c r="BJ107" s="283">
        <f t="shared" si="228"/>
        <v>0</v>
      </c>
      <c r="BK107" s="283"/>
      <c r="BL107" s="283"/>
      <c r="BM107" s="283"/>
      <c r="BN107" s="283"/>
      <c r="BO107" s="186"/>
      <c r="BP107" s="283"/>
      <c r="BQ107" s="283"/>
      <c r="BR107" s="283"/>
      <c r="BS107" s="283"/>
      <c r="BT107" s="283"/>
      <c r="BU107" s="283"/>
      <c r="BV107" s="283"/>
      <c r="BW107" s="283"/>
      <c r="BX107" s="186"/>
      <c r="BY107" s="186"/>
      <c r="BZ107" s="287"/>
      <c r="CA107" s="287"/>
      <c r="CB107" s="287"/>
      <c r="CC107" s="287"/>
      <c r="CD107" s="187"/>
      <c r="CE107" s="287"/>
      <c r="CF107" s="287"/>
      <c r="CG107" s="287"/>
      <c r="CH107" s="287"/>
      <c r="CI107" s="187"/>
      <c r="CJ107" s="187"/>
      <c r="CK107" s="187"/>
      <c r="CL107" s="187"/>
      <c r="CM107" s="187"/>
      <c r="CN107" s="187"/>
      <c r="CO107" s="187"/>
      <c r="CP107" s="187"/>
      <c r="CQ107" s="187"/>
      <c r="CR107" s="281"/>
      <c r="CS107" s="281"/>
      <c r="CT107" s="291"/>
      <c r="CU107" s="160"/>
    </row>
    <row r="108" spans="1:99" ht="51" customHeight="1" outlineLevel="1">
      <c r="A108" s="183">
        <v>27</v>
      </c>
      <c r="B108" s="279" t="s">
        <v>3305</v>
      </c>
      <c r="C108" s="280" t="s">
        <v>3042</v>
      </c>
      <c r="D108" s="183" t="s">
        <v>3306</v>
      </c>
      <c r="E108" s="183"/>
      <c r="F108" s="183" t="s">
        <v>49</v>
      </c>
      <c r="G108" s="183"/>
      <c r="H108" s="183"/>
      <c r="I108" s="184" t="s">
        <v>311</v>
      </c>
      <c r="J108" s="183" t="s">
        <v>49</v>
      </c>
      <c r="K108" s="183" t="s">
        <v>3307</v>
      </c>
      <c r="L108" s="183" t="s">
        <v>75</v>
      </c>
      <c r="M108" s="183"/>
      <c r="N108" s="282"/>
      <c r="O108" s="282" t="s">
        <v>3102</v>
      </c>
      <c r="P108" s="283">
        <v>3500</v>
      </c>
      <c r="Q108" s="283"/>
      <c r="R108" s="283"/>
      <c r="S108" s="283">
        <v>3150</v>
      </c>
      <c r="T108" s="186">
        <v>350</v>
      </c>
      <c r="U108" s="186"/>
      <c r="V108" s="282" t="s">
        <v>3307</v>
      </c>
      <c r="W108" s="282" t="s">
        <v>3115</v>
      </c>
      <c r="X108" s="282" t="s">
        <v>311</v>
      </c>
      <c r="Y108" s="283"/>
      <c r="Z108" s="283"/>
      <c r="AA108" s="283"/>
      <c r="AB108" s="283"/>
      <c r="AC108" s="186">
        <v>3150</v>
      </c>
      <c r="AD108" s="283"/>
      <c r="AE108" s="283"/>
      <c r="AF108" s="186">
        <v>3150</v>
      </c>
      <c r="AG108" s="283">
        <f t="shared" si="227"/>
        <v>0</v>
      </c>
      <c r="AH108" s="283"/>
      <c r="AI108" s="283"/>
      <c r="AJ108" s="283"/>
      <c r="AK108" s="283">
        <v>3150</v>
      </c>
      <c r="AL108" s="186">
        <v>350</v>
      </c>
      <c r="AM108" s="283"/>
      <c r="AN108" s="283"/>
      <c r="AO108" s="283"/>
      <c r="AP108" s="283"/>
      <c r="AQ108" s="283"/>
      <c r="AR108" s="283"/>
      <c r="AS108" s="283"/>
      <c r="AT108" s="283"/>
      <c r="AU108" s="186"/>
      <c r="AV108" s="283"/>
      <c r="AW108" s="283"/>
      <c r="AX108" s="283"/>
      <c r="AY108" s="283"/>
      <c r="AZ108" s="283"/>
      <c r="BA108" s="283"/>
      <c r="BB108" s="283"/>
      <c r="BC108" s="283"/>
      <c r="BD108" s="186"/>
      <c r="BE108" s="186"/>
      <c r="BF108" s="283"/>
      <c r="BG108" s="283"/>
      <c r="BH108" s="283"/>
      <c r="BI108" s="283"/>
      <c r="BJ108" s="283">
        <f t="shared" si="228"/>
        <v>0</v>
      </c>
      <c r="BK108" s="283"/>
      <c r="BL108" s="283"/>
      <c r="BM108" s="283"/>
      <c r="BN108" s="283"/>
      <c r="BO108" s="186"/>
      <c r="BP108" s="283"/>
      <c r="BQ108" s="283"/>
      <c r="BR108" s="283"/>
      <c r="BS108" s="283"/>
      <c r="BT108" s="283"/>
      <c r="BU108" s="283"/>
      <c r="BV108" s="283"/>
      <c r="BW108" s="283"/>
      <c r="BX108" s="186"/>
      <c r="BY108" s="186"/>
      <c r="BZ108" s="287"/>
      <c r="CA108" s="287"/>
      <c r="CB108" s="287"/>
      <c r="CC108" s="287"/>
      <c r="CD108" s="187"/>
      <c r="CE108" s="287"/>
      <c r="CF108" s="287"/>
      <c r="CG108" s="287"/>
      <c r="CH108" s="287"/>
      <c r="CI108" s="187"/>
      <c r="CJ108" s="187"/>
      <c r="CK108" s="187"/>
      <c r="CL108" s="187"/>
      <c r="CM108" s="187"/>
      <c r="CN108" s="187"/>
      <c r="CO108" s="187"/>
      <c r="CP108" s="187"/>
      <c r="CQ108" s="187"/>
      <c r="CR108" s="281"/>
      <c r="CS108" s="281"/>
      <c r="CT108" s="291"/>
      <c r="CU108" s="160"/>
    </row>
    <row r="109" spans="1:99" ht="55.5" customHeight="1" outlineLevel="1">
      <c r="A109" s="183">
        <v>28</v>
      </c>
      <c r="B109" s="279" t="s">
        <v>3308</v>
      </c>
      <c r="C109" s="280" t="s">
        <v>3042</v>
      </c>
      <c r="D109" s="183" t="s">
        <v>3309</v>
      </c>
      <c r="E109" s="183"/>
      <c r="F109" s="183" t="s">
        <v>49</v>
      </c>
      <c r="G109" s="183"/>
      <c r="H109" s="183"/>
      <c r="I109" s="184" t="s">
        <v>311</v>
      </c>
      <c r="J109" s="183" t="s">
        <v>49</v>
      </c>
      <c r="K109" s="183" t="s">
        <v>3310</v>
      </c>
      <c r="L109" s="183" t="s">
        <v>75</v>
      </c>
      <c r="M109" s="183"/>
      <c r="N109" s="282"/>
      <c r="O109" s="282" t="s">
        <v>3102</v>
      </c>
      <c r="P109" s="283">
        <v>4000</v>
      </c>
      <c r="Q109" s="283"/>
      <c r="R109" s="283"/>
      <c r="S109" s="283">
        <v>3600</v>
      </c>
      <c r="T109" s="186">
        <v>400</v>
      </c>
      <c r="U109" s="186"/>
      <c r="V109" s="282" t="s">
        <v>3310</v>
      </c>
      <c r="W109" s="282" t="s">
        <v>3115</v>
      </c>
      <c r="X109" s="282" t="s">
        <v>311</v>
      </c>
      <c r="Y109" s="283"/>
      <c r="Z109" s="283"/>
      <c r="AA109" s="283"/>
      <c r="AB109" s="283"/>
      <c r="AC109" s="186">
        <v>3600</v>
      </c>
      <c r="AD109" s="283"/>
      <c r="AE109" s="283"/>
      <c r="AF109" s="186">
        <v>3600</v>
      </c>
      <c r="AG109" s="283">
        <f t="shared" si="227"/>
        <v>0</v>
      </c>
      <c r="AH109" s="283"/>
      <c r="AI109" s="283"/>
      <c r="AJ109" s="283"/>
      <c r="AK109" s="283">
        <v>3600</v>
      </c>
      <c r="AL109" s="186">
        <v>400</v>
      </c>
      <c r="AM109" s="283"/>
      <c r="AN109" s="283"/>
      <c r="AO109" s="283"/>
      <c r="AP109" s="283"/>
      <c r="AQ109" s="283"/>
      <c r="AR109" s="283"/>
      <c r="AS109" s="283"/>
      <c r="AT109" s="283"/>
      <c r="AU109" s="186"/>
      <c r="AV109" s="283"/>
      <c r="AW109" s="283"/>
      <c r="AX109" s="283"/>
      <c r="AY109" s="283"/>
      <c r="AZ109" s="283"/>
      <c r="BA109" s="283"/>
      <c r="BB109" s="283"/>
      <c r="BC109" s="283"/>
      <c r="BD109" s="186"/>
      <c r="BE109" s="186"/>
      <c r="BF109" s="283"/>
      <c r="BG109" s="283"/>
      <c r="BH109" s="283"/>
      <c r="BI109" s="283"/>
      <c r="BJ109" s="283">
        <f t="shared" si="228"/>
        <v>0</v>
      </c>
      <c r="BK109" s="283"/>
      <c r="BL109" s="283"/>
      <c r="BM109" s="283"/>
      <c r="BN109" s="283"/>
      <c r="BO109" s="186"/>
      <c r="BP109" s="283"/>
      <c r="BQ109" s="283"/>
      <c r="BR109" s="283"/>
      <c r="BS109" s="283"/>
      <c r="BT109" s="283"/>
      <c r="BU109" s="283"/>
      <c r="BV109" s="283"/>
      <c r="BW109" s="283"/>
      <c r="BX109" s="186"/>
      <c r="BY109" s="186"/>
      <c r="BZ109" s="287"/>
      <c r="CA109" s="287"/>
      <c r="CB109" s="287"/>
      <c r="CC109" s="287"/>
      <c r="CD109" s="187"/>
      <c r="CE109" s="287"/>
      <c r="CF109" s="287"/>
      <c r="CG109" s="287"/>
      <c r="CH109" s="287"/>
      <c r="CI109" s="187"/>
      <c r="CJ109" s="187"/>
      <c r="CK109" s="187"/>
      <c r="CL109" s="187"/>
      <c r="CM109" s="187"/>
      <c r="CN109" s="187"/>
      <c r="CO109" s="187"/>
      <c r="CP109" s="187"/>
      <c r="CQ109" s="187"/>
      <c r="CR109" s="281"/>
      <c r="CS109" s="281"/>
      <c r="CT109" s="291"/>
      <c r="CU109" s="160"/>
    </row>
    <row r="110" spans="1:99" ht="59.25" customHeight="1" outlineLevel="1">
      <c r="A110" s="183">
        <v>29</v>
      </c>
      <c r="B110" s="279" t="s">
        <v>3311</v>
      </c>
      <c r="C110" s="280" t="s">
        <v>3042</v>
      </c>
      <c r="D110" s="183" t="s">
        <v>3312</v>
      </c>
      <c r="E110" s="281"/>
      <c r="F110" s="183" t="s">
        <v>49</v>
      </c>
      <c r="G110" s="281"/>
      <c r="H110" s="281"/>
      <c r="I110" s="184" t="s">
        <v>311</v>
      </c>
      <c r="J110" s="183" t="s">
        <v>49</v>
      </c>
      <c r="K110" s="183" t="s">
        <v>3299</v>
      </c>
      <c r="L110" s="183" t="s">
        <v>75</v>
      </c>
      <c r="M110" s="183"/>
      <c r="N110" s="282"/>
      <c r="O110" s="282" t="s">
        <v>3102</v>
      </c>
      <c r="P110" s="283">
        <v>5000</v>
      </c>
      <c r="Q110" s="283"/>
      <c r="R110" s="283"/>
      <c r="S110" s="283">
        <v>4500</v>
      </c>
      <c r="T110" s="186">
        <v>500</v>
      </c>
      <c r="U110" s="186"/>
      <c r="V110" s="282" t="s">
        <v>3299</v>
      </c>
      <c r="W110" s="282" t="s">
        <v>3115</v>
      </c>
      <c r="X110" s="282" t="s">
        <v>311</v>
      </c>
      <c r="Y110" s="283"/>
      <c r="Z110" s="283"/>
      <c r="AA110" s="283"/>
      <c r="AB110" s="283"/>
      <c r="AC110" s="186">
        <v>4500</v>
      </c>
      <c r="AD110" s="283"/>
      <c r="AE110" s="283"/>
      <c r="AF110" s="186">
        <v>4500</v>
      </c>
      <c r="AG110" s="283">
        <f t="shared" si="227"/>
        <v>0</v>
      </c>
      <c r="AH110" s="283"/>
      <c r="AI110" s="283"/>
      <c r="AJ110" s="283"/>
      <c r="AK110" s="283">
        <v>4500</v>
      </c>
      <c r="AL110" s="186">
        <v>500</v>
      </c>
      <c r="AM110" s="283"/>
      <c r="AN110" s="283"/>
      <c r="AO110" s="283"/>
      <c r="AP110" s="283"/>
      <c r="AQ110" s="283"/>
      <c r="AR110" s="283"/>
      <c r="AS110" s="283"/>
      <c r="AT110" s="283"/>
      <c r="AU110" s="186"/>
      <c r="AV110" s="283"/>
      <c r="AW110" s="283"/>
      <c r="AX110" s="283"/>
      <c r="AY110" s="283"/>
      <c r="AZ110" s="283"/>
      <c r="BA110" s="283"/>
      <c r="BB110" s="283"/>
      <c r="BC110" s="283"/>
      <c r="BD110" s="186"/>
      <c r="BE110" s="186"/>
      <c r="BF110" s="283"/>
      <c r="BG110" s="283"/>
      <c r="BH110" s="283"/>
      <c r="BI110" s="283"/>
      <c r="BJ110" s="283">
        <f t="shared" si="228"/>
        <v>0</v>
      </c>
      <c r="BK110" s="283"/>
      <c r="BL110" s="283"/>
      <c r="BM110" s="283"/>
      <c r="BN110" s="283"/>
      <c r="BO110" s="186"/>
      <c r="BP110" s="283"/>
      <c r="BQ110" s="283"/>
      <c r="BR110" s="283"/>
      <c r="BS110" s="283"/>
      <c r="BT110" s="283"/>
      <c r="BU110" s="283"/>
      <c r="BV110" s="283"/>
      <c r="BW110" s="283"/>
      <c r="BX110" s="186"/>
      <c r="BY110" s="186"/>
      <c r="BZ110" s="287"/>
      <c r="CA110" s="287"/>
      <c r="CB110" s="287"/>
      <c r="CC110" s="287"/>
      <c r="CD110" s="187"/>
      <c r="CE110" s="287"/>
      <c r="CF110" s="287"/>
      <c r="CG110" s="287"/>
      <c r="CH110" s="287"/>
      <c r="CI110" s="187"/>
      <c r="CJ110" s="187"/>
      <c r="CK110" s="187"/>
      <c r="CL110" s="187"/>
      <c r="CM110" s="187"/>
      <c r="CN110" s="187"/>
      <c r="CO110" s="187"/>
      <c r="CP110" s="187"/>
      <c r="CQ110" s="187"/>
      <c r="CR110" s="281"/>
      <c r="CS110" s="281"/>
      <c r="CT110" s="291"/>
      <c r="CU110" s="160"/>
    </row>
    <row r="111" spans="1:99" ht="54" customHeight="1" outlineLevel="1">
      <c r="A111" s="183">
        <v>30</v>
      </c>
      <c r="B111" s="279" t="s">
        <v>3313</v>
      </c>
      <c r="C111" s="280" t="s">
        <v>3042</v>
      </c>
      <c r="D111" s="183" t="s">
        <v>3314</v>
      </c>
      <c r="E111" s="281"/>
      <c r="F111" s="183" t="s">
        <v>49</v>
      </c>
      <c r="G111" s="281"/>
      <c r="H111" s="281"/>
      <c r="I111" s="184" t="s">
        <v>311</v>
      </c>
      <c r="J111" s="183" t="s">
        <v>49</v>
      </c>
      <c r="K111" s="183" t="s">
        <v>3296</v>
      </c>
      <c r="L111" s="183" t="s">
        <v>75</v>
      </c>
      <c r="M111" s="183"/>
      <c r="N111" s="282"/>
      <c r="O111" s="282" t="s">
        <v>3102</v>
      </c>
      <c r="P111" s="283">
        <v>3800</v>
      </c>
      <c r="Q111" s="283"/>
      <c r="R111" s="283"/>
      <c r="S111" s="283">
        <v>3420</v>
      </c>
      <c r="T111" s="186">
        <v>380</v>
      </c>
      <c r="U111" s="186"/>
      <c r="V111" s="282" t="s">
        <v>3296</v>
      </c>
      <c r="W111" s="282" t="s">
        <v>3115</v>
      </c>
      <c r="X111" s="282" t="s">
        <v>311</v>
      </c>
      <c r="Y111" s="283"/>
      <c r="Z111" s="283"/>
      <c r="AA111" s="283"/>
      <c r="AB111" s="283"/>
      <c r="AC111" s="186">
        <v>3420</v>
      </c>
      <c r="AD111" s="283"/>
      <c r="AE111" s="283"/>
      <c r="AF111" s="186">
        <v>3420</v>
      </c>
      <c r="AG111" s="283">
        <f t="shared" si="227"/>
        <v>0</v>
      </c>
      <c r="AH111" s="283"/>
      <c r="AI111" s="283"/>
      <c r="AJ111" s="283"/>
      <c r="AK111" s="283">
        <v>3420</v>
      </c>
      <c r="AL111" s="186">
        <v>380</v>
      </c>
      <c r="AM111" s="283"/>
      <c r="AN111" s="283"/>
      <c r="AO111" s="283"/>
      <c r="AP111" s="283"/>
      <c r="AQ111" s="283"/>
      <c r="AR111" s="283"/>
      <c r="AS111" s="283"/>
      <c r="AT111" s="283"/>
      <c r="AU111" s="186"/>
      <c r="AV111" s="283"/>
      <c r="AW111" s="283"/>
      <c r="AX111" s="283"/>
      <c r="AY111" s="283"/>
      <c r="AZ111" s="283"/>
      <c r="BA111" s="283"/>
      <c r="BB111" s="283"/>
      <c r="BC111" s="283"/>
      <c r="BD111" s="186"/>
      <c r="BE111" s="186"/>
      <c r="BF111" s="283"/>
      <c r="BG111" s="283"/>
      <c r="BH111" s="283"/>
      <c r="BI111" s="283"/>
      <c r="BJ111" s="283">
        <f t="shared" si="228"/>
        <v>0</v>
      </c>
      <c r="BK111" s="283"/>
      <c r="BL111" s="283"/>
      <c r="BM111" s="283"/>
      <c r="BN111" s="283"/>
      <c r="BO111" s="186"/>
      <c r="BP111" s="283"/>
      <c r="BQ111" s="283"/>
      <c r="BR111" s="283"/>
      <c r="BS111" s="283"/>
      <c r="BT111" s="283"/>
      <c r="BU111" s="283"/>
      <c r="BV111" s="283"/>
      <c r="BW111" s="283"/>
      <c r="BX111" s="186"/>
      <c r="BY111" s="186"/>
      <c r="BZ111" s="287"/>
      <c r="CA111" s="287"/>
      <c r="CB111" s="287"/>
      <c r="CC111" s="287"/>
      <c r="CD111" s="187"/>
      <c r="CE111" s="287"/>
      <c r="CF111" s="287"/>
      <c r="CG111" s="287"/>
      <c r="CH111" s="287"/>
      <c r="CI111" s="187"/>
      <c r="CJ111" s="187"/>
      <c r="CK111" s="187"/>
      <c r="CL111" s="187"/>
      <c r="CM111" s="187"/>
      <c r="CN111" s="187"/>
      <c r="CO111" s="187"/>
      <c r="CP111" s="187"/>
      <c r="CQ111" s="187"/>
      <c r="CR111" s="281"/>
      <c r="CS111" s="281"/>
      <c r="CT111" s="291"/>
      <c r="CU111" s="160"/>
    </row>
    <row r="112" spans="1:99" ht="50.25" customHeight="1" outlineLevel="1">
      <c r="A112" s="183">
        <v>31</v>
      </c>
      <c r="B112" s="279" t="s">
        <v>3315</v>
      </c>
      <c r="C112" s="280" t="s">
        <v>3042</v>
      </c>
      <c r="D112" s="183" t="s">
        <v>3316</v>
      </c>
      <c r="E112" s="281"/>
      <c r="F112" s="183" t="s">
        <v>49</v>
      </c>
      <c r="G112" s="281"/>
      <c r="H112" s="281"/>
      <c r="I112" s="184" t="s">
        <v>311</v>
      </c>
      <c r="J112" s="183" t="s">
        <v>49</v>
      </c>
      <c r="K112" s="183" t="s">
        <v>3296</v>
      </c>
      <c r="L112" s="183" t="s">
        <v>75</v>
      </c>
      <c r="M112" s="183"/>
      <c r="N112" s="282"/>
      <c r="O112" s="282" t="s">
        <v>3102</v>
      </c>
      <c r="P112" s="283">
        <v>3900</v>
      </c>
      <c r="Q112" s="283"/>
      <c r="R112" s="283"/>
      <c r="S112" s="283">
        <v>3510</v>
      </c>
      <c r="T112" s="186">
        <v>390</v>
      </c>
      <c r="U112" s="186"/>
      <c r="V112" s="282" t="s">
        <v>3296</v>
      </c>
      <c r="W112" s="282" t="s">
        <v>3115</v>
      </c>
      <c r="X112" s="282" t="s">
        <v>311</v>
      </c>
      <c r="Y112" s="283"/>
      <c r="Z112" s="283"/>
      <c r="AA112" s="283"/>
      <c r="AB112" s="283"/>
      <c r="AC112" s="186">
        <v>3510</v>
      </c>
      <c r="AD112" s="283"/>
      <c r="AE112" s="283"/>
      <c r="AF112" s="186">
        <v>3510</v>
      </c>
      <c r="AG112" s="283">
        <f t="shared" si="227"/>
        <v>0</v>
      </c>
      <c r="AH112" s="283"/>
      <c r="AI112" s="283"/>
      <c r="AJ112" s="283"/>
      <c r="AK112" s="283">
        <v>3510</v>
      </c>
      <c r="AL112" s="186">
        <v>390</v>
      </c>
      <c r="AM112" s="283"/>
      <c r="AN112" s="283"/>
      <c r="AO112" s="283"/>
      <c r="AP112" s="283"/>
      <c r="AQ112" s="283"/>
      <c r="AR112" s="283"/>
      <c r="AS112" s="283"/>
      <c r="AT112" s="283"/>
      <c r="AU112" s="186"/>
      <c r="AV112" s="283"/>
      <c r="AW112" s="283"/>
      <c r="AX112" s="283"/>
      <c r="AY112" s="283"/>
      <c r="AZ112" s="283"/>
      <c r="BA112" s="283"/>
      <c r="BB112" s="283"/>
      <c r="BC112" s="283"/>
      <c r="BD112" s="186"/>
      <c r="BE112" s="186"/>
      <c r="BF112" s="283"/>
      <c r="BG112" s="283"/>
      <c r="BH112" s="283"/>
      <c r="BI112" s="283"/>
      <c r="BJ112" s="283">
        <f t="shared" si="228"/>
        <v>0</v>
      </c>
      <c r="BK112" s="283"/>
      <c r="BL112" s="283"/>
      <c r="BM112" s="283"/>
      <c r="BN112" s="283"/>
      <c r="BO112" s="186"/>
      <c r="BP112" s="283"/>
      <c r="BQ112" s="283"/>
      <c r="BR112" s="283"/>
      <c r="BS112" s="283"/>
      <c r="BT112" s="283"/>
      <c r="BU112" s="283"/>
      <c r="BV112" s="283"/>
      <c r="BW112" s="283"/>
      <c r="BX112" s="186"/>
      <c r="BY112" s="186"/>
      <c r="BZ112" s="287"/>
      <c r="CA112" s="287"/>
      <c r="CB112" s="287"/>
      <c r="CC112" s="287"/>
      <c r="CD112" s="187"/>
      <c r="CE112" s="287"/>
      <c r="CF112" s="287"/>
      <c r="CG112" s="287"/>
      <c r="CH112" s="287"/>
      <c r="CI112" s="187"/>
      <c r="CJ112" s="187"/>
      <c r="CK112" s="187"/>
      <c r="CL112" s="187"/>
      <c r="CM112" s="187"/>
      <c r="CN112" s="187"/>
      <c r="CO112" s="187"/>
      <c r="CP112" s="187"/>
      <c r="CQ112" s="187"/>
      <c r="CR112" s="281"/>
      <c r="CS112" s="281"/>
      <c r="CT112" s="291"/>
      <c r="CU112" s="160"/>
    </row>
    <row r="113" spans="1:99" ht="51" customHeight="1" outlineLevel="1">
      <c r="A113" s="183">
        <v>32</v>
      </c>
      <c r="B113" s="279" t="s">
        <v>3317</v>
      </c>
      <c r="C113" s="280" t="s">
        <v>3042</v>
      </c>
      <c r="D113" s="183" t="s">
        <v>3318</v>
      </c>
      <c r="E113" s="281"/>
      <c r="F113" s="183" t="s">
        <v>49</v>
      </c>
      <c r="G113" s="281"/>
      <c r="H113" s="281"/>
      <c r="I113" s="184" t="s">
        <v>311</v>
      </c>
      <c r="J113" s="183" t="s">
        <v>49</v>
      </c>
      <c r="K113" s="183" t="s">
        <v>3296</v>
      </c>
      <c r="L113" s="183" t="s">
        <v>75</v>
      </c>
      <c r="M113" s="183"/>
      <c r="N113" s="282"/>
      <c r="O113" s="282" t="s">
        <v>3102</v>
      </c>
      <c r="P113" s="283">
        <v>4000</v>
      </c>
      <c r="Q113" s="283"/>
      <c r="R113" s="283"/>
      <c r="S113" s="283">
        <v>3600</v>
      </c>
      <c r="T113" s="186">
        <v>400</v>
      </c>
      <c r="U113" s="186"/>
      <c r="V113" s="282" t="s">
        <v>3296</v>
      </c>
      <c r="W113" s="282" t="s">
        <v>3115</v>
      </c>
      <c r="X113" s="282" t="s">
        <v>311</v>
      </c>
      <c r="Y113" s="283"/>
      <c r="Z113" s="283"/>
      <c r="AA113" s="283"/>
      <c r="AB113" s="283"/>
      <c r="AC113" s="186">
        <v>3600</v>
      </c>
      <c r="AD113" s="283"/>
      <c r="AE113" s="283"/>
      <c r="AF113" s="186">
        <v>3600</v>
      </c>
      <c r="AG113" s="283">
        <f t="shared" si="227"/>
        <v>0</v>
      </c>
      <c r="AH113" s="283"/>
      <c r="AI113" s="283"/>
      <c r="AJ113" s="283"/>
      <c r="AK113" s="283">
        <v>3600</v>
      </c>
      <c r="AL113" s="186">
        <v>400</v>
      </c>
      <c r="AM113" s="283"/>
      <c r="AN113" s="283"/>
      <c r="AO113" s="283"/>
      <c r="AP113" s="283"/>
      <c r="AQ113" s="283"/>
      <c r="AR113" s="283"/>
      <c r="AS113" s="283"/>
      <c r="AT113" s="283"/>
      <c r="AU113" s="186"/>
      <c r="AV113" s="283"/>
      <c r="AW113" s="283"/>
      <c r="AX113" s="283"/>
      <c r="AY113" s="283"/>
      <c r="AZ113" s="283"/>
      <c r="BA113" s="283"/>
      <c r="BB113" s="283"/>
      <c r="BC113" s="283"/>
      <c r="BD113" s="186"/>
      <c r="BE113" s="186"/>
      <c r="BF113" s="283"/>
      <c r="BG113" s="283"/>
      <c r="BH113" s="283"/>
      <c r="BI113" s="283"/>
      <c r="BJ113" s="283">
        <f t="shared" si="228"/>
        <v>0</v>
      </c>
      <c r="BK113" s="283"/>
      <c r="BL113" s="283"/>
      <c r="BM113" s="283"/>
      <c r="BN113" s="283"/>
      <c r="BO113" s="186"/>
      <c r="BP113" s="283"/>
      <c r="BQ113" s="283"/>
      <c r="BR113" s="283"/>
      <c r="BS113" s="283"/>
      <c r="BT113" s="283"/>
      <c r="BU113" s="283"/>
      <c r="BV113" s="283"/>
      <c r="BW113" s="283"/>
      <c r="BX113" s="186"/>
      <c r="BY113" s="186"/>
      <c r="BZ113" s="287"/>
      <c r="CA113" s="287"/>
      <c r="CB113" s="287"/>
      <c r="CC113" s="287"/>
      <c r="CD113" s="187"/>
      <c r="CE113" s="287"/>
      <c r="CF113" s="287"/>
      <c r="CG113" s="287"/>
      <c r="CH113" s="287"/>
      <c r="CI113" s="187"/>
      <c r="CJ113" s="187"/>
      <c r="CK113" s="187"/>
      <c r="CL113" s="187"/>
      <c r="CM113" s="187"/>
      <c r="CN113" s="187"/>
      <c r="CO113" s="187"/>
      <c r="CP113" s="187"/>
      <c r="CQ113" s="187"/>
      <c r="CR113" s="281"/>
      <c r="CS113" s="281"/>
      <c r="CT113" s="291"/>
      <c r="CU113" s="160"/>
    </row>
    <row r="114" spans="1:99" ht="53.25" customHeight="1" outlineLevel="1">
      <c r="A114" s="183">
        <v>33</v>
      </c>
      <c r="B114" s="279" t="s">
        <v>3319</v>
      </c>
      <c r="C114" s="280" t="s">
        <v>3042</v>
      </c>
      <c r="D114" s="183" t="s">
        <v>3320</v>
      </c>
      <c r="E114" s="281"/>
      <c r="F114" s="183" t="s">
        <v>49</v>
      </c>
      <c r="G114" s="281"/>
      <c r="H114" s="281"/>
      <c r="I114" s="184" t="s">
        <v>311</v>
      </c>
      <c r="J114" s="183" t="s">
        <v>49</v>
      </c>
      <c r="K114" s="183" t="s">
        <v>3296</v>
      </c>
      <c r="L114" s="183" t="s">
        <v>75</v>
      </c>
      <c r="M114" s="302"/>
      <c r="N114" s="282"/>
      <c r="O114" s="282" t="s">
        <v>3102</v>
      </c>
      <c r="P114" s="283">
        <v>4200</v>
      </c>
      <c r="Q114" s="283"/>
      <c r="R114" s="283"/>
      <c r="S114" s="283">
        <v>3780</v>
      </c>
      <c r="T114" s="186">
        <v>420</v>
      </c>
      <c r="U114" s="186"/>
      <c r="V114" s="282" t="s">
        <v>3296</v>
      </c>
      <c r="W114" s="282" t="s">
        <v>3115</v>
      </c>
      <c r="X114" s="282" t="s">
        <v>311</v>
      </c>
      <c r="Y114" s="283"/>
      <c r="Z114" s="283"/>
      <c r="AA114" s="283"/>
      <c r="AB114" s="283"/>
      <c r="AC114" s="186">
        <v>3780</v>
      </c>
      <c r="AD114" s="283"/>
      <c r="AE114" s="283"/>
      <c r="AF114" s="186">
        <v>3780</v>
      </c>
      <c r="AG114" s="283">
        <f t="shared" si="227"/>
        <v>0</v>
      </c>
      <c r="AH114" s="283"/>
      <c r="AI114" s="283"/>
      <c r="AJ114" s="283"/>
      <c r="AK114" s="283">
        <v>3780</v>
      </c>
      <c r="AL114" s="186">
        <v>420</v>
      </c>
      <c r="AM114" s="283"/>
      <c r="AN114" s="283"/>
      <c r="AO114" s="283"/>
      <c r="AP114" s="283"/>
      <c r="AQ114" s="283"/>
      <c r="AR114" s="283"/>
      <c r="AS114" s="283"/>
      <c r="AT114" s="283"/>
      <c r="AU114" s="186"/>
      <c r="AV114" s="283"/>
      <c r="AW114" s="283"/>
      <c r="AX114" s="283"/>
      <c r="AY114" s="283"/>
      <c r="AZ114" s="283"/>
      <c r="BA114" s="283"/>
      <c r="BB114" s="283"/>
      <c r="BC114" s="283"/>
      <c r="BD114" s="186"/>
      <c r="BE114" s="186"/>
      <c r="BF114" s="283"/>
      <c r="BG114" s="283"/>
      <c r="BH114" s="283"/>
      <c r="BI114" s="283"/>
      <c r="BJ114" s="283">
        <f t="shared" si="228"/>
        <v>0</v>
      </c>
      <c r="BK114" s="283"/>
      <c r="BL114" s="283"/>
      <c r="BM114" s="283"/>
      <c r="BN114" s="283"/>
      <c r="BO114" s="186"/>
      <c r="BP114" s="283"/>
      <c r="BQ114" s="283"/>
      <c r="BR114" s="283"/>
      <c r="BS114" s="283"/>
      <c r="BT114" s="283"/>
      <c r="BU114" s="283"/>
      <c r="BV114" s="283"/>
      <c r="BW114" s="283"/>
      <c r="BX114" s="186"/>
      <c r="BY114" s="186"/>
      <c r="BZ114" s="287"/>
      <c r="CA114" s="287"/>
      <c r="CB114" s="287"/>
      <c r="CC114" s="287"/>
      <c r="CD114" s="187"/>
      <c r="CE114" s="287"/>
      <c r="CF114" s="287"/>
      <c r="CG114" s="287"/>
      <c r="CH114" s="287"/>
      <c r="CI114" s="187"/>
      <c r="CJ114" s="187"/>
      <c r="CK114" s="187"/>
      <c r="CL114" s="187"/>
      <c r="CM114" s="187"/>
      <c r="CN114" s="187"/>
      <c r="CO114" s="187"/>
      <c r="CP114" s="187"/>
      <c r="CQ114" s="187"/>
      <c r="CR114" s="281"/>
      <c r="CS114" s="281"/>
      <c r="CT114" s="291"/>
      <c r="CU114" s="160"/>
    </row>
    <row r="115" spans="1:99" ht="57.75" customHeight="1" outlineLevel="1">
      <c r="A115" s="183">
        <v>34</v>
      </c>
      <c r="B115" s="279" t="s">
        <v>3321</v>
      </c>
      <c r="C115" s="280" t="s">
        <v>3042</v>
      </c>
      <c r="D115" s="183" t="s">
        <v>3322</v>
      </c>
      <c r="E115" s="281"/>
      <c r="F115" s="183" t="s">
        <v>49</v>
      </c>
      <c r="G115" s="281"/>
      <c r="H115" s="281"/>
      <c r="I115" s="184" t="s">
        <v>311</v>
      </c>
      <c r="J115" s="183" t="s">
        <v>49</v>
      </c>
      <c r="K115" s="183" t="s">
        <v>3296</v>
      </c>
      <c r="L115" s="183" t="s">
        <v>75</v>
      </c>
      <c r="M115" s="302"/>
      <c r="N115" s="282"/>
      <c r="O115" s="282" t="s">
        <v>3102</v>
      </c>
      <c r="P115" s="283">
        <v>2800</v>
      </c>
      <c r="Q115" s="283"/>
      <c r="R115" s="283"/>
      <c r="S115" s="283">
        <v>2520</v>
      </c>
      <c r="T115" s="186">
        <v>280</v>
      </c>
      <c r="U115" s="186"/>
      <c r="V115" s="282" t="s">
        <v>3296</v>
      </c>
      <c r="W115" s="282" t="s">
        <v>3115</v>
      </c>
      <c r="X115" s="282" t="s">
        <v>311</v>
      </c>
      <c r="Y115" s="283"/>
      <c r="Z115" s="283"/>
      <c r="AA115" s="283"/>
      <c r="AB115" s="283"/>
      <c r="AC115" s="186">
        <v>2520</v>
      </c>
      <c r="AD115" s="283"/>
      <c r="AE115" s="283"/>
      <c r="AF115" s="186">
        <v>2520</v>
      </c>
      <c r="AG115" s="283">
        <f t="shared" si="227"/>
        <v>0</v>
      </c>
      <c r="AH115" s="283"/>
      <c r="AI115" s="283"/>
      <c r="AJ115" s="283"/>
      <c r="AK115" s="283">
        <v>2520</v>
      </c>
      <c r="AL115" s="186">
        <v>280</v>
      </c>
      <c r="AM115" s="283"/>
      <c r="AN115" s="283"/>
      <c r="AO115" s="283"/>
      <c r="AP115" s="283"/>
      <c r="AQ115" s="283"/>
      <c r="AR115" s="283"/>
      <c r="AS115" s="283"/>
      <c r="AT115" s="283"/>
      <c r="AU115" s="186"/>
      <c r="AV115" s="283"/>
      <c r="AW115" s="283"/>
      <c r="AX115" s="283"/>
      <c r="AY115" s="283"/>
      <c r="AZ115" s="283"/>
      <c r="BA115" s="283"/>
      <c r="BB115" s="283"/>
      <c r="BC115" s="283"/>
      <c r="BD115" s="186"/>
      <c r="BE115" s="186"/>
      <c r="BF115" s="283"/>
      <c r="BG115" s="283"/>
      <c r="BH115" s="283"/>
      <c r="BI115" s="283"/>
      <c r="BJ115" s="283">
        <f t="shared" si="228"/>
        <v>0</v>
      </c>
      <c r="BK115" s="283"/>
      <c r="BL115" s="283"/>
      <c r="BM115" s="283"/>
      <c r="BN115" s="283"/>
      <c r="BO115" s="186"/>
      <c r="BP115" s="283"/>
      <c r="BQ115" s="283"/>
      <c r="BR115" s="283"/>
      <c r="BS115" s="283"/>
      <c r="BT115" s="283"/>
      <c r="BU115" s="283"/>
      <c r="BV115" s="283"/>
      <c r="BW115" s="283"/>
      <c r="BX115" s="186"/>
      <c r="BY115" s="186"/>
      <c r="BZ115" s="287"/>
      <c r="CA115" s="287"/>
      <c r="CB115" s="287"/>
      <c r="CC115" s="287"/>
      <c r="CD115" s="187"/>
      <c r="CE115" s="287"/>
      <c r="CF115" s="287"/>
      <c r="CG115" s="287"/>
      <c r="CH115" s="287"/>
      <c r="CI115" s="187"/>
      <c r="CJ115" s="187"/>
      <c r="CK115" s="187"/>
      <c r="CL115" s="187"/>
      <c r="CM115" s="187"/>
      <c r="CN115" s="187"/>
      <c r="CO115" s="187"/>
      <c r="CP115" s="187"/>
      <c r="CQ115" s="187"/>
      <c r="CR115" s="281"/>
      <c r="CS115" s="281"/>
      <c r="CT115" s="291"/>
      <c r="CU115" s="160"/>
    </row>
    <row r="116" spans="1:99" ht="41.25" customHeight="1" outlineLevel="1">
      <c r="A116" s="183">
        <v>35</v>
      </c>
      <c r="B116" s="279" t="s">
        <v>3323</v>
      </c>
      <c r="C116" s="280" t="s">
        <v>3042</v>
      </c>
      <c r="D116" s="183" t="s">
        <v>3324</v>
      </c>
      <c r="E116" s="281"/>
      <c r="F116" s="183" t="s">
        <v>49</v>
      </c>
      <c r="G116" s="281"/>
      <c r="H116" s="281"/>
      <c r="I116" s="184" t="s">
        <v>311</v>
      </c>
      <c r="J116" s="183" t="s">
        <v>49</v>
      </c>
      <c r="K116" s="183" t="s">
        <v>3325</v>
      </c>
      <c r="L116" s="183" t="s">
        <v>75</v>
      </c>
      <c r="M116" s="302"/>
      <c r="N116" s="282"/>
      <c r="O116" s="282" t="s">
        <v>3102</v>
      </c>
      <c r="P116" s="283">
        <v>1400</v>
      </c>
      <c r="Q116" s="283"/>
      <c r="R116" s="283"/>
      <c r="S116" s="283">
        <v>1260</v>
      </c>
      <c r="T116" s="186">
        <v>140</v>
      </c>
      <c r="U116" s="186"/>
      <c r="V116" s="282" t="s">
        <v>3325</v>
      </c>
      <c r="W116" s="282" t="s">
        <v>3115</v>
      </c>
      <c r="X116" s="282" t="s">
        <v>311</v>
      </c>
      <c r="Y116" s="283"/>
      <c r="Z116" s="283"/>
      <c r="AA116" s="283"/>
      <c r="AB116" s="283"/>
      <c r="AC116" s="186">
        <v>1260</v>
      </c>
      <c r="AD116" s="283"/>
      <c r="AE116" s="283"/>
      <c r="AF116" s="186">
        <v>1260</v>
      </c>
      <c r="AG116" s="283">
        <f t="shared" si="227"/>
        <v>0</v>
      </c>
      <c r="AH116" s="283"/>
      <c r="AI116" s="283"/>
      <c r="AJ116" s="283"/>
      <c r="AK116" s="283">
        <v>1260</v>
      </c>
      <c r="AL116" s="186">
        <v>140</v>
      </c>
      <c r="AM116" s="283"/>
      <c r="AN116" s="283"/>
      <c r="AO116" s="283"/>
      <c r="AP116" s="283"/>
      <c r="AQ116" s="283"/>
      <c r="AR116" s="283"/>
      <c r="AS116" s="283"/>
      <c r="AT116" s="283"/>
      <c r="AU116" s="186"/>
      <c r="AV116" s="283"/>
      <c r="AW116" s="283"/>
      <c r="AX116" s="283"/>
      <c r="AY116" s="283"/>
      <c r="AZ116" s="283"/>
      <c r="BA116" s="283"/>
      <c r="BB116" s="283"/>
      <c r="BC116" s="283"/>
      <c r="BD116" s="186"/>
      <c r="BE116" s="186"/>
      <c r="BF116" s="283"/>
      <c r="BG116" s="283"/>
      <c r="BH116" s="283"/>
      <c r="BI116" s="283"/>
      <c r="BJ116" s="283">
        <f t="shared" si="228"/>
        <v>0</v>
      </c>
      <c r="BK116" s="283"/>
      <c r="BL116" s="283"/>
      <c r="BM116" s="283"/>
      <c r="BN116" s="283"/>
      <c r="BO116" s="186"/>
      <c r="BP116" s="283"/>
      <c r="BQ116" s="283"/>
      <c r="BR116" s="283"/>
      <c r="BS116" s="283"/>
      <c r="BT116" s="283"/>
      <c r="BU116" s="283"/>
      <c r="BV116" s="283"/>
      <c r="BW116" s="283"/>
      <c r="BX116" s="186"/>
      <c r="BY116" s="186"/>
      <c r="BZ116" s="287"/>
      <c r="CA116" s="287"/>
      <c r="CB116" s="287"/>
      <c r="CC116" s="287"/>
      <c r="CD116" s="187"/>
      <c r="CE116" s="287"/>
      <c r="CF116" s="287"/>
      <c r="CG116" s="287"/>
      <c r="CH116" s="287"/>
      <c r="CI116" s="187"/>
      <c r="CJ116" s="187"/>
      <c r="CK116" s="187"/>
      <c r="CL116" s="187"/>
      <c r="CM116" s="187"/>
      <c r="CN116" s="187"/>
      <c r="CO116" s="187"/>
      <c r="CP116" s="187"/>
      <c r="CQ116" s="187"/>
      <c r="CR116" s="281"/>
      <c r="CS116" s="281"/>
      <c r="CT116" s="291"/>
      <c r="CU116" s="160"/>
    </row>
    <row r="117" spans="1:99" ht="57.75" customHeight="1" outlineLevel="1">
      <c r="A117" s="183">
        <v>36</v>
      </c>
      <c r="B117" s="279" t="s">
        <v>3326</v>
      </c>
      <c r="C117" s="280" t="s">
        <v>3042</v>
      </c>
      <c r="D117" s="183" t="s">
        <v>3327</v>
      </c>
      <c r="E117" s="281"/>
      <c r="F117" s="183" t="s">
        <v>49</v>
      </c>
      <c r="G117" s="281"/>
      <c r="H117" s="281"/>
      <c r="I117" s="184" t="s">
        <v>311</v>
      </c>
      <c r="J117" s="183" t="s">
        <v>49</v>
      </c>
      <c r="K117" s="183" t="s">
        <v>3325</v>
      </c>
      <c r="L117" s="183" t="s">
        <v>75</v>
      </c>
      <c r="M117" s="183"/>
      <c r="N117" s="282"/>
      <c r="O117" s="282" t="s">
        <v>3102</v>
      </c>
      <c r="P117" s="283">
        <v>1300</v>
      </c>
      <c r="Q117" s="283"/>
      <c r="R117" s="283"/>
      <c r="S117" s="283">
        <v>1170</v>
      </c>
      <c r="T117" s="186">
        <v>130</v>
      </c>
      <c r="U117" s="186"/>
      <c r="V117" s="282" t="s">
        <v>3325</v>
      </c>
      <c r="W117" s="282" t="s">
        <v>3115</v>
      </c>
      <c r="X117" s="282" t="s">
        <v>311</v>
      </c>
      <c r="Y117" s="283"/>
      <c r="Z117" s="283"/>
      <c r="AA117" s="283"/>
      <c r="AB117" s="283"/>
      <c r="AC117" s="186">
        <v>1170</v>
      </c>
      <c r="AD117" s="283"/>
      <c r="AE117" s="283"/>
      <c r="AF117" s="186">
        <v>1170</v>
      </c>
      <c r="AG117" s="283">
        <f t="shared" si="227"/>
        <v>0</v>
      </c>
      <c r="AH117" s="283"/>
      <c r="AI117" s="283"/>
      <c r="AJ117" s="283"/>
      <c r="AK117" s="283">
        <v>1170</v>
      </c>
      <c r="AL117" s="186">
        <v>130</v>
      </c>
      <c r="AM117" s="283"/>
      <c r="AN117" s="283"/>
      <c r="AO117" s="283"/>
      <c r="AP117" s="283"/>
      <c r="AQ117" s="283"/>
      <c r="AR117" s="283"/>
      <c r="AS117" s="283"/>
      <c r="AT117" s="283"/>
      <c r="AU117" s="186"/>
      <c r="AV117" s="283"/>
      <c r="AW117" s="283"/>
      <c r="AX117" s="283"/>
      <c r="AY117" s="283"/>
      <c r="AZ117" s="283"/>
      <c r="BA117" s="283"/>
      <c r="BB117" s="283"/>
      <c r="BC117" s="283"/>
      <c r="BD117" s="186"/>
      <c r="BE117" s="186"/>
      <c r="BF117" s="283"/>
      <c r="BG117" s="283"/>
      <c r="BH117" s="283"/>
      <c r="BI117" s="283"/>
      <c r="BJ117" s="283">
        <f t="shared" si="228"/>
        <v>0</v>
      </c>
      <c r="BK117" s="283"/>
      <c r="BL117" s="283"/>
      <c r="BM117" s="283"/>
      <c r="BN117" s="283"/>
      <c r="BO117" s="186"/>
      <c r="BP117" s="283"/>
      <c r="BQ117" s="283"/>
      <c r="BR117" s="283"/>
      <c r="BS117" s="283"/>
      <c r="BT117" s="283"/>
      <c r="BU117" s="283"/>
      <c r="BV117" s="283"/>
      <c r="BW117" s="283"/>
      <c r="BX117" s="186"/>
      <c r="BY117" s="186"/>
      <c r="BZ117" s="287"/>
      <c r="CA117" s="287"/>
      <c r="CB117" s="287"/>
      <c r="CC117" s="287"/>
      <c r="CD117" s="187"/>
      <c r="CE117" s="287"/>
      <c r="CF117" s="287"/>
      <c r="CG117" s="287"/>
      <c r="CH117" s="287"/>
      <c r="CI117" s="187"/>
      <c r="CJ117" s="187"/>
      <c r="CK117" s="187"/>
      <c r="CL117" s="187"/>
      <c r="CM117" s="187"/>
      <c r="CN117" s="187"/>
      <c r="CO117" s="187"/>
      <c r="CP117" s="187"/>
      <c r="CQ117" s="187"/>
      <c r="CR117" s="281"/>
      <c r="CS117" s="281"/>
      <c r="CT117" s="291"/>
      <c r="CU117" s="160"/>
    </row>
    <row r="118" spans="1:99" ht="54.75" customHeight="1" outlineLevel="1">
      <c r="A118" s="183">
        <v>37</v>
      </c>
      <c r="B118" s="279" t="s">
        <v>3328</v>
      </c>
      <c r="C118" s="280" t="s">
        <v>3042</v>
      </c>
      <c r="D118" s="183" t="s">
        <v>3329</v>
      </c>
      <c r="E118" s="281"/>
      <c r="F118" s="183" t="s">
        <v>49</v>
      </c>
      <c r="G118" s="281"/>
      <c r="H118" s="281"/>
      <c r="I118" s="184" t="s">
        <v>311</v>
      </c>
      <c r="J118" s="183" t="s">
        <v>49</v>
      </c>
      <c r="K118" s="183" t="s">
        <v>3325</v>
      </c>
      <c r="L118" s="183" t="s">
        <v>75</v>
      </c>
      <c r="M118" s="183"/>
      <c r="N118" s="282"/>
      <c r="O118" s="282" t="s">
        <v>3102</v>
      </c>
      <c r="P118" s="283">
        <v>1350</v>
      </c>
      <c r="Q118" s="283"/>
      <c r="R118" s="283"/>
      <c r="S118" s="283">
        <v>1215</v>
      </c>
      <c r="T118" s="186">
        <v>135</v>
      </c>
      <c r="U118" s="186"/>
      <c r="V118" s="282" t="s">
        <v>3325</v>
      </c>
      <c r="W118" s="282" t="s">
        <v>3115</v>
      </c>
      <c r="X118" s="282" t="s">
        <v>311</v>
      </c>
      <c r="Y118" s="283"/>
      <c r="Z118" s="283"/>
      <c r="AA118" s="283"/>
      <c r="AB118" s="283"/>
      <c r="AC118" s="186">
        <v>1215</v>
      </c>
      <c r="AD118" s="283"/>
      <c r="AE118" s="283"/>
      <c r="AF118" s="186">
        <v>1215</v>
      </c>
      <c r="AG118" s="283">
        <f t="shared" si="227"/>
        <v>0</v>
      </c>
      <c r="AH118" s="283"/>
      <c r="AI118" s="283"/>
      <c r="AJ118" s="283"/>
      <c r="AK118" s="283">
        <v>1215</v>
      </c>
      <c r="AL118" s="186">
        <v>135</v>
      </c>
      <c r="AM118" s="283"/>
      <c r="AN118" s="283"/>
      <c r="AO118" s="283"/>
      <c r="AP118" s="283"/>
      <c r="AQ118" s="283"/>
      <c r="AR118" s="283"/>
      <c r="AS118" s="283"/>
      <c r="AT118" s="283"/>
      <c r="AU118" s="186"/>
      <c r="AV118" s="283"/>
      <c r="AW118" s="283"/>
      <c r="AX118" s="283"/>
      <c r="AY118" s="283"/>
      <c r="AZ118" s="283"/>
      <c r="BA118" s="283"/>
      <c r="BB118" s="283"/>
      <c r="BC118" s="283"/>
      <c r="BD118" s="186"/>
      <c r="BE118" s="186"/>
      <c r="BF118" s="283"/>
      <c r="BG118" s="283"/>
      <c r="BH118" s="283"/>
      <c r="BI118" s="283"/>
      <c r="BJ118" s="283">
        <f t="shared" si="228"/>
        <v>0</v>
      </c>
      <c r="BK118" s="283"/>
      <c r="BL118" s="283"/>
      <c r="BM118" s="283"/>
      <c r="BN118" s="283"/>
      <c r="BO118" s="186"/>
      <c r="BP118" s="283"/>
      <c r="BQ118" s="283"/>
      <c r="BR118" s="283"/>
      <c r="BS118" s="283"/>
      <c r="BT118" s="283"/>
      <c r="BU118" s="283"/>
      <c r="BV118" s="283"/>
      <c r="BW118" s="283"/>
      <c r="BX118" s="186"/>
      <c r="BY118" s="186"/>
      <c r="BZ118" s="287"/>
      <c r="CA118" s="287"/>
      <c r="CB118" s="287"/>
      <c r="CC118" s="287"/>
      <c r="CD118" s="187"/>
      <c r="CE118" s="287"/>
      <c r="CF118" s="287"/>
      <c r="CG118" s="287"/>
      <c r="CH118" s="287"/>
      <c r="CI118" s="187"/>
      <c r="CJ118" s="187"/>
      <c r="CK118" s="187"/>
      <c r="CL118" s="187"/>
      <c r="CM118" s="187"/>
      <c r="CN118" s="187"/>
      <c r="CO118" s="187"/>
      <c r="CP118" s="187"/>
      <c r="CQ118" s="187"/>
      <c r="CR118" s="281"/>
      <c r="CS118" s="281"/>
      <c r="CT118" s="291"/>
      <c r="CU118" s="160"/>
    </row>
    <row r="119" spans="1:99" ht="36" customHeight="1" outlineLevel="1">
      <c r="A119" s="183">
        <v>38</v>
      </c>
      <c r="B119" s="279" t="s">
        <v>3330</v>
      </c>
      <c r="C119" s="280" t="s">
        <v>3042</v>
      </c>
      <c r="D119" s="183" t="s">
        <v>3329</v>
      </c>
      <c r="E119" s="281"/>
      <c r="F119" s="183" t="s">
        <v>49</v>
      </c>
      <c r="G119" s="281"/>
      <c r="H119" s="281"/>
      <c r="I119" s="184" t="s">
        <v>311</v>
      </c>
      <c r="J119" s="183" t="s">
        <v>49</v>
      </c>
      <c r="K119" s="183" t="s">
        <v>3325</v>
      </c>
      <c r="L119" s="183" t="s">
        <v>75</v>
      </c>
      <c r="M119" s="183"/>
      <c r="N119" s="282"/>
      <c r="O119" s="282" t="s">
        <v>3102</v>
      </c>
      <c r="P119" s="283">
        <v>1350</v>
      </c>
      <c r="Q119" s="283"/>
      <c r="R119" s="283"/>
      <c r="S119" s="283">
        <v>1215</v>
      </c>
      <c r="T119" s="186">
        <v>135</v>
      </c>
      <c r="U119" s="186"/>
      <c r="V119" s="282" t="s">
        <v>3325</v>
      </c>
      <c r="W119" s="282" t="s">
        <v>3115</v>
      </c>
      <c r="X119" s="282" t="s">
        <v>311</v>
      </c>
      <c r="Y119" s="283"/>
      <c r="Z119" s="283"/>
      <c r="AA119" s="283"/>
      <c r="AB119" s="283"/>
      <c r="AC119" s="186">
        <v>1215</v>
      </c>
      <c r="AD119" s="283"/>
      <c r="AE119" s="283"/>
      <c r="AF119" s="186">
        <v>1215</v>
      </c>
      <c r="AG119" s="283">
        <f t="shared" si="227"/>
        <v>0</v>
      </c>
      <c r="AH119" s="283"/>
      <c r="AI119" s="283"/>
      <c r="AJ119" s="283"/>
      <c r="AK119" s="283">
        <v>1215</v>
      </c>
      <c r="AL119" s="186">
        <v>135</v>
      </c>
      <c r="AM119" s="283"/>
      <c r="AN119" s="283"/>
      <c r="AO119" s="283"/>
      <c r="AP119" s="283"/>
      <c r="AQ119" s="283"/>
      <c r="AR119" s="283"/>
      <c r="AS119" s="283"/>
      <c r="AT119" s="283"/>
      <c r="AU119" s="186"/>
      <c r="AV119" s="283"/>
      <c r="AW119" s="283"/>
      <c r="AX119" s="283"/>
      <c r="AY119" s="283"/>
      <c r="AZ119" s="283"/>
      <c r="BA119" s="283"/>
      <c r="BB119" s="283"/>
      <c r="BC119" s="283"/>
      <c r="BD119" s="186"/>
      <c r="BE119" s="186"/>
      <c r="BF119" s="283"/>
      <c r="BG119" s="283"/>
      <c r="BH119" s="283"/>
      <c r="BI119" s="283"/>
      <c r="BJ119" s="283">
        <f t="shared" si="228"/>
        <v>0</v>
      </c>
      <c r="BK119" s="283"/>
      <c r="BL119" s="283"/>
      <c r="BM119" s="283"/>
      <c r="BN119" s="283"/>
      <c r="BO119" s="186"/>
      <c r="BP119" s="283"/>
      <c r="BQ119" s="283"/>
      <c r="BR119" s="283"/>
      <c r="BS119" s="283"/>
      <c r="BT119" s="283"/>
      <c r="BU119" s="283"/>
      <c r="BV119" s="283"/>
      <c r="BW119" s="283"/>
      <c r="BX119" s="186"/>
      <c r="BY119" s="186"/>
      <c r="BZ119" s="287"/>
      <c r="CA119" s="287"/>
      <c r="CB119" s="287"/>
      <c r="CC119" s="287"/>
      <c r="CD119" s="187"/>
      <c r="CE119" s="287"/>
      <c r="CF119" s="287"/>
      <c r="CG119" s="287"/>
      <c r="CH119" s="287"/>
      <c r="CI119" s="187"/>
      <c r="CJ119" s="187"/>
      <c r="CK119" s="187"/>
      <c r="CL119" s="187"/>
      <c r="CM119" s="187"/>
      <c r="CN119" s="187"/>
      <c r="CO119" s="187"/>
      <c r="CP119" s="187"/>
      <c r="CQ119" s="187"/>
      <c r="CR119" s="281"/>
      <c r="CS119" s="281"/>
      <c r="CT119" s="291"/>
      <c r="CU119" s="160"/>
    </row>
    <row r="120" spans="1:99" ht="53.25" customHeight="1" outlineLevel="1">
      <c r="A120" s="183">
        <v>39</v>
      </c>
      <c r="B120" s="279" t="s">
        <v>3331</v>
      </c>
      <c r="C120" s="280" t="s">
        <v>3042</v>
      </c>
      <c r="D120" s="183" t="s">
        <v>3332</v>
      </c>
      <c r="E120" s="183"/>
      <c r="F120" s="183" t="s">
        <v>49</v>
      </c>
      <c r="G120" s="183"/>
      <c r="H120" s="183"/>
      <c r="I120" s="184" t="s">
        <v>311</v>
      </c>
      <c r="J120" s="183" t="s">
        <v>49</v>
      </c>
      <c r="K120" s="183" t="s">
        <v>3204</v>
      </c>
      <c r="L120" s="183" t="s">
        <v>75</v>
      </c>
      <c r="M120" s="183"/>
      <c r="N120" s="282"/>
      <c r="O120" s="282" t="s">
        <v>3102</v>
      </c>
      <c r="P120" s="283">
        <v>1856.4644960000001</v>
      </c>
      <c r="Q120" s="283"/>
      <c r="R120" s="283"/>
      <c r="S120" s="283">
        <v>1856.4644960000001</v>
      </c>
      <c r="T120" s="186">
        <v>0</v>
      </c>
      <c r="U120" s="186"/>
      <c r="V120" s="282" t="s">
        <v>3204</v>
      </c>
      <c r="W120" s="282" t="s">
        <v>3115</v>
      </c>
      <c r="X120" s="282" t="s">
        <v>311</v>
      </c>
      <c r="Y120" s="283"/>
      <c r="Z120" s="283"/>
      <c r="AA120" s="283"/>
      <c r="AB120" s="283"/>
      <c r="AC120" s="186">
        <v>1856.4644960000001</v>
      </c>
      <c r="AD120" s="283"/>
      <c r="AE120" s="283"/>
      <c r="AF120" s="186">
        <v>1856.4644960000001</v>
      </c>
      <c r="AG120" s="283">
        <f t="shared" si="227"/>
        <v>0</v>
      </c>
      <c r="AH120" s="283"/>
      <c r="AI120" s="283"/>
      <c r="AJ120" s="283"/>
      <c r="AK120" s="283">
        <v>1856.4644960000001</v>
      </c>
      <c r="AL120" s="186">
        <v>0</v>
      </c>
      <c r="AM120" s="283"/>
      <c r="AN120" s="283"/>
      <c r="AO120" s="283"/>
      <c r="AP120" s="283"/>
      <c r="AQ120" s="283"/>
      <c r="AR120" s="283"/>
      <c r="AS120" s="283"/>
      <c r="AT120" s="283"/>
      <c r="AU120" s="186"/>
      <c r="AV120" s="283"/>
      <c r="AW120" s="283"/>
      <c r="AX120" s="283"/>
      <c r="AY120" s="283"/>
      <c r="AZ120" s="283"/>
      <c r="BA120" s="283"/>
      <c r="BB120" s="283"/>
      <c r="BC120" s="283"/>
      <c r="BD120" s="186"/>
      <c r="BE120" s="186"/>
      <c r="BF120" s="283"/>
      <c r="BG120" s="283"/>
      <c r="BH120" s="283"/>
      <c r="BI120" s="283"/>
      <c r="BJ120" s="283">
        <f t="shared" si="228"/>
        <v>0</v>
      </c>
      <c r="BK120" s="283"/>
      <c r="BL120" s="283"/>
      <c r="BM120" s="283"/>
      <c r="BN120" s="283"/>
      <c r="BO120" s="186"/>
      <c r="BP120" s="283"/>
      <c r="BQ120" s="283"/>
      <c r="BR120" s="283"/>
      <c r="BS120" s="283"/>
      <c r="BT120" s="283"/>
      <c r="BU120" s="283"/>
      <c r="BV120" s="283"/>
      <c r="BW120" s="283"/>
      <c r="BX120" s="186"/>
      <c r="BY120" s="186"/>
      <c r="BZ120" s="287"/>
      <c r="CA120" s="287"/>
      <c r="CB120" s="287"/>
      <c r="CC120" s="287"/>
      <c r="CD120" s="187"/>
      <c r="CE120" s="287"/>
      <c r="CF120" s="287"/>
      <c r="CG120" s="287"/>
      <c r="CH120" s="287"/>
      <c r="CI120" s="187"/>
      <c r="CJ120" s="187"/>
      <c r="CK120" s="187"/>
      <c r="CL120" s="187"/>
      <c r="CM120" s="187"/>
      <c r="CN120" s="187"/>
      <c r="CO120" s="187"/>
      <c r="CP120" s="187"/>
      <c r="CQ120" s="187"/>
      <c r="CR120" s="281"/>
      <c r="CS120" s="281"/>
      <c r="CT120" s="291"/>
      <c r="CU120" s="160"/>
    </row>
    <row r="121" spans="1:99" ht="50.25" customHeight="1" outlineLevel="1">
      <c r="A121" s="183">
        <v>40</v>
      </c>
      <c r="B121" s="279" t="s">
        <v>3333</v>
      </c>
      <c r="C121" s="280" t="s">
        <v>3042</v>
      </c>
      <c r="D121" s="183" t="s">
        <v>3334</v>
      </c>
      <c r="E121" s="281"/>
      <c r="F121" s="183" t="s">
        <v>49</v>
      </c>
      <c r="G121" s="281"/>
      <c r="H121" s="281"/>
      <c r="I121" s="184" t="s">
        <v>311</v>
      </c>
      <c r="J121" s="183" t="s">
        <v>49</v>
      </c>
      <c r="K121" s="183" t="s">
        <v>3187</v>
      </c>
      <c r="L121" s="183" t="s">
        <v>75</v>
      </c>
      <c r="M121" s="183"/>
      <c r="N121" s="282"/>
      <c r="O121" s="282" t="s">
        <v>3102</v>
      </c>
      <c r="P121" s="283">
        <v>2000</v>
      </c>
      <c r="Q121" s="283"/>
      <c r="R121" s="283"/>
      <c r="S121" s="283">
        <v>2000</v>
      </c>
      <c r="T121" s="186">
        <v>0</v>
      </c>
      <c r="U121" s="186"/>
      <c r="V121" s="282" t="s">
        <v>3187</v>
      </c>
      <c r="W121" s="282" t="s">
        <v>3115</v>
      </c>
      <c r="X121" s="282" t="s">
        <v>311</v>
      </c>
      <c r="Y121" s="283"/>
      <c r="Z121" s="283"/>
      <c r="AA121" s="283"/>
      <c r="AB121" s="283"/>
      <c r="AC121" s="186">
        <v>2000</v>
      </c>
      <c r="AD121" s="283"/>
      <c r="AE121" s="283"/>
      <c r="AF121" s="186">
        <v>2000</v>
      </c>
      <c r="AG121" s="283">
        <f t="shared" si="227"/>
        <v>0</v>
      </c>
      <c r="AH121" s="283"/>
      <c r="AI121" s="283"/>
      <c r="AJ121" s="283"/>
      <c r="AK121" s="283">
        <v>2000</v>
      </c>
      <c r="AL121" s="186">
        <v>0</v>
      </c>
      <c r="AM121" s="283"/>
      <c r="AN121" s="283"/>
      <c r="AO121" s="283"/>
      <c r="AP121" s="283"/>
      <c r="AQ121" s="283"/>
      <c r="AR121" s="283"/>
      <c r="AS121" s="283"/>
      <c r="AT121" s="283"/>
      <c r="AU121" s="186"/>
      <c r="AV121" s="283"/>
      <c r="AW121" s="283"/>
      <c r="AX121" s="283"/>
      <c r="AY121" s="283"/>
      <c r="AZ121" s="283"/>
      <c r="BA121" s="283"/>
      <c r="BB121" s="283"/>
      <c r="BC121" s="283"/>
      <c r="BD121" s="186"/>
      <c r="BE121" s="186"/>
      <c r="BF121" s="283"/>
      <c r="BG121" s="283"/>
      <c r="BH121" s="283"/>
      <c r="BI121" s="283"/>
      <c r="BJ121" s="283">
        <f t="shared" si="228"/>
        <v>0</v>
      </c>
      <c r="BK121" s="283"/>
      <c r="BL121" s="283"/>
      <c r="BM121" s="283"/>
      <c r="BN121" s="283"/>
      <c r="BO121" s="186"/>
      <c r="BP121" s="283"/>
      <c r="BQ121" s="283"/>
      <c r="BR121" s="283"/>
      <c r="BS121" s="283"/>
      <c r="BT121" s="283"/>
      <c r="BU121" s="283"/>
      <c r="BV121" s="283"/>
      <c r="BW121" s="283"/>
      <c r="BX121" s="186"/>
      <c r="BY121" s="186"/>
      <c r="BZ121" s="287"/>
      <c r="CA121" s="287"/>
      <c r="CB121" s="287"/>
      <c r="CC121" s="287"/>
      <c r="CD121" s="187"/>
      <c r="CE121" s="287"/>
      <c r="CF121" s="287"/>
      <c r="CG121" s="287"/>
      <c r="CH121" s="287"/>
      <c r="CI121" s="187"/>
      <c r="CJ121" s="187"/>
      <c r="CK121" s="187"/>
      <c r="CL121" s="187"/>
      <c r="CM121" s="187"/>
      <c r="CN121" s="187"/>
      <c r="CO121" s="187"/>
      <c r="CP121" s="187"/>
      <c r="CQ121" s="187"/>
      <c r="CR121" s="281"/>
      <c r="CS121" s="281"/>
      <c r="CT121" s="291"/>
      <c r="CU121" s="160"/>
    </row>
    <row r="122" spans="1:99" ht="53.25" customHeight="1" outlineLevel="1">
      <c r="A122" s="183">
        <v>41</v>
      </c>
      <c r="B122" s="490" t="s">
        <v>3335</v>
      </c>
      <c r="C122" s="280" t="s">
        <v>3042</v>
      </c>
      <c r="D122" s="183"/>
      <c r="E122" s="281"/>
      <c r="F122" s="183" t="s">
        <v>49</v>
      </c>
      <c r="G122" s="281"/>
      <c r="H122" s="281"/>
      <c r="I122" s="184" t="s">
        <v>311</v>
      </c>
      <c r="J122" s="183" t="s">
        <v>49</v>
      </c>
      <c r="K122" s="183" t="s">
        <v>3204</v>
      </c>
      <c r="L122" s="183" t="s">
        <v>75</v>
      </c>
      <c r="M122" s="183"/>
      <c r="N122" s="282"/>
      <c r="O122" s="282" t="s">
        <v>3102</v>
      </c>
      <c r="P122" s="283">
        <v>1500</v>
      </c>
      <c r="Q122" s="283"/>
      <c r="R122" s="283"/>
      <c r="S122" s="283">
        <v>1500</v>
      </c>
      <c r="T122" s="186"/>
      <c r="U122" s="186"/>
      <c r="V122" s="282" t="s">
        <v>3204</v>
      </c>
      <c r="W122" s="282" t="s">
        <v>3115</v>
      </c>
      <c r="X122" s="282" t="s">
        <v>311</v>
      </c>
      <c r="Y122" s="283"/>
      <c r="Z122" s="283"/>
      <c r="AA122" s="283"/>
      <c r="AB122" s="283"/>
      <c r="AC122" s="186">
        <v>1500</v>
      </c>
      <c r="AD122" s="283"/>
      <c r="AE122" s="283"/>
      <c r="AF122" s="186">
        <v>1500</v>
      </c>
      <c r="AG122" s="283">
        <f t="shared" si="227"/>
        <v>0</v>
      </c>
      <c r="AH122" s="283"/>
      <c r="AI122" s="283"/>
      <c r="AJ122" s="283"/>
      <c r="AK122" s="283">
        <v>1500</v>
      </c>
      <c r="AL122" s="186"/>
      <c r="AM122" s="283"/>
      <c r="AN122" s="283"/>
      <c r="AO122" s="283"/>
      <c r="AP122" s="283"/>
      <c r="AQ122" s="283"/>
      <c r="AR122" s="283"/>
      <c r="AS122" s="283"/>
      <c r="AT122" s="283"/>
      <c r="AU122" s="186"/>
      <c r="AV122" s="283"/>
      <c r="AW122" s="283"/>
      <c r="AX122" s="283"/>
      <c r="AY122" s="283"/>
      <c r="AZ122" s="283"/>
      <c r="BA122" s="283"/>
      <c r="BB122" s="283"/>
      <c r="BC122" s="283"/>
      <c r="BD122" s="186"/>
      <c r="BE122" s="186"/>
      <c r="BF122" s="283"/>
      <c r="BG122" s="283"/>
      <c r="BH122" s="283"/>
      <c r="BI122" s="283"/>
      <c r="BJ122" s="283">
        <f t="shared" si="228"/>
        <v>0</v>
      </c>
      <c r="BK122" s="283"/>
      <c r="BL122" s="283"/>
      <c r="BM122" s="283"/>
      <c r="BN122" s="283"/>
      <c r="BO122" s="186"/>
      <c r="BP122" s="283"/>
      <c r="BQ122" s="283"/>
      <c r="BR122" s="283"/>
      <c r="BS122" s="283"/>
      <c r="BT122" s="283"/>
      <c r="BU122" s="283"/>
      <c r="BV122" s="283"/>
      <c r="BW122" s="283"/>
      <c r="BX122" s="186"/>
      <c r="BY122" s="186"/>
      <c r="BZ122" s="287"/>
      <c r="CA122" s="287"/>
      <c r="CB122" s="287"/>
      <c r="CC122" s="287"/>
      <c r="CD122" s="187"/>
      <c r="CE122" s="287"/>
      <c r="CF122" s="287"/>
      <c r="CG122" s="287"/>
      <c r="CH122" s="287"/>
      <c r="CI122" s="187"/>
      <c r="CJ122" s="187"/>
      <c r="CK122" s="187"/>
      <c r="CL122" s="187"/>
      <c r="CM122" s="187"/>
      <c r="CN122" s="187"/>
      <c r="CO122" s="187"/>
      <c r="CP122" s="187"/>
      <c r="CQ122" s="187"/>
      <c r="CR122" s="281"/>
      <c r="CS122" s="281"/>
      <c r="CT122" s="291"/>
      <c r="CU122" s="160"/>
    </row>
    <row r="123" spans="1:99" ht="55.5" customHeight="1" outlineLevel="1">
      <c r="A123" s="183">
        <v>42</v>
      </c>
      <c r="B123" s="490" t="s">
        <v>3336</v>
      </c>
      <c r="C123" s="280" t="s">
        <v>3042</v>
      </c>
      <c r="D123" s="183"/>
      <c r="E123" s="183"/>
      <c r="F123" s="183" t="s">
        <v>49</v>
      </c>
      <c r="G123" s="183"/>
      <c r="H123" s="183"/>
      <c r="I123" s="184" t="s">
        <v>311</v>
      </c>
      <c r="J123" s="183" t="s">
        <v>49</v>
      </c>
      <c r="K123" s="183" t="s">
        <v>3204</v>
      </c>
      <c r="L123" s="183" t="s">
        <v>75</v>
      </c>
      <c r="M123" s="184"/>
      <c r="N123" s="283"/>
      <c r="O123" s="282" t="s">
        <v>3102</v>
      </c>
      <c r="P123" s="283">
        <v>1200</v>
      </c>
      <c r="Q123" s="283"/>
      <c r="R123" s="283"/>
      <c r="S123" s="108">
        <v>1200</v>
      </c>
      <c r="T123" s="186"/>
      <c r="U123" s="186"/>
      <c r="V123" s="282" t="s">
        <v>3204</v>
      </c>
      <c r="W123" s="282" t="s">
        <v>3115</v>
      </c>
      <c r="X123" s="282" t="s">
        <v>311</v>
      </c>
      <c r="Y123" s="283"/>
      <c r="Z123" s="283"/>
      <c r="AA123" s="283"/>
      <c r="AB123" s="283"/>
      <c r="AC123" s="186">
        <v>1200</v>
      </c>
      <c r="AD123" s="283"/>
      <c r="AE123" s="283"/>
      <c r="AF123" s="186">
        <v>1200</v>
      </c>
      <c r="AG123" s="283">
        <f t="shared" si="227"/>
        <v>0</v>
      </c>
      <c r="AH123" s="283"/>
      <c r="AI123" s="283"/>
      <c r="AJ123" s="283"/>
      <c r="AK123" s="108">
        <v>1200</v>
      </c>
      <c r="AL123" s="186"/>
      <c r="AM123" s="283"/>
      <c r="AN123" s="283"/>
      <c r="AO123" s="283"/>
      <c r="AP123" s="283"/>
      <c r="AQ123" s="283"/>
      <c r="AR123" s="283"/>
      <c r="AS123" s="283"/>
      <c r="AT123" s="283"/>
      <c r="AU123" s="186"/>
      <c r="AV123" s="283"/>
      <c r="AW123" s="283"/>
      <c r="AX123" s="283"/>
      <c r="AY123" s="283"/>
      <c r="AZ123" s="283"/>
      <c r="BA123" s="283"/>
      <c r="BB123" s="283"/>
      <c r="BC123" s="283"/>
      <c r="BD123" s="186"/>
      <c r="BE123" s="186"/>
      <c r="BF123" s="283"/>
      <c r="BG123" s="283"/>
      <c r="BH123" s="283"/>
      <c r="BI123" s="283"/>
      <c r="BJ123" s="283">
        <f t="shared" si="228"/>
        <v>0</v>
      </c>
      <c r="BK123" s="283"/>
      <c r="BL123" s="283"/>
      <c r="BM123" s="283"/>
      <c r="BN123" s="283"/>
      <c r="BO123" s="186"/>
      <c r="BP123" s="283"/>
      <c r="BQ123" s="283"/>
      <c r="BR123" s="283"/>
      <c r="BS123" s="283"/>
      <c r="BT123" s="283"/>
      <c r="BU123" s="283"/>
      <c r="BV123" s="283"/>
      <c r="BW123" s="283"/>
      <c r="BX123" s="186"/>
      <c r="BY123" s="186"/>
      <c r="BZ123" s="287"/>
      <c r="CA123" s="287"/>
      <c r="CB123" s="287"/>
      <c r="CC123" s="287"/>
      <c r="CD123" s="187"/>
      <c r="CE123" s="287"/>
      <c r="CF123" s="287"/>
      <c r="CG123" s="287"/>
      <c r="CH123" s="287"/>
      <c r="CI123" s="187"/>
      <c r="CJ123" s="187"/>
      <c r="CK123" s="187"/>
      <c r="CL123" s="187"/>
      <c r="CM123" s="187"/>
      <c r="CN123" s="187"/>
      <c r="CO123" s="187"/>
      <c r="CP123" s="187"/>
      <c r="CQ123" s="187"/>
      <c r="CR123" s="281"/>
      <c r="CS123" s="281"/>
      <c r="CT123" s="291"/>
      <c r="CU123" s="160"/>
    </row>
    <row r="124" spans="1:99" ht="57.75" customHeight="1" outlineLevel="1">
      <c r="A124" s="183">
        <v>43</v>
      </c>
      <c r="B124" s="293" t="s">
        <v>3337</v>
      </c>
      <c r="C124" s="280" t="s">
        <v>3042</v>
      </c>
      <c r="D124" s="183"/>
      <c r="E124" s="183"/>
      <c r="F124" s="183" t="s">
        <v>49</v>
      </c>
      <c r="G124" s="183"/>
      <c r="H124" s="183"/>
      <c r="I124" s="184" t="s">
        <v>311</v>
      </c>
      <c r="J124" s="183" t="s">
        <v>49</v>
      </c>
      <c r="K124" s="183" t="s">
        <v>3204</v>
      </c>
      <c r="L124" s="183" t="s">
        <v>75</v>
      </c>
      <c r="M124" s="184"/>
      <c r="N124" s="283"/>
      <c r="O124" s="282" t="s">
        <v>3102</v>
      </c>
      <c r="P124" s="283">
        <v>1900</v>
      </c>
      <c r="Q124" s="283"/>
      <c r="R124" s="283"/>
      <c r="S124" s="108">
        <v>1900</v>
      </c>
      <c r="T124" s="186"/>
      <c r="U124" s="186"/>
      <c r="V124" s="282" t="s">
        <v>3204</v>
      </c>
      <c r="W124" s="282" t="s">
        <v>3115</v>
      </c>
      <c r="X124" s="282" t="s">
        <v>311</v>
      </c>
      <c r="Y124" s="283"/>
      <c r="Z124" s="283"/>
      <c r="AA124" s="283"/>
      <c r="AB124" s="283"/>
      <c r="AC124" s="186">
        <v>1900</v>
      </c>
      <c r="AD124" s="283"/>
      <c r="AE124" s="283"/>
      <c r="AF124" s="186">
        <v>1900</v>
      </c>
      <c r="AG124" s="283">
        <f t="shared" si="227"/>
        <v>0</v>
      </c>
      <c r="AH124" s="283"/>
      <c r="AI124" s="283"/>
      <c r="AJ124" s="283"/>
      <c r="AK124" s="108">
        <v>1900</v>
      </c>
      <c r="AL124" s="186"/>
      <c r="AM124" s="283"/>
      <c r="AN124" s="283"/>
      <c r="AO124" s="283"/>
      <c r="AP124" s="283"/>
      <c r="AQ124" s="283"/>
      <c r="AR124" s="283"/>
      <c r="AS124" s="283"/>
      <c r="AT124" s="283"/>
      <c r="AU124" s="186"/>
      <c r="AV124" s="283"/>
      <c r="AW124" s="283"/>
      <c r="AX124" s="283"/>
      <c r="AY124" s="283"/>
      <c r="AZ124" s="283"/>
      <c r="BA124" s="283"/>
      <c r="BB124" s="283"/>
      <c r="BC124" s="283"/>
      <c r="BD124" s="186"/>
      <c r="BE124" s="186"/>
      <c r="BF124" s="283"/>
      <c r="BG124" s="283"/>
      <c r="BH124" s="283"/>
      <c r="BI124" s="283"/>
      <c r="BJ124" s="283">
        <f t="shared" si="228"/>
        <v>0</v>
      </c>
      <c r="BK124" s="283"/>
      <c r="BL124" s="283"/>
      <c r="BM124" s="283"/>
      <c r="BN124" s="283"/>
      <c r="BO124" s="186"/>
      <c r="BP124" s="283"/>
      <c r="BQ124" s="283"/>
      <c r="BR124" s="283"/>
      <c r="BS124" s="283"/>
      <c r="BT124" s="283"/>
      <c r="BU124" s="283"/>
      <c r="BV124" s="283"/>
      <c r="BW124" s="283"/>
      <c r="BX124" s="186"/>
      <c r="BY124" s="186"/>
      <c r="BZ124" s="287"/>
      <c r="CA124" s="287"/>
      <c r="CB124" s="287"/>
      <c r="CC124" s="287"/>
      <c r="CD124" s="187"/>
      <c r="CE124" s="287"/>
      <c r="CF124" s="287"/>
      <c r="CG124" s="287"/>
      <c r="CH124" s="287"/>
      <c r="CI124" s="187"/>
      <c r="CJ124" s="187"/>
      <c r="CK124" s="187"/>
      <c r="CL124" s="187"/>
      <c r="CM124" s="187"/>
      <c r="CN124" s="187"/>
      <c r="CO124" s="187"/>
      <c r="CP124" s="187"/>
      <c r="CQ124" s="187"/>
      <c r="CR124" s="281"/>
      <c r="CS124" s="281"/>
      <c r="CT124" s="291"/>
      <c r="CU124" s="160"/>
    </row>
    <row r="125" spans="1:99" ht="44.25" customHeight="1" outlineLevel="1">
      <c r="A125" s="183">
        <v>44</v>
      </c>
      <c r="B125" s="293" t="s">
        <v>3338</v>
      </c>
      <c r="C125" s="280" t="s">
        <v>3042</v>
      </c>
      <c r="D125" s="183"/>
      <c r="E125" s="183"/>
      <c r="F125" s="183" t="s">
        <v>49</v>
      </c>
      <c r="G125" s="183"/>
      <c r="H125" s="183"/>
      <c r="I125" s="184" t="s">
        <v>311</v>
      </c>
      <c r="J125" s="183" t="s">
        <v>49</v>
      </c>
      <c r="K125" s="183" t="s">
        <v>3204</v>
      </c>
      <c r="L125" s="183" t="s">
        <v>75</v>
      </c>
      <c r="M125" s="184"/>
      <c r="N125" s="283"/>
      <c r="O125" s="282" t="s">
        <v>3663</v>
      </c>
      <c r="P125" s="283">
        <v>1200</v>
      </c>
      <c r="Q125" s="283"/>
      <c r="R125" s="283"/>
      <c r="S125" s="108">
        <v>1200</v>
      </c>
      <c r="T125" s="186"/>
      <c r="U125" s="186"/>
      <c r="V125" s="282" t="s">
        <v>3204</v>
      </c>
      <c r="W125" s="282" t="s">
        <v>3115</v>
      </c>
      <c r="X125" s="282" t="s">
        <v>311</v>
      </c>
      <c r="Y125" s="283"/>
      <c r="Z125" s="283"/>
      <c r="AA125" s="283"/>
      <c r="AB125" s="283"/>
      <c r="AC125" s="186">
        <v>1200</v>
      </c>
      <c r="AD125" s="283"/>
      <c r="AE125" s="283"/>
      <c r="AF125" s="186">
        <v>1200</v>
      </c>
      <c r="AG125" s="283">
        <f t="shared" si="227"/>
        <v>0</v>
      </c>
      <c r="AH125" s="283"/>
      <c r="AI125" s="283"/>
      <c r="AJ125" s="283"/>
      <c r="AK125" s="108">
        <v>1200</v>
      </c>
      <c r="AL125" s="186"/>
      <c r="AM125" s="283"/>
      <c r="AN125" s="283"/>
      <c r="AO125" s="283"/>
      <c r="AP125" s="283"/>
      <c r="AQ125" s="283"/>
      <c r="AR125" s="283"/>
      <c r="AS125" s="283"/>
      <c r="AT125" s="283"/>
      <c r="AU125" s="186"/>
      <c r="AV125" s="283"/>
      <c r="AW125" s="283"/>
      <c r="AX125" s="283"/>
      <c r="AY125" s="283"/>
      <c r="AZ125" s="283"/>
      <c r="BA125" s="283"/>
      <c r="BB125" s="283"/>
      <c r="BC125" s="283"/>
      <c r="BD125" s="186"/>
      <c r="BE125" s="186"/>
      <c r="BF125" s="283"/>
      <c r="BG125" s="283"/>
      <c r="BH125" s="283"/>
      <c r="BI125" s="283"/>
      <c r="BJ125" s="283">
        <f t="shared" si="228"/>
        <v>0</v>
      </c>
      <c r="BK125" s="283"/>
      <c r="BL125" s="283"/>
      <c r="BM125" s="283"/>
      <c r="BN125" s="283"/>
      <c r="BO125" s="186"/>
      <c r="BP125" s="283"/>
      <c r="BQ125" s="283"/>
      <c r="BR125" s="283"/>
      <c r="BS125" s="283"/>
      <c r="BT125" s="283"/>
      <c r="BU125" s="283"/>
      <c r="BV125" s="283"/>
      <c r="BW125" s="283"/>
      <c r="BX125" s="186"/>
      <c r="BY125" s="186"/>
      <c r="BZ125" s="287"/>
      <c r="CA125" s="287"/>
      <c r="CB125" s="287"/>
      <c r="CC125" s="287"/>
      <c r="CD125" s="187"/>
      <c r="CE125" s="287"/>
      <c r="CF125" s="287"/>
      <c r="CG125" s="287"/>
      <c r="CH125" s="287"/>
      <c r="CI125" s="187"/>
      <c r="CJ125" s="187"/>
      <c r="CK125" s="187"/>
      <c r="CL125" s="187"/>
      <c r="CM125" s="187"/>
      <c r="CN125" s="187"/>
      <c r="CO125" s="187"/>
      <c r="CP125" s="187"/>
      <c r="CQ125" s="187"/>
      <c r="CR125" s="281"/>
      <c r="CS125" s="281"/>
      <c r="CT125" s="291"/>
      <c r="CU125" s="160"/>
    </row>
    <row r="126" spans="1:99" ht="54.75" customHeight="1" outlineLevel="1">
      <c r="A126" s="183">
        <v>45</v>
      </c>
      <c r="B126" s="490" t="s">
        <v>3339</v>
      </c>
      <c r="C126" s="280" t="s">
        <v>3042</v>
      </c>
      <c r="D126" s="183"/>
      <c r="E126" s="183"/>
      <c r="F126" s="183" t="s">
        <v>49</v>
      </c>
      <c r="G126" s="183"/>
      <c r="H126" s="183"/>
      <c r="I126" s="184" t="s">
        <v>311</v>
      </c>
      <c r="J126" s="183" t="s">
        <v>49</v>
      </c>
      <c r="K126" s="183" t="s">
        <v>3187</v>
      </c>
      <c r="L126" s="183" t="s">
        <v>75</v>
      </c>
      <c r="M126" s="184"/>
      <c r="N126" s="283"/>
      <c r="O126" s="282" t="s">
        <v>3102</v>
      </c>
      <c r="P126" s="283">
        <v>1000</v>
      </c>
      <c r="Q126" s="283"/>
      <c r="R126" s="283"/>
      <c r="S126" s="108">
        <v>1000</v>
      </c>
      <c r="T126" s="186"/>
      <c r="U126" s="186"/>
      <c r="V126" s="282" t="s">
        <v>3187</v>
      </c>
      <c r="W126" s="282" t="s">
        <v>3115</v>
      </c>
      <c r="X126" s="282" t="s">
        <v>311</v>
      </c>
      <c r="Y126" s="283"/>
      <c r="Z126" s="283"/>
      <c r="AA126" s="283"/>
      <c r="AB126" s="283"/>
      <c r="AC126" s="186">
        <v>1000</v>
      </c>
      <c r="AD126" s="283"/>
      <c r="AE126" s="283"/>
      <c r="AF126" s="186">
        <v>1000</v>
      </c>
      <c r="AG126" s="283">
        <f t="shared" si="227"/>
        <v>0</v>
      </c>
      <c r="AH126" s="283"/>
      <c r="AI126" s="283"/>
      <c r="AJ126" s="283"/>
      <c r="AK126" s="108">
        <v>1000</v>
      </c>
      <c r="AL126" s="186"/>
      <c r="AM126" s="283"/>
      <c r="AN126" s="283"/>
      <c r="AO126" s="283"/>
      <c r="AP126" s="283"/>
      <c r="AQ126" s="283"/>
      <c r="AR126" s="283"/>
      <c r="AS126" s="283"/>
      <c r="AT126" s="283"/>
      <c r="AU126" s="186"/>
      <c r="AV126" s="283"/>
      <c r="AW126" s="283"/>
      <c r="AX126" s="283"/>
      <c r="AY126" s="283"/>
      <c r="AZ126" s="283"/>
      <c r="BA126" s="283"/>
      <c r="BB126" s="283"/>
      <c r="BC126" s="283"/>
      <c r="BD126" s="186"/>
      <c r="BE126" s="186"/>
      <c r="BF126" s="283"/>
      <c r="BG126" s="283"/>
      <c r="BH126" s="283"/>
      <c r="BI126" s="283"/>
      <c r="BJ126" s="283">
        <f t="shared" si="228"/>
        <v>0</v>
      </c>
      <c r="BK126" s="283"/>
      <c r="BL126" s="283"/>
      <c r="BM126" s="283"/>
      <c r="BN126" s="283"/>
      <c r="BO126" s="186"/>
      <c r="BP126" s="283"/>
      <c r="BQ126" s="283"/>
      <c r="BR126" s="283"/>
      <c r="BS126" s="283"/>
      <c r="BT126" s="283"/>
      <c r="BU126" s="283"/>
      <c r="BV126" s="283"/>
      <c r="BW126" s="283"/>
      <c r="BX126" s="186"/>
      <c r="BY126" s="186"/>
      <c r="BZ126" s="287"/>
      <c r="CA126" s="287"/>
      <c r="CB126" s="287"/>
      <c r="CC126" s="287"/>
      <c r="CD126" s="187"/>
      <c r="CE126" s="287"/>
      <c r="CF126" s="287"/>
      <c r="CG126" s="287"/>
      <c r="CH126" s="287"/>
      <c r="CI126" s="187"/>
      <c r="CJ126" s="187"/>
      <c r="CK126" s="187"/>
      <c r="CL126" s="187"/>
      <c r="CM126" s="187"/>
      <c r="CN126" s="187"/>
      <c r="CO126" s="187"/>
      <c r="CP126" s="187"/>
      <c r="CQ126" s="187"/>
      <c r="CR126" s="281"/>
      <c r="CS126" s="281"/>
      <c r="CT126" s="291"/>
      <c r="CU126" s="160"/>
    </row>
    <row r="127" spans="1:99" ht="58.5" customHeight="1" outlineLevel="1">
      <c r="A127" s="183">
        <v>46</v>
      </c>
      <c r="B127" s="293" t="s">
        <v>3340</v>
      </c>
      <c r="C127" s="280" t="s">
        <v>3042</v>
      </c>
      <c r="D127" s="183"/>
      <c r="E127" s="183"/>
      <c r="F127" s="183" t="s">
        <v>49</v>
      </c>
      <c r="G127" s="183"/>
      <c r="H127" s="183"/>
      <c r="I127" s="184" t="s">
        <v>311</v>
      </c>
      <c r="J127" s="183" t="s">
        <v>49</v>
      </c>
      <c r="K127" s="183" t="s">
        <v>3341</v>
      </c>
      <c r="L127" s="183" t="s">
        <v>75</v>
      </c>
      <c r="M127" s="184"/>
      <c r="N127" s="283"/>
      <c r="O127" s="282" t="s">
        <v>3102</v>
      </c>
      <c r="P127" s="283">
        <v>2890</v>
      </c>
      <c r="Q127" s="283"/>
      <c r="R127" s="283"/>
      <c r="S127" s="178">
        <v>2890</v>
      </c>
      <c r="T127" s="186"/>
      <c r="U127" s="186"/>
      <c r="V127" s="282" t="s">
        <v>3341</v>
      </c>
      <c r="W127" s="282" t="s">
        <v>3115</v>
      </c>
      <c r="X127" s="282" t="s">
        <v>311</v>
      </c>
      <c r="Y127" s="283"/>
      <c r="Z127" s="283"/>
      <c r="AA127" s="283"/>
      <c r="AB127" s="283"/>
      <c r="AC127" s="186">
        <f t="shared" ref="AC127:AC128" si="229">AD127+AE127+AF127</f>
        <v>2890</v>
      </c>
      <c r="AD127" s="283"/>
      <c r="AE127" s="283"/>
      <c r="AF127" s="186">
        <f t="shared" ref="AF127:AF128" si="230">SUM(AH127:AK127)</f>
        <v>2890</v>
      </c>
      <c r="AG127" s="283">
        <f t="shared" si="227"/>
        <v>0</v>
      </c>
      <c r="AH127" s="283"/>
      <c r="AI127" s="283"/>
      <c r="AJ127" s="283"/>
      <c r="AK127" s="178">
        <v>2890</v>
      </c>
      <c r="AL127" s="186"/>
      <c r="AM127" s="283"/>
      <c r="AN127" s="283"/>
      <c r="AO127" s="283"/>
      <c r="AP127" s="283"/>
      <c r="AQ127" s="283"/>
      <c r="AR127" s="283"/>
      <c r="AS127" s="283"/>
      <c r="AT127" s="283"/>
      <c r="AU127" s="186"/>
      <c r="AV127" s="283"/>
      <c r="AW127" s="283"/>
      <c r="AX127" s="283"/>
      <c r="AY127" s="283"/>
      <c r="AZ127" s="283"/>
      <c r="BA127" s="283"/>
      <c r="BB127" s="283"/>
      <c r="BC127" s="283"/>
      <c r="BD127" s="186"/>
      <c r="BE127" s="186"/>
      <c r="BF127" s="283"/>
      <c r="BG127" s="283"/>
      <c r="BH127" s="283"/>
      <c r="BI127" s="283"/>
      <c r="BJ127" s="283">
        <f t="shared" si="228"/>
        <v>0</v>
      </c>
      <c r="BK127" s="283"/>
      <c r="BL127" s="283"/>
      <c r="BM127" s="283"/>
      <c r="BN127" s="283"/>
      <c r="BO127" s="186"/>
      <c r="BP127" s="283"/>
      <c r="BQ127" s="283"/>
      <c r="BR127" s="283"/>
      <c r="BS127" s="283"/>
      <c r="BT127" s="283"/>
      <c r="BU127" s="283"/>
      <c r="BV127" s="283"/>
      <c r="BW127" s="283"/>
      <c r="BX127" s="186"/>
      <c r="BY127" s="186"/>
      <c r="BZ127" s="287"/>
      <c r="CA127" s="287"/>
      <c r="CB127" s="287"/>
      <c r="CC127" s="287"/>
      <c r="CD127" s="187"/>
      <c r="CE127" s="287"/>
      <c r="CF127" s="287"/>
      <c r="CG127" s="287"/>
      <c r="CH127" s="287"/>
      <c r="CI127" s="187"/>
      <c r="CJ127" s="187"/>
      <c r="CK127" s="187"/>
      <c r="CL127" s="187"/>
      <c r="CM127" s="187"/>
      <c r="CN127" s="187"/>
      <c r="CO127" s="187"/>
      <c r="CP127" s="187"/>
      <c r="CQ127" s="187"/>
      <c r="CR127" s="281"/>
      <c r="CS127" s="281"/>
      <c r="CT127" s="487"/>
      <c r="CU127" s="167"/>
    </row>
    <row r="128" spans="1:99" ht="51" customHeight="1" outlineLevel="1">
      <c r="A128" s="183">
        <v>47</v>
      </c>
      <c r="B128" s="293" t="s">
        <v>3342</v>
      </c>
      <c r="C128" s="280" t="s">
        <v>3042</v>
      </c>
      <c r="D128" s="183"/>
      <c r="E128" s="183"/>
      <c r="F128" s="183" t="s">
        <v>49</v>
      </c>
      <c r="G128" s="183"/>
      <c r="H128" s="183"/>
      <c r="I128" s="184" t="s">
        <v>311</v>
      </c>
      <c r="J128" s="183" t="s">
        <v>49</v>
      </c>
      <c r="K128" s="183" t="s">
        <v>3204</v>
      </c>
      <c r="L128" s="183" t="s">
        <v>75</v>
      </c>
      <c r="M128" s="184"/>
      <c r="N128" s="283"/>
      <c r="O128" s="282" t="s">
        <v>3663</v>
      </c>
      <c r="P128" s="283">
        <v>1100</v>
      </c>
      <c r="Q128" s="283"/>
      <c r="R128" s="283"/>
      <c r="S128" s="283">
        <v>1100</v>
      </c>
      <c r="T128" s="186"/>
      <c r="U128" s="186"/>
      <c r="V128" s="282" t="s">
        <v>3204</v>
      </c>
      <c r="W128" s="282" t="s">
        <v>3115</v>
      </c>
      <c r="X128" s="282" t="s">
        <v>311</v>
      </c>
      <c r="Y128" s="283"/>
      <c r="Z128" s="283"/>
      <c r="AA128" s="283"/>
      <c r="AB128" s="283"/>
      <c r="AC128" s="186">
        <f t="shared" si="229"/>
        <v>1000</v>
      </c>
      <c r="AD128" s="283"/>
      <c r="AE128" s="283"/>
      <c r="AF128" s="186">
        <f t="shared" si="230"/>
        <v>1000</v>
      </c>
      <c r="AG128" s="283">
        <f t="shared" si="227"/>
        <v>0</v>
      </c>
      <c r="AH128" s="283"/>
      <c r="AI128" s="283"/>
      <c r="AJ128" s="283"/>
      <c r="AK128" s="283">
        <v>1000</v>
      </c>
      <c r="AL128" s="186"/>
      <c r="AM128" s="283"/>
      <c r="AN128" s="283"/>
      <c r="AO128" s="283"/>
      <c r="AP128" s="283"/>
      <c r="AQ128" s="283"/>
      <c r="AR128" s="283"/>
      <c r="AS128" s="283"/>
      <c r="AT128" s="283"/>
      <c r="AU128" s="186"/>
      <c r="AV128" s="283"/>
      <c r="AW128" s="283"/>
      <c r="AX128" s="283"/>
      <c r="AY128" s="283"/>
      <c r="AZ128" s="283"/>
      <c r="BA128" s="283"/>
      <c r="BB128" s="283"/>
      <c r="BC128" s="283"/>
      <c r="BD128" s="186"/>
      <c r="BE128" s="186"/>
      <c r="BF128" s="283"/>
      <c r="BG128" s="283"/>
      <c r="BH128" s="283"/>
      <c r="BI128" s="283"/>
      <c r="BJ128" s="283">
        <f t="shared" si="228"/>
        <v>0</v>
      </c>
      <c r="BK128" s="283"/>
      <c r="BL128" s="283"/>
      <c r="BM128" s="283"/>
      <c r="BN128" s="283"/>
      <c r="BO128" s="186"/>
      <c r="BP128" s="283"/>
      <c r="BQ128" s="283"/>
      <c r="BR128" s="283"/>
      <c r="BS128" s="283"/>
      <c r="BT128" s="283"/>
      <c r="BU128" s="283"/>
      <c r="BV128" s="283"/>
      <c r="BW128" s="283"/>
      <c r="BX128" s="186"/>
      <c r="BY128" s="186"/>
      <c r="BZ128" s="287"/>
      <c r="CA128" s="287"/>
      <c r="CB128" s="287"/>
      <c r="CC128" s="287"/>
      <c r="CD128" s="187"/>
      <c r="CE128" s="287"/>
      <c r="CF128" s="287"/>
      <c r="CG128" s="287"/>
      <c r="CH128" s="287"/>
      <c r="CI128" s="187"/>
      <c r="CJ128" s="187"/>
      <c r="CK128" s="187"/>
      <c r="CL128" s="187"/>
      <c r="CM128" s="187"/>
      <c r="CN128" s="187"/>
      <c r="CO128" s="187"/>
      <c r="CP128" s="187"/>
      <c r="CQ128" s="187"/>
      <c r="CR128" s="281"/>
      <c r="CS128" s="281"/>
      <c r="CT128" s="487"/>
      <c r="CU128" s="167"/>
    </row>
    <row r="129" spans="1:99" ht="57.75" customHeight="1" outlineLevel="1">
      <c r="A129" s="183">
        <v>48</v>
      </c>
      <c r="B129" s="279" t="s">
        <v>3343</v>
      </c>
      <c r="C129" s="280" t="s">
        <v>3042</v>
      </c>
      <c r="D129" s="183" t="s">
        <v>3344</v>
      </c>
      <c r="E129" s="183"/>
      <c r="F129" s="183" t="s">
        <v>49</v>
      </c>
      <c r="G129" s="183"/>
      <c r="H129" s="183"/>
      <c r="I129" s="184" t="s">
        <v>311</v>
      </c>
      <c r="J129" s="183" t="s">
        <v>49</v>
      </c>
      <c r="K129" s="183" t="s">
        <v>3345</v>
      </c>
      <c r="L129" s="183" t="s">
        <v>75</v>
      </c>
      <c r="M129" s="183"/>
      <c r="N129" s="282"/>
      <c r="O129" s="282" t="s">
        <v>3102</v>
      </c>
      <c r="P129" s="283">
        <v>4550</v>
      </c>
      <c r="Q129" s="283"/>
      <c r="R129" s="283"/>
      <c r="S129" s="283">
        <v>4000</v>
      </c>
      <c r="T129" s="186">
        <v>550</v>
      </c>
      <c r="U129" s="186"/>
      <c r="V129" s="282" t="s">
        <v>3345</v>
      </c>
      <c r="W129" s="282" t="s">
        <v>3115</v>
      </c>
      <c r="X129" s="282" t="s">
        <v>311</v>
      </c>
      <c r="Y129" s="283"/>
      <c r="Z129" s="283"/>
      <c r="AA129" s="283"/>
      <c r="AB129" s="283"/>
      <c r="AC129" s="186">
        <v>4000</v>
      </c>
      <c r="AD129" s="283"/>
      <c r="AE129" s="283"/>
      <c r="AF129" s="186">
        <v>4000</v>
      </c>
      <c r="AG129" s="283">
        <f t="shared" si="227"/>
        <v>0</v>
      </c>
      <c r="AH129" s="283"/>
      <c r="AI129" s="283"/>
      <c r="AJ129" s="283"/>
      <c r="AK129" s="283">
        <v>4000</v>
      </c>
      <c r="AL129" s="186">
        <v>550</v>
      </c>
      <c r="AM129" s="283"/>
      <c r="AN129" s="283"/>
      <c r="AO129" s="283"/>
      <c r="AP129" s="283"/>
      <c r="AQ129" s="283"/>
      <c r="AR129" s="283"/>
      <c r="AS129" s="283"/>
      <c r="AT129" s="283"/>
      <c r="AU129" s="186"/>
      <c r="AV129" s="283"/>
      <c r="AW129" s="283"/>
      <c r="AX129" s="283"/>
      <c r="AY129" s="283"/>
      <c r="AZ129" s="283"/>
      <c r="BA129" s="283"/>
      <c r="BB129" s="283"/>
      <c r="BC129" s="283"/>
      <c r="BD129" s="186"/>
      <c r="BE129" s="186"/>
      <c r="BF129" s="283"/>
      <c r="BG129" s="283"/>
      <c r="BH129" s="283"/>
      <c r="BI129" s="283"/>
      <c r="BJ129" s="283">
        <f t="shared" si="228"/>
        <v>0</v>
      </c>
      <c r="BK129" s="283"/>
      <c r="BL129" s="283"/>
      <c r="BM129" s="283"/>
      <c r="BN129" s="283"/>
      <c r="BO129" s="186"/>
      <c r="BP129" s="283"/>
      <c r="BQ129" s="283"/>
      <c r="BR129" s="283"/>
      <c r="BS129" s="283"/>
      <c r="BT129" s="283"/>
      <c r="BU129" s="283"/>
      <c r="BV129" s="283"/>
      <c r="BW129" s="283"/>
      <c r="BX129" s="186"/>
      <c r="BY129" s="186"/>
      <c r="BZ129" s="287"/>
      <c r="CA129" s="287"/>
      <c r="CB129" s="287"/>
      <c r="CC129" s="287"/>
      <c r="CD129" s="187"/>
      <c r="CE129" s="287"/>
      <c r="CF129" s="287"/>
      <c r="CG129" s="287"/>
      <c r="CH129" s="287"/>
      <c r="CI129" s="187"/>
      <c r="CJ129" s="187"/>
      <c r="CK129" s="187"/>
      <c r="CL129" s="187"/>
      <c r="CM129" s="187"/>
      <c r="CN129" s="187"/>
      <c r="CO129" s="187"/>
      <c r="CP129" s="187"/>
      <c r="CQ129" s="187"/>
      <c r="CR129" s="289"/>
      <c r="CS129" s="289"/>
      <c r="CT129" s="291"/>
      <c r="CU129" s="160"/>
    </row>
    <row r="130" spans="1:99" ht="53.25" customHeight="1" outlineLevel="1">
      <c r="A130" s="183">
        <v>49</v>
      </c>
      <c r="B130" s="279" t="s">
        <v>3346</v>
      </c>
      <c r="C130" s="183" t="s">
        <v>3108</v>
      </c>
      <c r="D130" s="183" t="s">
        <v>3347</v>
      </c>
      <c r="E130" s="183"/>
      <c r="F130" s="183" t="s">
        <v>49</v>
      </c>
      <c r="G130" s="183"/>
      <c r="H130" s="183"/>
      <c r="I130" s="184" t="s">
        <v>311</v>
      </c>
      <c r="J130" s="183" t="s">
        <v>49</v>
      </c>
      <c r="K130" s="183" t="s">
        <v>3122</v>
      </c>
      <c r="L130" s="183" t="s">
        <v>75</v>
      </c>
      <c r="M130" s="183"/>
      <c r="N130" s="284"/>
      <c r="O130" s="282" t="s">
        <v>3102</v>
      </c>
      <c r="P130" s="186">
        <v>15000</v>
      </c>
      <c r="Q130" s="186"/>
      <c r="R130" s="186"/>
      <c r="S130" s="186">
        <v>12000</v>
      </c>
      <c r="T130" s="186">
        <v>3000</v>
      </c>
      <c r="U130" s="186"/>
      <c r="V130" s="282" t="s">
        <v>3122</v>
      </c>
      <c r="W130" s="282" t="s">
        <v>3115</v>
      </c>
      <c r="X130" s="282" t="s">
        <v>311</v>
      </c>
      <c r="Y130" s="186"/>
      <c r="Z130" s="186"/>
      <c r="AA130" s="186"/>
      <c r="AB130" s="186"/>
      <c r="AC130" s="186">
        <v>12000</v>
      </c>
      <c r="AD130" s="186"/>
      <c r="AE130" s="186"/>
      <c r="AF130" s="186">
        <v>12000</v>
      </c>
      <c r="AG130" s="283">
        <f t="shared" si="227"/>
        <v>0</v>
      </c>
      <c r="AH130" s="186"/>
      <c r="AI130" s="186"/>
      <c r="AJ130" s="186"/>
      <c r="AK130" s="186">
        <v>12000</v>
      </c>
      <c r="AL130" s="186">
        <v>3000</v>
      </c>
      <c r="AM130" s="186"/>
      <c r="AN130" s="186"/>
      <c r="AO130" s="186"/>
      <c r="AP130" s="186"/>
      <c r="AQ130" s="186"/>
      <c r="AR130" s="186"/>
      <c r="AS130" s="186"/>
      <c r="AT130" s="186"/>
      <c r="AU130" s="186"/>
      <c r="AV130" s="186"/>
      <c r="AW130" s="186"/>
      <c r="AX130" s="186"/>
      <c r="AY130" s="186"/>
      <c r="AZ130" s="186"/>
      <c r="BA130" s="186"/>
      <c r="BB130" s="186"/>
      <c r="BC130" s="186"/>
      <c r="BD130" s="186"/>
      <c r="BE130" s="186"/>
      <c r="BF130" s="186"/>
      <c r="BG130" s="186"/>
      <c r="BH130" s="186"/>
      <c r="BI130" s="186"/>
      <c r="BJ130" s="283">
        <f t="shared" si="228"/>
        <v>0</v>
      </c>
      <c r="BK130" s="186"/>
      <c r="BL130" s="186"/>
      <c r="BM130" s="186"/>
      <c r="BN130" s="186"/>
      <c r="BO130" s="186"/>
      <c r="BP130" s="284"/>
      <c r="BQ130" s="284"/>
      <c r="BR130" s="284"/>
      <c r="BS130" s="284"/>
      <c r="BT130" s="284"/>
      <c r="BU130" s="284"/>
      <c r="BV130" s="284"/>
      <c r="BW130" s="284"/>
      <c r="BX130" s="186"/>
      <c r="BY130" s="186"/>
      <c r="BZ130" s="286"/>
      <c r="CA130" s="286"/>
      <c r="CB130" s="286"/>
      <c r="CC130" s="286"/>
      <c r="CD130" s="187"/>
      <c r="CE130" s="286"/>
      <c r="CF130" s="286"/>
      <c r="CG130" s="286"/>
      <c r="CH130" s="286"/>
      <c r="CI130" s="187"/>
      <c r="CJ130" s="187"/>
      <c r="CK130" s="187"/>
      <c r="CL130" s="187"/>
      <c r="CM130" s="187"/>
      <c r="CN130" s="187"/>
      <c r="CO130" s="187"/>
      <c r="CP130" s="187"/>
      <c r="CQ130" s="187"/>
      <c r="CR130" s="281"/>
      <c r="CS130" s="281"/>
      <c r="CT130" s="291"/>
      <c r="CU130" s="160"/>
    </row>
    <row r="131" spans="1:99" ht="51" customHeight="1" outlineLevel="1">
      <c r="A131" s="183">
        <v>50</v>
      </c>
      <c r="B131" s="279" t="s">
        <v>3348</v>
      </c>
      <c r="C131" s="183" t="s">
        <v>3108</v>
      </c>
      <c r="D131" s="281" t="s">
        <v>3349</v>
      </c>
      <c r="E131" s="183"/>
      <c r="F131" s="183" t="s">
        <v>49</v>
      </c>
      <c r="G131" s="183"/>
      <c r="H131" s="183"/>
      <c r="I131" s="184" t="s">
        <v>311</v>
      </c>
      <c r="J131" s="183" t="s">
        <v>49</v>
      </c>
      <c r="K131" s="183" t="s">
        <v>3122</v>
      </c>
      <c r="L131" s="183" t="s">
        <v>75</v>
      </c>
      <c r="M131" s="183"/>
      <c r="N131" s="284"/>
      <c r="O131" s="282" t="s">
        <v>3350</v>
      </c>
      <c r="P131" s="186">
        <v>9194.8330000000005</v>
      </c>
      <c r="Q131" s="186"/>
      <c r="R131" s="186"/>
      <c r="S131" s="186">
        <v>9194.8330000000005</v>
      </c>
      <c r="T131" s="186">
        <v>0</v>
      </c>
      <c r="U131" s="186"/>
      <c r="V131" s="282" t="s">
        <v>3122</v>
      </c>
      <c r="W131" s="282" t="s">
        <v>3115</v>
      </c>
      <c r="X131" s="282" t="s">
        <v>311</v>
      </c>
      <c r="Y131" s="186"/>
      <c r="Z131" s="186"/>
      <c r="AA131" s="186"/>
      <c r="AB131" s="186"/>
      <c r="AC131" s="186">
        <v>9194.8330000000005</v>
      </c>
      <c r="AD131" s="186"/>
      <c r="AE131" s="186"/>
      <c r="AF131" s="186">
        <v>9194.8330000000005</v>
      </c>
      <c r="AG131" s="283">
        <f t="shared" si="227"/>
        <v>0</v>
      </c>
      <c r="AH131" s="186"/>
      <c r="AI131" s="186"/>
      <c r="AJ131" s="186"/>
      <c r="AK131" s="186">
        <v>9194.8330000000005</v>
      </c>
      <c r="AL131" s="186">
        <v>0</v>
      </c>
      <c r="AM131" s="186"/>
      <c r="AN131" s="186"/>
      <c r="AO131" s="186"/>
      <c r="AP131" s="186"/>
      <c r="AQ131" s="186"/>
      <c r="AR131" s="186"/>
      <c r="AS131" s="186"/>
      <c r="AT131" s="186"/>
      <c r="AU131" s="186"/>
      <c r="AV131" s="186"/>
      <c r="AW131" s="186"/>
      <c r="AX131" s="186"/>
      <c r="AY131" s="186"/>
      <c r="AZ131" s="186"/>
      <c r="BA131" s="186"/>
      <c r="BB131" s="186"/>
      <c r="BC131" s="186"/>
      <c r="BD131" s="186"/>
      <c r="BE131" s="186"/>
      <c r="BF131" s="186"/>
      <c r="BG131" s="186"/>
      <c r="BH131" s="186"/>
      <c r="BI131" s="186"/>
      <c r="BJ131" s="283">
        <f t="shared" si="228"/>
        <v>0</v>
      </c>
      <c r="BK131" s="186"/>
      <c r="BL131" s="186"/>
      <c r="BM131" s="186"/>
      <c r="BN131" s="186"/>
      <c r="BO131" s="186"/>
      <c r="BP131" s="284"/>
      <c r="BQ131" s="284"/>
      <c r="BR131" s="284"/>
      <c r="BS131" s="284"/>
      <c r="BT131" s="284"/>
      <c r="BU131" s="284"/>
      <c r="BV131" s="284"/>
      <c r="BW131" s="284"/>
      <c r="BX131" s="186"/>
      <c r="BY131" s="186"/>
      <c r="BZ131" s="286"/>
      <c r="CA131" s="286"/>
      <c r="CB131" s="286"/>
      <c r="CC131" s="286"/>
      <c r="CD131" s="187"/>
      <c r="CE131" s="286"/>
      <c r="CF131" s="286"/>
      <c r="CG131" s="286"/>
      <c r="CH131" s="286"/>
      <c r="CI131" s="187"/>
      <c r="CJ131" s="187"/>
      <c r="CK131" s="187"/>
      <c r="CL131" s="187"/>
      <c r="CM131" s="187"/>
      <c r="CN131" s="187"/>
      <c r="CO131" s="187"/>
      <c r="CP131" s="187"/>
      <c r="CQ131" s="187"/>
      <c r="CR131" s="281"/>
      <c r="CS131" s="281"/>
      <c r="CT131" s="291"/>
      <c r="CU131" s="160"/>
    </row>
    <row r="132" spans="1:99" ht="62.25" customHeight="1" outlineLevel="1">
      <c r="A132" s="183">
        <v>51</v>
      </c>
      <c r="B132" s="292" t="s">
        <v>3351</v>
      </c>
      <c r="C132" s="183" t="s">
        <v>3108</v>
      </c>
      <c r="D132" s="302" t="s">
        <v>3352</v>
      </c>
      <c r="E132" s="183"/>
      <c r="F132" s="183" t="s">
        <v>49</v>
      </c>
      <c r="G132" s="183"/>
      <c r="H132" s="183"/>
      <c r="I132" s="184" t="s">
        <v>311</v>
      </c>
      <c r="J132" s="183" t="s">
        <v>49</v>
      </c>
      <c r="K132" s="183" t="s">
        <v>3122</v>
      </c>
      <c r="L132" s="183" t="s">
        <v>75</v>
      </c>
      <c r="M132" s="183"/>
      <c r="N132" s="282"/>
      <c r="O132" s="282" t="s">
        <v>3663</v>
      </c>
      <c r="P132" s="283">
        <v>15500</v>
      </c>
      <c r="Q132" s="283"/>
      <c r="R132" s="283"/>
      <c r="S132" s="283">
        <v>12000</v>
      </c>
      <c r="T132" s="186">
        <v>3500</v>
      </c>
      <c r="U132" s="186"/>
      <c r="V132" s="282" t="s">
        <v>3122</v>
      </c>
      <c r="W132" s="282" t="s">
        <v>3115</v>
      </c>
      <c r="X132" s="282" t="s">
        <v>311</v>
      </c>
      <c r="Y132" s="283"/>
      <c r="Z132" s="283"/>
      <c r="AA132" s="283"/>
      <c r="AB132" s="283"/>
      <c r="AC132" s="186">
        <v>12000</v>
      </c>
      <c r="AD132" s="283"/>
      <c r="AE132" s="283"/>
      <c r="AF132" s="186">
        <v>12000</v>
      </c>
      <c r="AG132" s="283">
        <f t="shared" si="227"/>
        <v>0</v>
      </c>
      <c r="AH132" s="283"/>
      <c r="AI132" s="283"/>
      <c r="AJ132" s="283"/>
      <c r="AK132" s="283">
        <v>12000</v>
      </c>
      <c r="AL132" s="186">
        <v>3500</v>
      </c>
      <c r="AM132" s="283"/>
      <c r="AN132" s="283"/>
      <c r="AO132" s="283"/>
      <c r="AP132" s="283"/>
      <c r="AQ132" s="283"/>
      <c r="AR132" s="283"/>
      <c r="AS132" s="283"/>
      <c r="AT132" s="283"/>
      <c r="AU132" s="186"/>
      <c r="AV132" s="283"/>
      <c r="AW132" s="283"/>
      <c r="AX132" s="283"/>
      <c r="AY132" s="283"/>
      <c r="AZ132" s="283"/>
      <c r="BA132" s="283"/>
      <c r="BB132" s="283"/>
      <c r="BC132" s="283"/>
      <c r="BD132" s="186"/>
      <c r="BE132" s="186"/>
      <c r="BF132" s="283"/>
      <c r="BG132" s="283"/>
      <c r="BH132" s="283"/>
      <c r="BI132" s="283"/>
      <c r="BJ132" s="283">
        <f t="shared" si="228"/>
        <v>0</v>
      </c>
      <c r="BK132" s="283"/>
      <c r="BL132" s="283"/>
      <c r="BM132" s="283"/>
      <c r="BN132" s="283"/>
      <c r="BO132" s="186"/>
      <c r="BP132" s="283"/>
      <c r="BQ132" s="283"/>
      <c r="BR132" s="283"/>
      <c r="BS132" s="283"/>
      <c r="BT132" s="283"/>
      <c r="BU132" s="283"/>
      <c r="BV132" s="283"/>
      <c r="BW132" s="283"/>
      <c r="BX132" s="186"/>
      <c r="BY132" s="186"/>
      <c r="BZ132" s="287"/>
      <c r="CA132" s="287"/>
      <c r="CB132" s="287"/>
      <c r="CC132" s="287"/>
      <c r="CD132" s="187"/>
      <c r="CE132" s="287"/>
      <c r="CF132" s="287"/>
      <c r="CG132" s="287"/>
      <c r="CH132" s="287"/>
      <c r="CI132" s="187"/>
      <c r="CJ132" s="187"/>
      <c r="CK132" s="187"/>
      <c r="CL132" s="187"/>
      <c r="CM132" s="187"/>
      <c r="CN132" s="187"/>
      <c r="CO132" s="187"/>
      <c r="CP132" s="187"/>
      <c r="CQ132" s="187"/>
      <c r="CR132" s="191"/>
      <c r="CS132" s="191"/>
      <c r="CT132" s="291"/>
      <c r="CU132" s="160"/>
    </row>
    <row r="133" spans="1:99" ht="48.75" customHeight="1" outlineLevel="1">
      <c r="A133" s="183">
        <v>52</v>
      </c>
      <c r="B133" s="292" t="s">
        <v>3353</v>
      </c>
      <c r="C133" s="183" t="s">
        <v>3108</v>
      </c>
      <c r="D133" s="302" t="s">
        <v>3354</v>
      </c>
      <c r="E133" s="183"/>
      <c r="F133" s="183" t="s">
        <v>49</v>
      </c>
      <c r="G133" s="183"/>
      <c r="H133" s="183"/>
      <c r="I133" s="184" t="s">
        <v>311</v>
      </c>
      <c r="J133" s="183" t="s">
        <v>49</v>
      </c>
      <c r="K133" s="183" t="s">
        <v>3122</v>
      </c>
      <c r="L133" s="183" t="s">
        <v>75</v>
      </c>
      <c r="M133" s="183"/>
      <c r="N133" s="282"/>
      <c r="O133" s="282" t="s">
        <v>3102</v>
      </c>
      <c r="P133" s="283">
        <v>15000</v>
      </c>
      <c r="Q133" s="283"/>
      <c r="R133" s="283"/>
      <c r="S133" s="283">
        <v>15000</v>
      </c>
      <c r="T133" s="186"/>
      <c r="U133" s="186"/>
      <c r="V133" s="282" t="s">
        <v>3122</v>
      </c>
      <c r="W133" s="282" t="s">
        <v>3115</v>
      </c>
      <c r="X133" s="282" t="s">
        <v>311</v>
      </c>
      <c r="Y133" s="283"/>
      <c r="Z133" s="283"/>
      <c r="AA133" s="283"/>
      <c r="AB133" s="283"/>
      <c r="AC133" s="186">
        <v>15000</v>
      </c>
      <c r="AD133" s="283"/>
      <c r="AE133" s="283"/>
      <c r="AF133" s="186">
        <v>15000</v>
      </c>
      <c r="AG133" s="283">
        <f t="shared" si="227"/>
        <v>0</v>
      </c>
      <c r="AH133" s="283"/>
      <c r="AI133" s="283"/>
      <c r="AJ133" s="283"/>
      <c r="AK133" s="283">
        <v>15000</v>
      </c>
      <c r="AL133" s="186"/>
      <c r="AM133" s="283"/>
      <c r="AN133" s="283"/>
      <c r="AO133" s="283"/>
      <c r="AP133" s="283"/>
      <c r="AQ133" s="283"/>
      <c r="AR133" s="283"/>
      <c r="AS133" s="283"/>
      <c r="AT133" s="283"/>
      <c r="AU133" s="186"/>
      <c r="AV133" s="283"/>
      <c r="AW133" s="283"/>
      <c r="AX133" s="283"/>
      <c r="AY133" s="283"/>
      <c r="AZ133" s="283"/>
      <c r="BA133" s="283"/>
      <c r="BB133" s="283"/>
      <c r="BC133" s="283"/>
      <c r="BD133" s="186"/>
      <c r="BE133" s="186"/>
      <c r="BF133" s="283"/>
      <c r="BG133" s="283"/>
      <c r="BH133" s="283"/>
      <c r="BI133" s="283"/>
      <c r="BJ133" s="283">
        <f t="shared" si="228"/>
        <v>0</v>
      </c>
      <c r="BK133" s="283"/>
      <c r="BL133" s="283"/>
      <c r="BM133" s="283"/>
      <c r="BN133" s="283"/>
      <c r="BO133" s="186"/>
      <c r="BP133" s="283"/>
      <c r="BQ133" s="283"/>
      <c r="BR133" s="283"/>
      <c r="BS133" s="283"/>
      <c r="BT133" s="283"/>
      <c r="BU133" s="283"/>
      <c r="BV133" s="283"/>
      <c r="BW133" s="283"/>
      <c r="BX133" s="186"/>
      <c r="BY133" s="186"/>
      <c r="BZ133" s="287"/>
      <c r="CA133" s="287"/>
      <c r="CB133" s="287"/>
      <c r="CC133" s="287"/>
      <c r="CD133" s="187"/>
      <c r="CE133" s="287"/>
      <c r="CF133" s="287"/>
      <c r="CG133" s="287"/>
      <c r="CH133" s="287"/>
      <c r="CI133" s="187"/>
      <c r="CJ133" s="187"/>
      <c r="CK133" s="187"/>
      <c r="CL133" s="187"/>
      <c r="CM133" s="187"/>
      <c r="CN133" s="187"/>
      <c r="CO133" s="187"/>
      <c r="CP133" s="187"/>
      <c r="CQ133" s="187"/>
      <c r="CR133" s="191"/>
      <c r="CS133" s="191"/>
      <c r="CT133" s="291"/>
      <c r="CU133" s="160"/>
    </row>
    <row r="134" spans="1:99" ht="54.75" customHeight="1" outlineLevel="1">
      <c r="A134" s="183">
        <v>53</v>
      </c>
      <c r="B134" s="279" t="s">
        <v>3355</v>
      </c>
      <c r="C134" s="183" t="s">
        <v>3108</v>
      </c>
      <c r="D134" s="183" t="s">
        <v>3356</v>
      </c>
      <c r="E134" s="183"/>
      <c r="F134" s="183" t="s">
        <v>49</v>
      </c>
      <c r="G134" s="183"/>
      <c r="H134" s="183"/>
      <c r="I134" s="184" t="s">
        <v>311</v>
      </c>
      <c r="J134" s="183" t="s">
        <v>49</v>
      </c>
      <c r="K134" s="183" t="s">
        <v>3169</v>
      </c>
      <c r="L134" s="183" t="s">
        <v>75</v>
      </c>
      <c r="M134" s="183"/>
      <c r="N134" s="282"/>
      <c r="O134" s="282" t="s">
        <v>3102</v>
      </c>
      <c r="P134" s="283">
        <v>11000</v>
      </c>
      <c r="Q134" s="283"/>
      <c r="R134" s="283"/>
      <c r="S134" s="283">
        <v>11000</v>
      </c>
      <c r="T134" s="186">
        <v>0</v>
      </c>
      <c r="U134" s="186"/>
      <c r="V134" s="282" t="s">
        <v>3169</v>
      </c>
      <c r="W134" s="282" t="s">
        <v>3115</v>
      </c>
      <c r="X134" s="282" t="s">
        <v>311</v>
      </c>
      <c r="Y134" s="283"/>
      <c r="Z134" s="283"/>
      <c r="AA134" s="283"/>
      <c r="AB134" s="283"/>
      <c r="AC134" s="186">
        <v>11000</v>
      </c>
      <c r="AD134" s="283"/>
      <c r="AE134" s="283"/>
      <c r="AF134" s="186">
        <v>11000</v>
      </c>
      <c r="AG134" s="283">
        <f t="shared" si="227"/>
        <v>0</v>
      </c>
      <c r="AH134" s="283"/>
      <c r="AI134" s="283"/>
      <c r="AJ134" s="283"/>
      <c r="AK134" s="283">
        <v>11000</v>
      </c>
      <c r="AL134" s="186">
        <v>0</v>
      </c>
      <c r="AM134" s="283"/>
      <c r="AN134" s="283"/>
      <c r="AO134" s="283"/>
      <c r="AP134" s="283"/>
      <c r="AQ134" s="283"/>
      <c r="AR134" s="283"/>
      <c r="AS134" s="283"/>
      <c r="AT134" s="283"/>
      <c r="AU134" s="186"/>
      <c r="AV134" s="283"/>
      <c r="AW134" s="283"/>
      <c r="AX134" s="283"/>
      <c r="AY134" s="283"/>
      <c r="AZ134" s="283"/>
      <c r="BA134" s="283"/>
      <c r="BB134" s="283"/>
      <c r="BC134" s="283"/>
      <c r="BD134" s="186"/>
      <c r="BE134" s="186"/>
      <c r="BF134" s="283"/>
      <c r="BG134" s="283"/>
      <c r="BH134" s="283"/>
      <c r="BI134" s="283"/>
      <c r="BJ134" s="283">
        <f t="shared" si="228"/>
        <v>0</v>
      </c>
      <c r="BK134" s="283"/>
      <c r="BL134" s="283"/>
      <c r="BM134" s="283"/>
      <c r="BN134" s="283"/>
      <c r="BO134" s="186"/>
      <c r="BP134" s="283"/>
      <c r="BQ134" s="283"/>
      <c r="BR134" s="283"/>
      <c r="BS134" s="283"/>
      <c r="BT134" s="283"/>
      <c r="BU134" s="283"/>
      <c r="BV134" s="283"/>
      <c r="BW134" s="283"/>
      <c r="BX134" s="186"/>
      <c r="BY134" s="186"/>
      <c r="BZ134" s="287"/>
      <c r="CA134" s="287"/>
      <c r="CB134" s="287"/>
      <c r="CC134" s="287"/>
      <c r="CD134" s="187"/>
      <c r="CE134" s="287"/>
      <c r="CF134" s="287"/>
      <c r="CG134" s="287"/>
      <c r="CH134" s="287"/>
      <c r="CI134" s="187"/>
      <c r="CJ134" s="187"/>
      <c r="CK134" s="187"/>
      <c r="CL134" s="187"/>
      <c r="CM134" s="187"/>
      <c r="CN134" s="187"/>
      <c r="CO134" s="187"/>
      <c r="CP134" s="187"/>
      <c r="CQ134" s="187"/>
      <c r="CR134" s="281"/>
      <c r="CS134" s="281"/>
      <c r="CT134" s="291"/>
      <c r="CU134" s="160"/>
    </row>
    <row r="135" spans="1:99" ht="41.25" customHeight="1">
      <c r="A135" s="418" t="s">
        <v>14</v>
      </c>
      <c r="B135" s="418" t="s">
        <v>3357</v>
      </c>
      <c r="C135" s="482"/>
      <c r="D135" s="482"/>
      <c r="E135" s="482"/>
      <c r="F135" s="482"/>
      <c r="G135" s="482"/>
      <c r="H135" s="482"/>
      <c r="I135" s="482"/>
      <c r="J135" s="482"/>
      <c r="K135" s="482"/>
      <c r="L135" s="482"/>
      <c r="M135" s="482"/>
      <c r="N135" s="484"/>
      <c r="O135" s="484"/>
      <c r="P135" s="99">
        <f>P136+P140+P156+P138</f>
        <v>237471.93300000002</v>
      </c>
      <c r="Q135" s="99">
        <f t="shared" ref="Q135:BN135" si="231">Q136+Q140+Q156+Q138</f>
        <v>0</v>
      </c>
      <c r="R135" s="99">
        <f t="shared" si="231"/>
        <v>0</v>
      </c>
      <c r="S135" s="99">
        <f t="shared" si="231"/>
        <v>236686.93300000002</v>
      </c>
      <c r="T135" s="99">
        <f t="shared" si="231"/>
        <v>785</v>
      </c>
      <c r="U135" s="99">
        <f t="shared" si="231"/>
        <v>0</v>
      </c>
      <c r="V135" s="67" t="e">
        <f t="shared" si="231"/>
        <v>#VALUE!</v>
      </c>
      <c r="W135" s="67" t="e">
        <f t="shared" si="231"/>
        <v>#VALUE!</v>
      </c>
      <c r="X135" s="67" t="e">
        <f t="shared" si="231"/>
        <v>#VALUE!</v>
      </c>
      <c r="Y135" s="99">
        <f t="shared" si="231"/>
        <v>14000</v>
      </c>
      <c r="Z135" s="99">
        <f t="shared" si="231"/>
        <v>0</v>
      </c>
      <c r="AA135" s="99">
        <f t="shared" si="231"/>
        <v>0</v>
      </c>
      <c r="AB135" s="99">
        <f t="shared" si="231"/>
        <v>14000</v>
      </c>
      <c r="AC135" s="99">
        <f t="shared" si="231"/>
        <v>67974.933000000005</v>
      </c>
      <c r="AD135" s="99">
        <f t="shared" si="231"/>
        <v>0</v>
      </c>
      <c r="AE135" s="99">
        <f t="shared" si="231"/>
        <v>0</v>
      </c>
      <c r="AF135" s="99">
        <f t="shared" si="231"/>
        <v>67974.933000000005</v>
      </c>
      <c r="AG135" s="99">
        <f t="shared" si="231"/>
        <v>17000</v>
      </c>
      <c r="AH135" s="99">
        <f t="shared" si="231"/>
        <v>15560</v>
      </c>
      <c r="AI135" s="99">
        <f t="shared" si="231"/>
        <v>1440</v>
      </c>
      <c r="AJ135" s="99">
        <f t="shared" si="231"/>
        <v>37305.933000000005</v>
      </c>
      <c r="AK135" s="99">
        <f t="shared" si="231"/>
        <v>13669</v>
      </c>
      <c r="AL135" s="99">
        <f t="shared" si="231"/>
        <v>785</v>
      </c>
      <c r="AM135" s="99">
        <f t="shared" si="231"/>
        <v>50614.618000000002</v>
      </c>
      <c r="AN135" s="99">
        <f t="shared" si="231"/>
        <v>0</v>
      </c>
      <c r="AO135" s="99">
        <f t="shared" si="231"/>
        <v>0</v>
      </c>
      <c r="AP135" s="99">
        <f t="shared" si="231"/>
        <v>50614.618000000002</v>
      </c>
      <c r="AQ135" s="99">
        <f t="shared" si="231"/>
        <v>15560</v>
      </c>
      <c r="AR135" s="99">
        <f t="shared" si="231"/>
        <v>1440</v>
      </c>
      <c r="AS135" s="99">
        <f t="shared" si="231"/>
        <v>33361.618000000002</v>
      </c>
      <c r="AT135" s="99">
        <f t="shared" si="231"/>
        <v>253</v>
      </c>
      <c r="AU135" s="99">
        <f t="shared" si="231"/>
        <v>785</v>
      </c>
      <c r="AV135" s="99">
        <f t="shared" si="231"/>
        <v>50591.840098000001</v>
      </c>
      <c r="AW135" s="99">
        <f t="shared" si="231"/>
        <v>0</v>
      </c>
      <c r="AX135" s="99">
        <f t="shared" si="231"/>
        <v>0</v>
      </c>
      <c r="AY135" s="99">
        <f t="shared" si="231"/>
        <v>50591.840098000001</v>
      </c>
      <c r="AZ135" s="99">
        <f t="shared" si="231"/>
        <v>15560</v>
      </c>
      <c r="BA135" s="99">
        <f t="shared" si="231"/>
        <v>1440</v>
      </c>
      <c r="BB135" s="99">
        <f t="shared" si="231"/>
        <v>33338.840098000001</v>
      </c>
      <c r="BC135" s="99">
        <f t="shared" si="231"/>
        <v>253</v>
      </c>
      <c r="BD135" s="99">
        <f t="shared" si="231"/>
        <v>785</v>
      </c>
      <c r="BE135" s="99">
        <f t="shared" si="231"/>
        <v>1695.7319576154473</v>
      </c>
      <c r="BF135" s="99">
        <f t="shared" si="231"/>
        <v>1213.6849999999999</v>
      </c>
      <c r="BG135" s="99">
        <f t="shared" si="231"/>
        <v>0</v>
      </c>
      <c r="BH135" s="99">
        <f t="shared" si="231"/>
        <v>0</v>
      </c>
      <c r="BI135" s="99">
        <f t="shared" si="231"/>
        <v>1213.6849999999999</v>
      </c>
      <c r="BJ135" s="99">
        <f t="shared" si="231"/>
        <v>0</v>
      </c>
      <c r="BK135" s="99">
        <f t="shared" si="231"/>
        <v>0</v>
      </c>
      <c r="BL135" s="99">
        <f t="shared" si="231"/>
        <v>0</v>
      </c>
      <c r="BM135" s="99">
        <f t="shared" si="231"/>
        <v>1213.6849999999999</v>
      </c>
      <c r="BN135" s="99">
        <f t="shared" si="231"/>
        <v>0</v>
      </c>
      <c r="BO135" s="484">
        <f t="shared" ref="BO135:CR135" si="232">BO136+BO140+BO156</f>
        <v>285</v>
      </c>
      <c r="BP135" s="484">
        <f t="shared" si="232"/>
        <v>1190.9070979999999</v>
      </c>
      <c r="BQ135" s="484">
        <f t="shared" si="232"/>
        <v>0</v>
      </c>
      <c r="BR135" s="484">
        <f t="shared" si="232"/>
        <v>0</v>
      </c>
      <c r="BS135" s="484">
        <f t="shared" si="232"/>
        <v>1190.9070979999999</v>
      </c>
      <c r="BT135" s="484">
        <f t="shared" si="232"/>
        <v>0</v>
      </c>
      <c r="BU135" s="484">
        <f t="shared" si="232"/>
        <v>0</v>
      </c>
      <c r="BV135" s="484">
        <f t="shared" si="232"/>
        <v>1190.9070979999999</v>
      </c>
      <c r="BW135" s="484">
        <f t="shared" si="232"/>
        <v>0</v>
      </c>
      <c r="BX135" s="484">
        <f t="shared" si="232"/>
        <v>285</v>
      </c>
      <c r="BY135" s="484">
        <f t="shared" si="232"/>
        <v>790.25273252455224</v>
      </c>
      <c r="BZ135" s="483">
        <f t="shared" si="232"/>
        <v>0</v>
      </c>
      <c r="CA135" s="483">
        <f t="shared" si="232"/>
        <v>0</v>
      </c>
      <c r="CB135" s="483">
        <f t="shared" si="232"/>
        <v>0</v>
      </c>
      <c r="CC135" s="483">
        <f t="shared" si="232"/>
        <v>0</v>
      </c>
      <c r="CD135" s="483">
        <f t="shared" si="232"/>
        <v>0</v>
      </c>
      <c r="CE135" s="483">
        <f t="shared" si="232"/>
        <v>0</v>
      </c>
      <c r="CF135" s="483">
        <f t="shared" si="232"/>
        <v>0</v>
      </c>
      <c r="CG135" s="483">
        <f t="shared" si="232"/>
        <v>0</v>
      </c>
      <c r="CH135" s="483">
        <f t="shared" si="232"/>
        <v>0</v>
      </c>
      <c r="CI135" s="483">
        <f t="shared" si="232"/>
        <v>0</v>
      </c>
      <c r="CJ135" s="483">
        <f t="shared" si="232"/>
        <v>0</v>
      </c>
      <c r="CK135" s="483">
        <f t="shared" si="232"/>
        <v>0</v>
      </c>
      <c r="CL135" s="483">
        <f t="shared" si="232"/>
        <v>0</v>
      </c>
      <c r="CM135" s="483">
        <f t="shared" si="232"/>
        <v>0</v>
      </c>
      <c r="CN135" s="483">
        <f t="shared" si="232"/>
        <v>0</v>
      </c>
      <c r="CO135" s="483">
        <f t="shared" si="232"/>
        <v>0</v>
      </c>
      <c r="CP135" s="483">
        <f t="shared" si="232"/>
        <v>0</v>
      </c>
      <c r="CQ135" s="483">
        <f t="shared" si="232"/>
        <v>0</v>
      </c>
      <c r="CR135" s="483">
        <f t="shared" si="232"/>
        <v>0</v>
      </c>
      <c r="CS135" s="483"/>
      <c r="CT135" s="482"/>
      <c r="CU135" s="165"/>
    </row>
    <row r="136" spans="1:99" ht="23.45" customHeight="1" outlineLevel="1">
      <c r="A136" s="430" t="s">
        <v>45</v>
      </c>
      <c r="B136" s="456" t="s">
        <v>46</v>
      </c>
      <c r="C136" s="485"/>
      <c r="D136" s="485"/>
      <c r="E136" s="485"/>
      <c r="F136" s="485"/>
      <c r="G136" s="485"/>
      <c r="H136" s="485"/>
      <c r="I136" s="485"/>
      <c r="J136" s="485"/>
      <c r="K136" s="485"/>
      <c r="L136" s="485"/>
      <c r="M136" s="485"/>
      <c r="N136" s="72"/>
      <c r="O136" s="72"/>
      <c r="P136" s="99">
        <f>P137</f>
        <v>149125</v>
      </c>
      <c r="Q136" s="99">
        <f t="shared" ref="Q136:T136" si="233">Q137</f>
        <v>0</v>
      </c>
      <c r="R136" s="99">
        <f t="shared" si="233"/>
        <v>0</v>
      </c>
      <c r="S136" s="99">
        <f t="shared" si="233"/>
        <v>149125</v>
      </c>
      <c r="T136" s="99">
        <f t="shared" si="233"/>
        <v>0</v>
      </c>
      <c r="U136" s="99"/>
      <c r="V136" s="67"/>
      <c r="W136" s="67"/>
      <c r="X136" s="67"/>
      <c r="Y136" s="99">
        <f t="shared" ref="Y136:CJ136" si="234">Y137</f>
        <v>0</v>
      </c>
      <c r="Z136" s="99">
        <f t="shared" si="234"/>
        <v>0</v>
      </c>
      <c r="AA136" s="99">
        <f t="shared" si="234"/>
        <v>0</v>
      </c>
      <c r="AB136" s="99">
        <f t="shared" si="234"/>
        <v>0</v>
      </c>
      <c r="AC136" s="99">
        <f t="shared" si="234"/>
        <v>253</v>
      </c>
      <c r="AD136" s="99">
        <f t="shared" si="234"/>
        <v>0</v>
      </c>
      <c r="AE136" s="99">
        <f t="shared" si="234"/>
        <v>0</v>
      </c>
      <c r="AF136" s="99">
        <f t="shared" si="234"/>
        <v>253</v>
      </c>
      <c r="AG136" s="99">
        <f t="shared" si="234"/>
        <v>0</v>
      </c>
      <c r="AH136" s="99">
        <f t="shared" si="234"/>
        <v>0</v>
      </c>
      <c r="AI136" s="99">
        <f t="shared" si="234"/>
        <v>0</v>
      </c>
      <c r="AJ136" s="99">
        <f t="shared" si="234"/>
        <v>0</v>
      </c>
      <c r="AK136" s="99">
        <f t="shared" si="234"/>
        <v>253</v>
      </c>
      <c r="AL136" s="99">
        <f t="shared" si="234"/>
        <v>0</v>
      </c>
      <c r="AM136" s="99">
        <f t="shared" si="234"/>
        <v>253</v>
      </c>
      <c r="AN136" s="99">
        <f t="shared" si="234"/>
        <v>0</v>
      </c>
      <c r="AO136" s="99">
        <f t="shared" si="234"/>
        <v>0</v>
      </c>
      <c r="AP136" s="99">
        <f t="shared" si="234"/>
        <v>253</v>
      </c>
      <c r="AQ136" s="99">
        <f t="shared" si="234"/>
        <v>0</v>
      </c>
      <c r="AR136" s="99">
        <f t="shared" si="234"/>
        <v>0</v>
      </c>
      <c r="AS136" s="99">
        <f t="shared" si="234"/>
        <v>0</v>
      </c>
      <c r="AT136" s="99">
        <f t="shared" si="234"/>
        <v>253</v>
      </c>
      <c r="AU136" s="99">
        <f t="shared" si="234"/>
        <v>0</v>
      </c>
      <c r="AV136" s="99">
        <f t="shared" si="234"/>
        <v>253</v>
      </c>
      <c r="AW136" s="99">
        <f t="shared" si="234"/>
        <v>0</v>
      </c>
      <c r="AX136" s="99">
        <f t="shared" si="234"/>
        <v>0</v>
      </c>
      <c r="AY136" s="99">
        <f t="shared" si="234"/>
        <v>253</v>
      </c>
      <c r="AZ136" s="99">
        <f t="shared" si="234"/>
        <v>0</v>
      </c>
      <c r="BA136" s="99">
        <f t="shared" si="234"/>
        <v>0</v>
      </c>
      <c r="BB136" s="99">
        <f t="shared" si="234"/>
        <v>0</v>
      </c>
      <c r="BC136" s="99">
        <f t="shared" si="234"/>
        <v>253</v>
      </c>
      <c r="BD136" s="99">
        <f t="shared" si="234"/>
        <v>0</v>
      </c>
      <c r="BE136" s="99">
        <f t="shared" si="234"/>
        <v>100</v>
      </c>
      <c r="BF136" s="99">
        <f t="shared" si="234"/>
        <v>0</v>
      </c>
      <c r="BG136" s="99">
        <f t="shared" si="234"/>
        <v>0</v>
      </c>
      <c r="BH136" s="99">
        <f t="shared" si="234"/>
        <v>0</v>
      </c>
      <c r="BI136" s="99">
        <f t="shared" si="234"/>
        <v>0</v>
      </c>
      <c r="BJ136" s="99">
        <f t="shared" si="234"/>
        <v>0</v>
      </c>
      <c r="BK136" s="99">
        <f t="shared" si="234"/>
        <v>0</v>
      </c>
      <c r="BL136" s="99">
        <f t="shared" si="234"/>
        <v>0</v>
      </c>
      <c r="BM136" s="99">
        <f t="shared" si="234"/>
        <v>0</v>
      </c>
      <c r="BN136" s="99">
        <f t="shared" si="234"/>
        <v>0</v>
      </c>
      <c r="BO136" s="72">
        <f t="shared" si="234"/>
        <v>0</v>
      </c>
      <c r="BP136" s="72">
        <f t="shared" si="234"/>
        <v>0</v>
      </c>
      <c r="BQ136" s="72">
        <f t="shared" si="234"/>
        <v>0</v>
      </c>
      <c r="BR136" s="72">
        <f t="shared" si="234"/>
        <v>0</v>
      </c>
      <c r="BS136" s="72">
        <f t="shared" si="234"/>
        <v>0</v>
      </c>
      <c r="BT136" s="72">
        <f t="shared" si="234"/>
        <v>0</v>
      </c>
      <c r="BU136" s="72">
        <f t="shared" si="234"/>
        <v>0</v>
      </c>
      <c r="BV136" s="72">
        <f t="shared" si="234"/>
        <v>0</v>
      </c>
      <c r="BW136" s="72">
        <f t="shared" si="234"/>
        <v>0</v>
      </c>
      <c r="BX136" s="72">
        <f t="shared" si="234"/>
        <v>0</v>
      </c>
      <c r="BY136" s="72">
        <f t="shared" si="234"/>
        <v>0</v>
      </c>
      <c r="BZ136" s="491">
        <f t="shared" si="234"/>
        <v>0</v>
      </c>
      <c r="CA136" s="491">
        <f t="shared" si="234"/>
        <v>0</v>
      </c>
      <c r="CB136" s="491">
        <f t="shared" si="234"/>
        <v>0</v>
      </c>
      <c r="CC136" s="491">
        <f t="shared" si="234"/>
        <v>0</v>
      </c>
      <c r="CD136" s="491">
        <f t="shared" si="234"/>
        <v>0</v>
      </c>
      <c r="CE136" s="491">
        <f t="shared" si="234"/>
        <v>0</v>
      </c>
      <c r="CF136" s="491">
        <f t="shared" si="234"/>
        <v>0</v>
      </c>
      <c r="CG136" s="491">
        <f t="shared" si="234"/>
        <v>0</v>
      </c>
      <c r="CH136" s="491">
        <f t="shared" si="234"/>
        <v>0</v>
      </c>
      <c r="CI136" s="491">
        <f t="shared" si="234"/>
        <v>0</v>
      </c>
      <c r="CJ136" s="491">
        <f t="shared" si="234"/>
        <v>0</v>
      </c>
      <c r="CK136" s="491">
        <f t="shared" ref="CK136:CN136" si="235">CK137</f>
        <v>0</v>
      </c>
      <c r="CL136" s="491">
        <f t="shared" si="235"/>
        <v>0</v>
      </c>
      <c r="CM136" s="491">
        <f t="shared" si="235"/>
        <v>0</v>
      </c>
      <c r="CN136" s="491">
        <f t="shared" si="235"/>
        <v>0</v>
      </c>
      <c r="CO136" s="485"/>
      <c r="CP136" s="485"/>
      <c r="CQ136" s="485"/>
      <c r="CR136" s="485"/>
      <c r="CS136" s="485"/>
      <c r="CT136" s="485"/>
      <c r="CU136" s="166"/>
    </row>
    <row r="137" spans="1:99" ht="49.5" customHeight="1" outlineLevel="1">
      <c r="A137" s="183">
        <v>1</v>
      </c>
      <c r="B137" s="279" t="s">
        <v>3358</v>
      </c>
      <c r="C137" s="280" t="s">
        <v>3042</v>
      </c>
      <c r="D137" s="183" t="s">
        <v>3359</v>
      </c>
      <c r="E137" s="183" t="s">
        <v>3061</v>
      </c>
      <c r="F137" s="183" t="s">
        <v>49</v>
      </c>
      <c r="G137" s="183" t="s">
        <v>48</v>
      </c>
      <c r="H137" s="492"/>
      <c r="I137" s="184" t="s">
        <v>3360</v>
      </c>
      <c r="J137" s="183" t="s">
        <v>49</v>
      </c>
      <c r="K137" s="183" t="s">
        <v>3367</v>
      </c>
      <c r="L137" s="183" t="s">
        <v>3362</v>
      </c>
      <c r="M137" s="183">
        <v>2010</v>
      </c>
      <c r="N137" s="282"/>
      <c r="O137" s="282" t="s">
        <v>3363</v>
      </c>
      <c r="P137" s="283">
        <v>149125</v>
      </c>
      <c r="Q137" s="283"/>
      <c r="R137" s="283"/>
      <c r="S137" s="283">
        <v>149125</v>
      </c>
      <c r="T137" s="186">
        <v>0</v>
      </c>
      <c r="U137" s="186"/>
      <c r="V137" s="282" t="s">
        <v>3361</v>
      </c>
      <c r="W137" s="282" t="s">
        <v>3364</v>
      </c>
      <c r="X137" s="282" t="s">
        <v>3360</v>
      </c>
      <c r="Y137" s="283"/>
      <c r="Z137" s="283"/>
      <c r="AA137" s="283"/>
      <c r="AB137" s="283"/>
      <c r="AC137" s="186">
        <v>253</v>
      </c>
      <c r="AD137" s="283"/>
      <c r="AE137" s="283"/>
      <c r="AF137" s="186">
        <v>253</v>
      </c>
      <c r="AG137" s="283">
        <f t="shared" si="227"/>
        <v>0</v>
      </c>
      <c r="AH137" s="283"/>
      <c r="AI137" s="283"/>
      <c r="AJ137" s="283"/>
      <c r="AK137" s="283">
        <v>253</v>
      </c>
      <c r="AL137" s="186">
        <v>0</v>
      </c>
      <c r="AM137" s="186">
        <v>253</v>
      </c>
      <c r="AN137" s="283"/>
      <c r="AO137" s="283"/>
      <c r="AP137" s="186">
        <v>253</v>
      </c>
      <c r="AQ137" s="283"/>
      <c r="AR137" s="283"/>
      <c r="AS137" s="283"/>
      <c r="AT137" s="283">
        <v>253</v>
      </c>
      <c r="AU137" s="186">
        <v>0</v>
      </c>
      <c r="AV137" s="186">
        <v>253</v>
      </c>
      <c r="AW137" s="283"/>
      <c r="AX137" s="283"/>
      <c r="AY137" s="186">
        <v>253</v>
      </c>
      <c r="AZ137" s="283"/>
      <c r="BA137" s="283"/>
      <c r="BB137" s="283"/>
      <c r="BC137" s="283">
        <v>253</v>
      </c>
      <c r="BD137" s="186">
        <v>0</v>
      </c>
      <c r="BE137" s="186">
        <v>100</v>
      </c>
      <c r="BF137" s="186">
        <v>0</v>
      </c>
      <c r="BG137" s="283"/>
      <c r="BH137" s="283"/>
      <c r="BI137" s="186">
        <v>0</v>
      </c>
      <c r="BJ137" s="303">
        <f t="shared" si="228"/>
        <v>0</v>
      </c>
      <c r="BK137" s="283"/>
      <c r="BL137" s="283"/>
      <c r="BM137" s="283"/>
      <c r="BN137" s="283"/>
      <c r="BO137" s="186">
        <v>0</v>
      </c>
      <c r="BP137" s="284">
        <v>0</v>
      </c>
      <c r="BQ137" s="283"/>
      <c r="BR137" s="283"/>
      <c r="BS137" s="283"/>
      <c r="BT137" s="283"/>
      <c r="BU137" s="283"/>
      <c r="BV137" s="283"/>
      <c r="BW137" s="283"/>
      <c r="BX137" s="186">
        <v>0</v>
      </c>
      <c r="BY137" s="285"/>
      <c r="BZ137" s="286">
        <v>0</v>
      </c>
      <c r="CA137" s="287"/>
      <c r="CB137" s="287"/>
      <c r="CC137" s="287"/>
      <c r="CD137" s="187">
        <v>0</v>
      </c>
      <c r="CE137" s="286">
        <v>0</v>
      </c>
      <c r="CF137" s="287"/>
      <c r="CG137" s="287"/>
      <c r="CH137" s="287"/>
      <c r="CI137" s="187"/>
      <c r="CJ137" s="288"/>
      <c r="CK137" s="288"/>
      <c r="CL137" s="288"/>
      <c r="CM137" s="288"/>
      <c r="CN137" s="288"/>
      <c r="CO137" s="187">
        <v>0</v>
      </c>
      <c r="CP137" s="184"/>
      <c r="CQ137" s="184" t="s">
        <v>488</v>
      </c>
      <c r="CR137" s="289"/>
      <c r="CS137" s="289"/>
      <c r="CT137" s="291"/>
      <c r="CU137" s="160"/>
    </row>
    <row r="138" spans="1:99" ht="34.9" customHeight="1" outlineLevel="1">
      <c r="A138" s="430" t="s">
        <v>45</v>
      </c>
      <c r="B138" s="456" t="s">
        <v>3365</v>
      </c>
      <c r="C138" s="191"/>
      <c r="D138" s="192"/>
      <c r="E138" s="191"/>
      <c r="F138" s="191"/>
      <c r="G138" s="191"/>
      <c r="H138" s="486"/>
      <c r="I138" s="192"/>
      <c r="J138" s="191"/>
      <c r="K138" s="191"/>
      <c r="L138" s="191"/>
      <c r="M138" s="191"/>
      <c r="N138" s="298"/>
      <c r="O138" s="298"/>
      <c r="P138" s="194">
        <f>P139</f>
        <v>20220</v>
      </c>
      <c r="Q138" s="194">
        <f t="shared" ref="Q138:BN138" si="236">Q139</f>
        <v>0</v>
      </c>
      <c r="R138" s="194">
        <f t="shared" si="236"/>
        <v>0</v>
      </c>
      <c r="S138" s="194">
        <f t="shared" si="236"/>
        <v>20220</v>
      </c>
      <c r="T138" s="194">
        <f t="shared" si="236"/>
        <v>0</v>
      </c>
      <c r="U138" s="194">
        <f t="shared" si="236"/>
        <v>0</v>
      </c>
      <c r="V138" s="299" t="str">
        <f t="shared" si="236"/>
        <v>xã Đăk Hring</v>
      </c>
      <c r="W138" s="299" t="str">
        <f t="shared" si="236"/>
        <v>xã Đăk Mar</v>
      </c>
      <c r="X138" s="299" t="str">
        <f t="shared" si="236"/>
        <v>UBND xã Đăk Mar</v>
      </c>
      <c r="Y138" s="194">
        <f t="shared" si="236"/>
        <v>14000</v>
      </c>
      <c r="Z138" s="194">
        <f t="shared" si="236"/>
        <v>0</v>
      </c>
      <c r="AA138" s="194">
        <f t="shared" si="236"/>
        <v>0</v>
      </c>
      <c r="AB138" s="194">
        <f t="shared" si="236"/>
        <v>14000</v>
      </c>
      <c r="AC138" s="194">
        <f t="shared" si="236"/>
        <v>7000</v>
      </c>
      <c r="AD138" s="194">
        <f t="shared" si="236"/>
        <v>0</v>
      </c>
      <c r="AE138" s="194">
        <f t="shared" si="236"/>
        <v>0</v>
      </c>
      <c r="AF138" s="194">
        <f t="shared" si="236"/>
        <v>7000</v>
      </c>
      <c r="AG138" s="194">
        <f t="shared" si="236"/>
        <v>0</v>
      </c>
      <c r="AH138" s="194">
        <f t="shared" si="236"/>
        <v>0</v>
      </c>
      <c r="AI138" s="194">
        <f t="shared" si="236"/>
        <v>0</v>
      </c>
      <c r="AJ138" s="194">
        <f t="shared" si="236"/>
        <v>2000</v>
      </c>
      <c r="AK138" s="194">
        <f t="shared" si="236"/>
        <v>5000</v>
      </c>
      <c r="AL138" s="194">
        <f t="shared" si="236"/>
        <v>0</v>
      </c>
      <c r="AM138" s="194">
        <f t="shared" si="236"/>
        <v>2000</v>
      </c>
      <c r="AN138" s="194">
        <f t="shared" si="236"/>
        <v>0</v>
      </c>
      <c r="AO138" s="194">
        <f t="shared" si="236"/>
        <v>0</v>
      </c>
      <c r="AP138" s="194">
        <f t="shared" si="236"/>
        <v>2000</v>
      </c>
      <c r="AQ138" s="194">
        <f t="shared" si="236"/>
        <v>0</v>
      </c>
      <c r="AR138" s="194">
        <f t="shared" si="236"/>
        <v>0</v>
      </c>
      <c r="AS138" s="194">
        <f t="shared" si="236"/>
        <v>2000</v>
      </c>
      <c r="AT138" s="194">
        <f t="shared" si="236"/>
        <v>0</v>
      </c>
      <c r="AU138" s="194">
        <f t="shared" si="236"/>
        <v>0</v>
      </c>
      <c r="AV138" s="194">
        <f t="shared" si="236"/>
        <v>2000</v>
      </c>
      <c r="AW138" s="194">
        <f t="shared" si="236"/>
        <v>0</v>
      </c>
      <c r="AX138" s="194">
        <f t="shared" si="236"/>
        <v>0</v>
      </c>
      <c r="AY138" s="194">
        <f t="shared" si="236"/>
        <v>2000</v>
      </c>
      <c r="AZ138" s="194">
        <f t="shared" si="236"/>
        <v>0</v>
      </c>
      <c r="BA138" s="194">
        <f t="shared" si="236"/>
        <v>0</v>
      </c>
      <c r="BB138" s="194">
        <f t="shared" si="236"/>
        <v>2000</v>
      </c>
      <c r="BC138" s="194">
        <f t="shared" si="236"/>
        <v>0</v>
      </c>
      <c r="BD138" s="194">
        <f t="shared" si="236"/>
        <v>0</v>
      </c>
      <c r="BE138" s="194">
        <f t="shared" si="236"/>
        <v>100</v>
      </c>
      <c r="BF138" s="194">
        <f t="shared" si="236"/>
        <v>0</v>
      </c>
      <c r="BG138" s="194">
        <f t="shared" si="236"/>
        <v>0</v>
      </c>
      <c r="BH138" s="194">
        <f t="shared" si="236"/>
        <v>0</v>
      </c>
      <c r="BI138" s="194">
        <f t="shared" si="236"/>
        <v>0</v>
      </c>
      <c r="BJ138" s="194">
        <f t="shared" si="236"/>
        <v>0</v>
      </c>
      <c r="BK138" s="194">
        <f t="shared" si="236"/>
        <v>0</v>
      </c>
      <c r="BL138" s="194">
        <f t="shared" si="236"/>
        <v>0</v>
      </c>
      <c r="BM138" s="194">
        <f t="shared" si="236"/>
        <v>0</v>
      </c>
      <c r="BN138" s="194">
        <f t="shared" si="236"/>
        <v>0</v>
      </c>
      <c r="BO138" s="311">
        <f t="shared" ref="BO138:CN138" si="237">SUM(BO140:BO166)</f>
        <v>570</v>
      </c>
      <c r="BP138" s="311">
        <f t="shared" si="237"/>
        <v>2381.8141959999998</v>
      </c>
      <c r="BQ138" s="311">
        <f t="shared" si="237"/>
        <v>0</v>
      </c>
      <c r="BR138" s="311">
        <f t="shared" si="237"/>
        <v>0</v>
      </c>
      <c r="BS138" s="311">
        <f t="shared" si="237"/>
        <v>2381.8141959999998</v>
      </c>
      <c r="BT138" s="311">
        <f t="shared" si="237"/>
        <v>0</v>
      </c>
      <c r="BU138" s="311">
        <f t="shared" si="237"/>
        <v>0</v>
      </c>
      <c r="BV138" s="311">
        <f t="shared" si="237"/>
        <v>2381.8141959999998</v>
      </c>
      <c r="BW138" s="311">
        <f t="shared" si="237"/>
        <v>0</v>
      </c>
      <c r="BX138" s="311">
        <f t="shared" si="237"/>
        <v>570</v>
      </c>
      <c r="BY138" s="311">
        <f t="shared" si="237"/>
        <v>1580.5054650491047</v>
      </c>
      <c r="BZ138" s="196">
        <f t="shared" si="237"/>
        <v>0</v>
      </c>
      <c r="CA138" s="196">
        <f t="shared" si="237"/>
        <v>0</v>
      </c>
      <c r="CB138" s="196">
        <f t="shared" si="237"/>
        <v>0</v>
      </c>
      <c r="CC138" s="196">
        <f t="shared" si="237"/>
        <v>0</v>
      </c>
      <c r="CD138" s="196">
        <f t="shared" si="237"/>
        <v>0</v>
      </c>
      <c r="CE138" s="196">
        <f t="shared" si="237"/>
        <v>0</v>
      </c>
      <c r="CF138" s="196">
        <f t="shared" si="237"/>
        <v>0</v>
      </c>
      <c r="CG138" s="196">
        <f t="shared" si="237"/>
        <v>0</v>
      </c>
      <c r="CH138" s="196">
        <f t="shared" si="237"/>
        <v>0</v>
      </c>
      <c r="CI138" s="196">
        <f t="shared" si="237"/>
        <v>0</v>
      </c>
      <c r="CJ138" s="196">
        <f t="shared" si="237"/>
        <v>0</v>
      </c>
      <c r="CK138" s="196">
        <f t="shared" si="237"/>
        <v>0</v>
      </c>
      <c r="CL138" s="196">
        <f t="shared" si="237"/>
        <v>0</v>
      </c>
      <c r="CM138" s="196">
        <f t="shared" si="237"/>
        <v>0</v>
      </c>
      <c r="CN138" s="196">
        <f t="shared" si="237"/>
        <v>0</v>
      </c>
      <c r="CO138" s="195"/>
      <c r="CP138" s="192"/>
      <c r="CQ138" s="192"/>
      <c r="CR138" s="312"/>
      <c r="CS138" s="312"/>
      <c r="CT138" s="301"/>
      <c r="CU138" s="161"/>
    </row>
    <row r="139" spans="1:99" ht="54.75" customHeight="1" outlineLevel="1">
      <c r="A139" s="183">
        <v>1</v>
      </c>
      <c r="B139" s="279" t="s">
        <v>3366</v>
      </c>
      <c r="C139" s="183" t="s">
        <v>304</v>
      </c>
      <c r="D139" s="184" t="s">
        <v>3060</v>
      </c>
      <c r="E139" s="183" t="s">
        <v>3061</v>
      </c>
      <c r="F139" s="183" t="s">
        <v>49</v>
      </c>
      <c r="G139" s="183" t="s">
        <v>48</v>
      </c>
      <c r="H139" s="183"/>
      <c r="I139" s="184" t="s">
        <v>3360</v>
      </c>
      <c r="J139" s="183" t="s">
        <v>49</v>
      </c>
      <c r="K139" s="280" t="s">
        <v>3367</v>
      </c>
      <c r="L139" s="280" t="s">
        <v>69</v>
      </c>
      <c r="M139" s="280">
        <v>2019</v>
      </c>
      <c r="N139" s="282"/>
      <c r="O139" s="282" t="s">
        <v>3368</v>
      </c>
      <c r="P139" s="186">
        <v>20220</v>
      </c>
      <c r="Q139" s="186"/>
      <c r="R139" s="186"/>
      <c r="S139" s="186">
        <v>20220</v>
      </c>
      <c r="T139" s="186">
        <v>0</v>
      </c>
      <c r="U139" s="186"/>
      <c r="V139" s="282" t="s">
        <v>3367</v>
      </c>
      <c r="W139" s="282" t="s">
        <v>3364</v>
      </c>
      <c r="X139" s="282" t="s">
        <v>3360</v>
      </c>
      <c r="Y139" s="186">
        <v>14000</v>
      </c>
      <c r="Z139" s="186"/>
      <c r="AA139" s="186"/>
      <c r="AB139" s="186">
        <v>14000</v>
      </c>
      <c r="AC139" s="186">
        <v>7000</v>
      </c>
      <c r="AD139" s="186"/>
      <c r="AE139" s="186"/>
      <c r="AF139" s="186">
        <v>7000</v>
      </c>
      <c r="AG139" s="283"/>
      <c r="AH139" s="186"/>
      <c r="AI139" s="186"/>
      <c r="AJ139" s="186">
        <v>2000</v>
      </c>
      <c r="AK139" s="186">
        <v>5000</v>
      </c>
      <c r="AL139" s="186">
        <v>0</v>
      </c>
      <c r="AM139" s="186">
        <v>2000</v>
      </c>
      <c r="AN139" s="186"/>
      <c r="AO139" s="186"/>
      <c r="AP139" s="186">
        <v>2000</v>
      </c>
      <c r="AQ139" s="186"/>
      <c r="AR139" s="186"/>
      <c r="AS139" s="186">
        <v>2000</v>
      </c>
      <c r="AT139" s="186"/>
      <c r="AU139" s="186">
        <v>0</v>
      </c>
      <c r="AV139" s="186">
        <v>2000</v>
      </c>
      <c r="AW139" s="186"/>
      <c r="AX139" s="186"/>
      <c r="AY139" s="186">
        <v>2000</v>
      </c>
      <c r="AZ139" s="186"/>
      <c r="BA139" s="186"/>
      <c r="BB139" s="186">
        <v>2000</v>
      </c>
      <c r="BC139" s="186"/>
      <c r="BD139" s="186">
        <v>0</v>
      </c>
      <c r="BE139" s="186">
        <v>100</v>
      </c>
      <c r="BF139" s="186">
        <v>0</v>
      </c>
      <c r="BG139" s="186"/>
      <c r="BH139" s="186"/>
      <c r="BI139" s="186">
        <v>0</v>
      </c>
      <c r="BJ139" s="283">
        <f t="shared" ref="BJ139" si="238">BK139+BL139</f>
        <v>0</v>
      </c>
      <c r="BK139" s="186"/>
      <c r="BL139" s="186"/>
      <c r="BM139" s="186"/>
      <c r="BN139" s="186"/>
      <c r="BO139" s="186">
        <v>0</v>
      </c>
      <c r="BP139" s="284">
        <v>0</v>
      </c>
      <c r="BQ139" s="186"/>
      <c r="BR139" s="186"/>
      <c r="BS139" s="186"/>
      <c r="BT139" s="186"/>
      <c r="BU139" s="186"/>
      <c r="BV139" s="186"/>
      <c r="BW139" s="186"/>
      <c r="BX139" s="186">
        <v>0</v>
      </c>
      <c r="BY139" s="285"/>
      <c r="BZ139" s="286">
        <v>0</v>
      </c>
      <c r="CA139" s="187"/>
      <c r="CB139" s="187"/>
      <c r="CC139" s="187"/>
      <c r="CD139" s="187">
        <v>0</v>
      </c>
      <c r="CE139" s="286">
        <v>0</v>
      </c>
      <c r="CF139" s="187"/>
      <c r="CG139" s="187"/>
      <c r="CH139" s="187"/>
      <c r="CI139" s="187"/>
      <c r="CJ139" s="288"/>
      <c r="CK139" s="288"/>
      <c r="CL139" s="288"/>
      <c r="CM139" s="288"/>
      <c r="CN139" s="288"/>
      <c r="CO139" s="187">
        <v>0</v>
      </c>
      <c r="CP139" s="184"/>
      <c r="CQ139" s="184" t="s">
        <v>488</v>
      </c>
      <c r="CR139" s="280"/>
      <c r="CS139" s="280"/>
      <c r="CT139" s="291"/>
      <c r="CU139" s="160"/>
    </row>
    <row r="140" spans="1:99" ht="34.9" customHeight="1" outlineLevel="1">
      <c r="A140" s="430" t="s">
        <v>45</v>
      </c>
      <c r="B140" s="456" t="s">
        <v>3065</v>
      </c>
      <c r="C140" s="191"/>
      <c r="D140" s="192"/>
      <c r="E140" s="191"/>
      <c r="F140" s="191"/>
      <c r="G140" s="191"/>
      <c r="H140" s="486"/>
      <c r="I140" s="192"/>
      <c r="J140" s="191"/>
      <c r="K140" s="191"/>
      <c r="L140" s="191"/>
      <c r="M140" s="191"/>
      <c r="N140" s="298"/>
      <c r="O140" s="298"/>
      <c r="P140" s="194">
        <f t="shared" ref="P140:BN140" si="239">SUM(P141:P155)</f>
        <v>53426.933000000005</v>
      </c>
      <c r="Q140" s="194">
        <f t="shared" si="239"/>
        <v>0</v>
      </c>
      <c r="R140" s="194">
        <f t="shared" si="239"/>
        <v>0</v>
      </c>
      <c r="S140" s="194">
        <f t="shared" si="239"/>
        <v>52641.933000000005</v>
      </c>
      <c r="T140" s="194">
        <f t="shared" si="239"/>
        <v>785</v>
      </c>
      <c r="U140" s="194">
        <f t="shared" si="239"/>
        <v>0</v>
      </c>
      <c r="V140" s="299">
        <f t="shared" si="239"/>
        <v>0</v>
      </c>
      <c r="W140" s="299">
        <f t="shared" si="239"/>
        <v>0</v>
      </c>
      <c r="X140" s="299">
        <f t="shared" si="239"/>
        <v>0</v>
      </c>
      <c r="Y140" s="194">
        <f t="shared" si="239"/>
        <v>0</v>
      </c>
      <c r="Z140" s="194">
        <f t="shared" si="239"/>
        <v>0</v>
      </c>
      <c r="AA140" s="194">
        <f t="shared" si="239"/>
        <v>0</v>
      </c>
      <c r="AB140" s="194">
        <f t="shared" si="239"/>
        <v>0</v>
      </c>
      <c r="AC140" s="194">
        <f t="shared" si="239"/>
        <v>51646.933000000005</v>
      </c>
      <c r="AD140" s="194">
        <f t="shared" si="239"/>
        <v>0</v>
      </c>
      <c r="AE140" s="194">
        <f t="shared" si="239"/>
        <v>0</v>
      </c>
      <c r="AF140" s="194">
        <f t="shared" si="239"/>
        <v>51646.933000000005</v>
      </c>
      <c r="AG140" s="194">
        <f t="shared" si="239"/>
        <v>17000</v>
      </c>
      <c r="AH140" s="194">
        <f t="shared" si="239"/>
        <v>15560</v>
      </c>
      <c r="AI140" s="194">
        <f t="shared" si="239"/>
        <v>1440</v>
      </c>
      <c r="AJ140" s="194">
        <f t="shared" si="239"/>
        <v>31405.933000000001</v>
      </c>
      <c r="AK140" s="194">
        <f t="shared" si="239"/>
        <v>3241</v>
      </c>
      <c r="AL140" s="194">
        <f t="shared" si="239"/>
        <v>785</v>
      </c>
      <c r="AM140" s="194">
        <f t="shared" si="239"/>
        <v>48361.618000000002</v>
      </c>
      <c r="AN140" s="194">
        <f t="shared" si="239"/>
        <v>0</v>
      </c>
      <c r="AO140" s="194">
        <f t="shared" si="239"/>
        <v>0</v>
      </c>
      <c r="AP140" s="194">
        <f t="shared" si="239"/>
        <v>48361.618000000002</v>
      </c>
      <c r="AQ140" s="194">
        <f t="shared" si="239"/>
        <v>15560</v>
      </c>
      <c r="AR140" s="194">
        <f t="shared" si="239"/>
        <v>1440</v>
      </c>
      <c r="AS140" s="194">
        <f t="shared" si="239"/>
        <v>31361.618000000002</v>
      </c>
      <c r="AT140" s="194">
        <f t="shared" si="239"/>
        <v>0</v>
      </c>
      <c r="AU140" s="194">
        <f t="shared" si="239"/>
        <v>785</v>
      </c>
      <c r="AV140" s="194">
        <f t="shared" si="239"/>
        <v>48338.840098000001</v>
      </c>
      <c r="AW140" s="194">
        <f t="shared" si="239"/>
        <v>0</v>
      </c>
      <c r="AX140" s="194">
        <f t="shared" si="239"/>
        <v>0</v>
      </c>
      <c r="AY140" s="194">
        <f t="shared" si="239"/>
        <v>48338.840098000001</v>
      </c>
      <c r="AZ140" s="194">
        <f t="shared" si="239"/>
        <v>15560</v>
      </c>
      <c r="BA140" s="194">
        <f t="shared" si="239"/>
        <v>1440</v>
      </c>
      <c r="BB140" s="194">
        <f t="shared" si="239"/>
        <v>31338.840098000001</v>
      </c>
      <c r="BC140" s="194">
        <f t="shared" si="239"/>
        <v>0</v>
      </c>
      <c r="BD140" s="194">
        <f t="shared" si="239"/>
        <v>785</v>
      </c>
      <c r="BE140" s="194">
        <f t="shared" si="239"/>
        <v>1495.7319576154473</v>
      </c>
      <c r="BF140" s="194">
        <f t="shared" si="239"/>
        <v>1213.6849999999999</v>
      </c>
      <c r="BG140" s="194">
        <f t="shared" si="239"/>
        <v>0</v>
      </c>
      <c r="BH140" s="194">
        <f t="shared" si="239"/>
        <v>0</v>
      </c>
      <c r="BI140" s="194">
        <f t="shared" si="239"/>
        <v>1213.6849999999999</v>
      </c>
      <c r="BJ140" s="194">
        <f t="shared" si="239"/>
        <v>0</v>
      </c>
      <c r="BK140" s="194">
        <f t="shared" si="239"/>
        <v>0</v>
      </c>
      <c r="BL140" s="194">
        <f t="shared" si="239"/>
        <v>0</v>
      </c>
      <c r="BM140" s="194">
        <f t="shared" si="239"/>
        <v>1213.6849999999999</v>
      </c>
      <c r="BN140" s="194">
        <f t="shared" si="239"/>
        <v>0</v>
      </c>
      <c r="BO140" s="311">
        <f t="shared" ref="BO140:CN140" si="240">SUM(BO141:BO167)</f>
        <v>285</v>
      </c>
      <c r="BP140" s="311">
        <f t="shared" si="240"/>
        <v>1190.9070979999999</v>
      </c>
      <c r="BQ140" s="311">
        <f t="shared" si="240"/>
        <v>0</v>
      </c>
      <c r="BR140" s="311">
        <f t="shared" si="240"/>
        <v>0</v>
      </c>
      <c r="BS140" s="311">
        <f t="shared" si="240"/>
        <v>1190.9070979999999</v>
      </c>
      <c r="BT140" s="311">
        <f t="shared" si="240"/>
        <v>0</v>
      </c>
      <c r="BU140" s="311">
        <f t="shared" si="240"/>
        <v>0</v>
      </c>
      <c r="BV140" s="311">
        <f t="shared" si="240"/>
        <v>1190.9070979999999</v>
      </c>
      <c r="BW140" s="311">
        <f t="shared" si="240"/>
        <v>0</v>
      </c>
      <c r="BX140" s="311">
        <f t="shared" si="240"/>
        <v>285</v>
      </c>
      <c r="BY140" s="311">
        <f t="shared" si="240"/>
        <v>790.25273252455224</v>
      </c>
      <c r="BZ140" s="196">
        <f t="shared" si="240"/>
        <v>0</v>
      </c>
      <c r="CA140" s="196">
        <f t="shared" si="240"/>
        <v>0</v>
      </c>
      <c r="CB140" s="196">
        <f t="shared" si="240"/>
        <v>0</v>
      </c>
      <c r="CC140" s="196">
        <f t="shared" si="240"/>
        <v>0</v>
      </c>
      <c r="CD140" s="196">
        <f t="shared" si="240"/>
        <v>0</v>
      </c>
      <c r="CE140" s="196">
        <f t="shared" si="240"/>
        <v>0</v>
      </c>
      <c r="CF140" s="196">
        <f t="shared" si="240"/>
        <v>0</v>
      </c>
      <c r="CG140" s="196">
        <f t="shared" si="240"/>
        <v>0</v>
      </c>
      <c r="CH140" s="196">
        <f t="shared" si="240"/>
        <v>0</v>
      </c>
      <c r="CI140" s="196">
        <f t="shared" si="240"/>
        <v>0</v>
      </c>
      <c r="CJ140" s="196">
        <f t="shared" si="240"/>
        <v>0</v>
      </c>
      <c r="CK140" s="196">
        <f t="shared" si="240"/>
        <v>0</v>
      </c>
      <c r="CL140" s="196">
        <f t="shared" si="240"/>
        <v>0</v>
      </c>
      <c r="CM140" s="196">
        <f t="shared" si="240"/>
        <v>0</v>
      </c>
      <c r="CN140" s="196">
        <f t="shared" si="240"/>
        <v>0</v>
      </c>
      <c r="CO140" s="195"/>
      <c r="CP140" s="192"/>
      <c r="CQ140" s="192"/>
      <c r="CR140" s="312"/>
      <c r="CS140" s="312"/>
      <c r="CT140" s="301"/>
      <c r="CU140" s="161"/>
    </row>
    <row r="141" spans="1:99" ht="74.25" customHeight="1" outlineLevel="1">
      <c r="A141" s="183">
        <v>1</v>
      </c>
      <c r="B141" s="279" t="s">
        <v>3369</v>
      </c>
      <c r="C141" s="183" t="s">
        <v>304</v>
      </c>
      <c r="D141" s="183" t="s">
        <v>3682</v>
      </c>
      <c r="E141" s="183" t="s">
        <v>3061</v>
      </c>
      <c r="F141" s="183" t="s">
        <v>49</v>
      </c>
      <c r="G141" s="183" t="s">
        <v>48</v>
      </c>
      <c r="H141" s="423">
        <v>7963839</v>
      </c>
      <c r="I141" s="184" t="s">
        <v>3360</v>
      </c>
      <c r="J141" s="183" t="s">
        <v>49</v>
      </c>
      <c r="K141" s="183" t="s">
        <v>3370</v>
      </c>
      <c r="L141" s="183" t="s">
        <v>52</v>
      </c>
      <c r="M141" s="183">
        <v>2022</v>
      </c>
      <c r="N141" s="282"/>
      <c r="O141" s="282" t="s">
        <v>3371</v>
      </c>
      <c r="P141" s="283">
        <v>17455</v>
      </c>
      <c r="Q141" s="283"/>
      <c r="R141" s="283"/>
      <c r="S141" s="283">
        <v>17455</v>
      </c>
      <c r="T141" s="186">
        <v>0</v>
      </c>
      <c r="U141" s="186"/>
      <c r="V141" s="282" t="s">
        <v>3370</v>
      </c>
      <c r="W141" s="282" t="s">
        <v>3364</v>
      </c>
      <c r="X141" s="282" t="s">
        <v>3360</v>
      </c>
      <c r="Y141" s="186"/>
      <c r="Z141" s="186"/>
      <c r="AA141" s="186"/>
      <c r="AB141" s="186"/>
      <c r="AC141" s="186">
        <v>17455</v>
      </c>
      <c r="AD141" s="283"/>
      <c r="AE141" s="283"/>
      <c r="AF141" s="186">
        <v>17455</v>
      </c>
      <c r="AG141" s="283">
        <f t="shared" si="227"/>
        <v>0</v>
      </c>
      <c r="AH141" s="283"/>
      <c r="AI141" s="186"/>
      <c r="AJ141" s="283">
        <v>17455</v>
      </c>
      <c r="AK141" s="283"/>
      <c r="AL141" s="186">
        <v>0</v>
      </c>
      <c r="AM141" s="186">
        <v>17455</v>
      </c>
      <c r="AN141" s="283"/>
      <c r="AO141" s="283"/>
      <c r="AP141" s="186">
        <v>17455</v>
      </c>
      <c r="AQ141" s="283"/>
      <c r="AR141" s="283"/>
      <c r="AS141" s="283">
        <v>17455</v>
      </c>
      <c r="AT141" s="283"/>
      <c r="AU141" s="186">
        <v>0</v>
      </c>
      <c r="AV141" s="186">
        <v>17455</v>
      </c>
      <c r="AW141" s="283"/>
      <c r="AX141" s="283"/>
      <c r="AY141" s="186">
        <v>17455</v>
      </c>
      <c r="AZ141" s="283"/>
      <c r="BA141" s="283"/>
      <c r="BB141" s="283">
        <v>17455</v>
      </c>
      <c r="BC141" s="283"/>
      <c r="BD141" s="186">
        <v>0</v>
      </c>
      <c r="BE141" s="186">
        <v>100</v>
      </c>
      <c r="BF141" s="186">
        <v>0</v>
      </c>
      <c r="BG141" s="283"/>
      <c r="BH141" s="283"/>
      <c r="BI141" s="186">
        <v>0</v>
      </c>
      <c r="BJ141" s="283">
        <f t="shared" si="228"/>
        <v>0</v>
      </c>
      <c r="BK141" s="283"/>
      <c r="BL141" s="283"/>
      <c r="BM141" s="283"/>
      <c r="BN141" s="283"/>
      <c r="BO141" s="186">
        <v>0</v>
      </c>
      <c r="BP141" s="284">
        <v>0</v>
      </c>
      <c r="BQ141" s="283"/>
      <c r="BR141" s="283"/>
      <c r="BS141" s="283"/>
      <c r="BT141" s="283"/>
      <c r="BU141" s="283"/>
      <c r="BV141" s="283"/>
      <c r="BW141" s="283"/>
      <c r="BX141" s="186">
        <v>0</v>
      </c>
      <c r="BY141" s="285"/>
      <c r="BZ141" s="286">
        <v>0</v>
      </c>
      <c r="CA141" s="287"/>
      <c r="CB141" s="287"/>
      <c r="CC141" s="287"/>
      <c r="CD141" s="187">
        <v>0</v>
      </c>
      <c r="CE141" s="286">
        <v>0</v>
      </c>
      <c r="CF141" s="287"/>
      <c r="CG141" s="287"/>
      <c r="CH141" s="287"/>
      <c r="CI141" s="187"/>
      <c r="CJ141" s="288"/>
      <c r="CK141" s="288"/>
      <c r="CL141" s="288"/>
      <c r="CM141" s="288"/>
      <c r="CN141" s="288"/>
      <c r="CO141" s="187">
        <v>0</v>
      </c>
      <c r="CP141" s="184"/>
      <c r="CQ141" s="184" t="s">
        <v>488</v>
      </c>
      <c r="CR141" s="280"/>
      <c r="CS141" s="280"/>
      <c r="CT141" s="291"/>
      <c r="CU141" s="160"/>
    </row>
    <row r="142" spans="1:99" ht="60.75" customHeight="1" outlineLevel="1">
      <c r="A142" s="183">
        <v>2</v>
      </c>
      <c r="B142" s="313" t="s">
        <v>3372</v>
      </c>
      <c r="C142" s="183" t="s">
        <v>304</v>
      </c>
      <c r="D142" s="183" t="s">
        <v>3373</v>
      </c>
      <c r="E142" s="280" t="s">
        <v>3061</v>
      </c>
      <c r="F142" s="183" t="s">
        <v>49</v>
      </c>
      <c r="G142" s="183" t="s">
        <v>48</v>
      </c>
      <c r="H142" s="428">
        <v>7900928</v>
      </c>
      <c r="I142" s="184" t="s">
        <v>3360</v>
      </c>
      <c r="J142" s="183" t="s">
        <v>49</v>
      </c>
      <c r="K142" s="183" t="s">
        <v>3367</v>
      </c>
      <c r="L142" s="183" t="s">
        <v>73</v>
      </c>
      <c r="M142" s="183">
        <v>2021</v>
      </c>
      <c r="N142" s="282"/>
      <c r="O142" s="282" t="s">
        <v>3374</v>
      </c>
      <c r="P142" s="186">
        <v>6286.933</v>
      </c>
      <c r="Q142" s="186"/>
      <c r="R142" s="186"/>
      <c r="S142" s="186">
        <v>6286.933</v>
      </c>
      <c r="T142" s="186">
        <v>0</v>
      </c>
      <c r="U142" s="186"/>
      <c r="V142" s="282" t="s">
        <v>3367</v>
      </c>
      <c r="W142" s="282" t="s">
        <v>3364</v>
      </c>
      <c r="X142" s="282" t="s">
        <v>3360</v>
      </c>
      <c r="Y142" s="186"/>
      <c r="Z142" s="186"/>
      <c r="AA142" s="186"/>
      <c r="AB142" s="186"/>
      <c r="AC142" s="186">
        <v>6286.933</v>
      </c>
      <c r="AD142" s="186"/>
      <c r="AE142" s="186"/>
      <c r="AF142" s="186">
        <v>6286.933</v>
      </c>
      <c r="AG142" s="283">
        <f t="shared" si="227"/>
        <v>0</v>
      </c>
      <c r="AH142" s="186"/>
      <c r="AI142" s="186"/>
      <c r="AJ142" s="186">
        <v>6286.933</v>
      </c>
      <c r="AK142" s="186"/>
      <c r="AL142" s="186">
        <v>0</v>
      </c>
      <c r="AM142" s="186">
        <v>6286.933</v>
      </c>
      <c r="AN142" s="186"/>
      <c r="AO142" s="186"/>
      <c r="AP142" s="186">
        <v>6286.933</v>
      </c>
      <c r="AQ142" s="186"/>
      <c r="AR142" s="186"/>
      <c r="AS142" s="186">
        <v>6286.933</v>
      </c>
      <c r="AT142" s="186"/>
      <c r="AU142" s="186">
        <v>0</v>
      </c>
      <c r="AV142" s="186">
        <v>6286.933</v>
      </c>
      <c r="AW142" s="186"/>
      <c r="AX142" s="186"/>
      <c r="AY142" s="186">
        <v>6286.933</v>
      </c>
      <c r="AZ142" s="186"/>
      <c r="BA142" s="186"/>
      <c r="BB142" s="186">
        <v>6286.933</v>
      </c>
      <c r="BC142" s="186"/>
      <c r="BD142" s="186">
        <v>0</v>
      </c>
      <c r="BE142" s="186">
        <v>100</v>
      </c>
      <c r="BF142" s="186">
        <v>0</v>
      </c>
      <c r="BG142" s="186"/>
      <c r="BH142" s="186"/>
      <c r="BI142" s="186">
        <v>0</v>
      </c>
      <c r="BJ142" s="283">
        <f t="shared" si="228"/>
        <v>0</v>
      </c>
      <c r="BK142" s="186"/>
      <c r="BL142" s="186"/>
      <c r="BM142" s="186"/>
      <c r="BN142" s="186"/>
      <c r="BO142" s="186">
        <v>0</v>
      </c>
      <c r="BP142" s="284">
        <v>0</v>
      </c>
      <c r="BQ142" s="284"/>
      <c r="BR142" s="284"/>
      <c r="BS142" s="284"/>
      <c r="BT142" s="284"/>
      <c r="BU142" s="284"/>
      <c r="BV142" s="284"/>
      <c r="BW142" s="284"/>
      <c r="BX142" s="186">
        <v>0</v>
      </c>
      <c r="BY142" s="285"/>
      <c r="BZ142" s="286">
        <v>0</v>
      </c>
      <c r="CA142" s="286"/>
      <c r="CB142" s="286"/>
      <c r="CC142" s="286"/>
      <c r="CD142" s="187">
        <v>0</v>
      </c>
      <c r="CE142" s="286">
        <v>0</v>
      </c>
      <c r="CF142" s="286"/>
      <c r="CG142" s="286"/>
      <c r="CH142" s="286"/>
      <c r="CI142" s="187"/>
      <c r="CJ142" s="288"/>
      <c r="CK142" s="288"/>
      <c r="CL142" s="288"/>
      <c r="CM142" s="288"/>
      <c r="CN142" s="288"/>
      <c r="CO142" s="187">
        <v>0</v>
      </c>
      <c r="CP142" s="184"/>
      <c r="CQ142" s="184" t="s">
        <v>488</v>
      </c>
      <c r="CR142" s="304"/>
      <c r="CS142" s="304"/>
      <c r="CT142" s="291"/>
      <c r="CU142" s="160"/>
    </row>
    <row r="143" spans="1:99" ht="60.75" customHeight="1" outlineLevel="1">
      <c r="A143" s="183">
        <v>3</v>
      </c>
      <c r="B143" s="292" t="s">
        <v>3375</v>
      </c>
      <c r="C143" s="183" t="s">
        <v>304</v>
      </c>
      <c r="D143" s="302" t="s">
        <v>3376</v>
      </c>
      <c r="E143" s="183" t="s">
        <v>3061</v>
      </c>
      <c r="F143" s="183" t="s">
        <v>49</v>
      </c>
      <c r="G143" s="183" t="s">
        <v>3377</v>
      </c>
      <c r="H143" s="183"/>
      <c r="I143" s="184" t="s">
        <v>3360</v>
      </c>
      <c r="J143" s="183" t="s">
        <v>49</v>
      </c>
      <c r="K143" s="183" t="s">
        <v>3364</v>
      </c>
      <c r="L143" s="183" t="s">
        <v>75</v>
      </c>
      <c r="M143" s="183">
        <v>2022</v>
      </c>
      <c r="N143" s="282"/>
      <c r="O143" s="282" t="s">
        <v>3378</v>
      </c>
      <c r="P143" s="283">
        <v>3571</v>
      </c>
      <c r="Q143" s="283"/>
      <c r="R143" s="283"/>
      <c r="S143" s="283">
        <v>3571</v>
      </c>
      <c r="T143" s="186">
        <v>0</v>
      </c>
      <c r="U143" s="186"/>
      <c r="V143" s="282" t="s">
        <v>3364</v>
      </c>
      <c r="W143" s="282" t="s">
        <v>3364</v>
      </c>
      <c r="X143" s="282" t="s">
        <v>3360</v>
      </c>
      <c r="Y143" s="283"/>
      <c r="Z143" s="283"/>
      <c r="AA143" s="283"/>
      <c r="AB143" s="283"/>
      <c r="AC143" s="186">
        <v>3571</v>
      </c>
      <c r="AD143" s="283"/>
      <c r="AE143" s="283"/>
      <c r="AF143" s="186">
        <v>3571</v>
      </c>
      <c r="AG143" s="283">
        <f t="shared" si="227"/>
        <v>0</v>
      </c>
      <c r="AH143" s="283"/>
      <c r="AI143" s="283"/>
      <c r="AJ143" s="283">
        <v>3571</v>
      </c>
      <c r="AK143" s="283"/>
      <c r="AL143" s="186">
        <v>0</v>
      </c>
      <c r="AM143" s="186">
        <v>3571</v>
      </c>
      <c r="AN143" s="283"/>
      <c r="AO143" s="283"/>
      <c r="AP143" s="186">
        <v>3571</v>
      </c>
      <c r="AQ143" s="283"/>
      <c r="AR143" s="283"/>
      <c r="AS143" s="283">
        <v>3571</v>
      </c>
      <c r="AT143" s="283"/>
      <c r="AU143" s="186">
        <v>0</v>
      </c>
      <c r="AV143" s="186">
        <v>3571</v>
      </c>
      <c r="AW143" s="283"/>
      <c r="AX143" s="283"/>
      <c r="AY143" s="186">
        <v>3571</v>
      </c>
      <c r="AZ143" s="283"/>
      <c r="BA143" s="283"/>
      <c r="BB143" s="283">
        <v>3571</v>
      </c>
      <c r="BC143" s="283"/>
      <c r="BD143" s="186">
        <v>0</v>
      </c>
      <c r="BE143" s="186">
        <v>100</v>
      </c>
      <c r="BF143" s="186">
        <v>0</v>
      </c>
      <c r="BG143" s="283"/>
      <c r="BH143" s="283"/>
      <c r="BI143" s="186">
        <v>0</v>
      </c>
      <c r="BJ143" s="283">
        <f t="shared" si="228"/>
        <v>0</v>
      </c>
      <c r="BK143" s="283"/>
      <c r="BL143" s="283"/>
      <c r="BM143" s="283"/>
      <c r="BN143" s="283"/>
      <c r="BO143" s="186">
        <v>0</v>
      </c>
      <c r="BP143" s="284">
        <v>0</v>
      </c>
      <c r="BQ143" s="283"/>
      <c r="BR143" s="283"/>
      <c r="BS143" s="283"/>
      <c r="BT143" s="283"/>
      <c r="BU143" s="283"/>
      <c r="BV143" s="283"/>
      <c r="BW143" s="283"/>
      <c r="BX143" s="186">
        <v>0</v>
      </c>
      <c r="BY143" s="285"/>
      <c r="BZ143" s="286">
        <v>0</v>
      </c>
      <c r="CA143" s="287"/>
      <c r="CB143" s="287"/>
      <c r="CC143" s="287"/>
      <c r="CD143" s="187">
        <v>0</v>
      </c>
      <c r="CE143" s="286">
        <v>0</v>
      </c>
      <c r="CF143" s="287"/>
      <c r="CG143" s="287"/>
      <c r="CH143" s="287"/>
      <c r="CI143" s="187"/>
      <c r="CJ143" s="288"/>
      <c r="CK143" s="288"/>
      <c r="CL143" s="288"/>
      <c r="CM143" s="288"/>
      <c r="CN143" s="288"/>
      <c r="CO143" s="187">
        <v>0</v>
      </c>
      <c r="CP143" s="184"/>
      <c r="CQ143" s="184" t="s">
        <v>488</v>
      </c>
      <c r="CR143" s="304"/>
      <c r="CS143" s="304"/>
      <c r="CT143" s="291"/>
      <c r="CU143" s="160"/>
    </row>
    <row r="144" spans="1:99" ht="61.5" outlineLevel="1">
      <c r="A144" s="183">
        <v>4</v>
      </c>
      <c r="B144" s="279" t="s">
        <v>3379</v>
      </c>
      <c r="C144" s="183" t="s">
        <v>304</v>
      </c>
      <c r="D144" s="183" t="s">
        <v>3380</v>
      </c>
      <c r="E144" s="183" t="s">
        <v>3061</v>
      </c>
      <c r="F144" s="183" t="s">
        <v>49</v>
      </c>
      <c r="G144" s="183" t="s">
        <v>48</v>
      </c>
      <c r="H144" s="183"/>
      <c r="I144" s="184" t="s">
        <v>3360</v>
      </c>
      <c r="J144" s="183" t="s">
        <v>49</v>
      </c>
      <c r="K144" s="183" t="s">
        <v>3364</v>
      </c>
      <c r="L144" s="183" t="s">
        <v>56</v>
      </c>
      <c r="M144" s="183">
        <v>2023</v>
      </c>
      <c r="N144" s="282"/>
      <c r="O144" s="282" t="s">
        <v>3381</v>
      </c>
      <c r="P144" s="283">
        <v>6771</v>
      </c>
      <c r="Q144" s="283"/>
      <c r="R144" s="283"/>
      <c r="S144" s="283">
        <v>6771</v>
      </c>
      <c r="T144" s="186">
        <v>0</v>
      </c>
      <c r="U144" s="186"/>
      <c r="V144" s="282" t="s">
        <v>3364</v>
      </c>
      <c r="W144" s="282" t="s">
        <v>3364</v>
      </c>
      <c r="X144" s="282" t="s">
        <v>3360</v>
      </c>
      <c r="Y144" s="283"/>
      <c r="Z144" s="283"/>
      <c r="AA144" s="283"/>
      <c r="AB144" s="283"/>
      <c r="AC144" s="186">
        <v>5776</v>
      </c>
      <c r="AD144" s="283"/>
      <c r="AE144" s="283"/>
      <c r="AF144" s="186">
        <v>5776</v>
      </c>
      <c r="AG144" s="283">
        <f t="shared" si="227"/>
        <v>0</v>
      </c>
      <c r="AH144" s="283"/>
      <c r="AI144" s="283"/>
      <c r="AJ144" s="283">
        <v>2535</v>
      </c>
      <c r="AK144" s="283">
        <v>3241</v>
      </c>
      <c r="AL144" s="186">
        <v>0</v>
      </c>
      <c r="AM144" s="186">
        <v>2535</v>
      </c>
      <c r="AN144" s="283"/>
      <c r="AO144" s="283"/>
      <c r="AP144" s="186">
        <v>2535</v>
      </c>
      <c r="AQ144" s="283"/>
      <c r="AR144" s="283"/>
      <c r="AS144" s="283">
        <v>2535</v>
      </c>
      <c r="AT144" s="283"/>
      <c r="AU144" s="186">
        <v>0</v>
      </c>
      <c r="AV144" s="186">
        <v>2535</v>
      </c>
      <c r="AW144" s="283"/>
      <c r="AX144" s="283"/>
      <c r="AY144" s="186">
        <v>2535</v>
      </c>
      <c r="AZ144" s="283"/>
      <c r="BA144" s="283"/>
      <c r="BB144" s="283">
        <v>2535</v>
      </c>
      <c r="BC144" s="283"/>
      <c r="BD144" s="186">
        <v>0</v>
      </c>
      <c r="BE144" s="186">
        <v>100</v>
      </c>
      <c r="BF144" s="186">
        <v>0</v>
      </c>
      <c r="BG144" s="283"/>
      <c r="BH144" s="283"/>
      <c r="BI144" s="186">
        <v>0</v>
      </c>
      <c r="BJ144" s="283">
        <f t="shared" si="228"/>
        <v>0</v>
      </c>
      <c r="BK144" s="283"/>
      <c r="BL144" s="283"/>
      <c r="BM144" s="283"/>
      <c r="BN144" s="283"/>
      <c r="BO144" s="186">
        <v>0</v>
      </c>
      <c r="BP144" s="284">
        <v>0</v>
      </c>
      <c r="BQ144" s="283"/>
      <c r="BR144" s="283"/>
      <c r="BS144" s="283"/>
      <c r="BT144" s="283"/>
      <c r="BU144" s="283"/>
      <c r="BV144" s="283"/>
      <c r="BW144" s="283"/>
      <c r="BX144" s="186">
        <v>0</v>
      </c>
      <c r="BY144" s="285"/>
      <c r="BZ144" s="286">
        <v>0</v>
      </c>
      <c r="CA144" s="287"/>
      <c r="CB144" s="287"/>
      <c r="CC144" s="287"/>
      <c r="CD144" s="187"/>
      <c r="CE144" s="286">
        <v>0</v>
      </c>
      <c r="CF144" s="287"/>
      <c r="CG144" s="287"/>
      <c r="CH144" s="287"/>
      <c r="CI144" s="187"/>
      <c r="CJ144" s="288"/>
      <c r="CK144" s="288"/>
      <c r="CL144" s="288"/>
      <c r="CM144" s="288"/>
      <c r="CN144" s="288"/>
      <c r="CO144" s="187">
        <v>0</v>
      </c>
      <c r="CP144" s="184"/>
      <c r="CQ144" s="184" t="s">
        <v>488</v>
      </c>
      <c r="CR144" s="289"/>
      <c r="CS144" s="289"/>
      <c r="CT144" s="291"/>
      <c r="CU144" s="160"/>
    </row>
    <row r="145" spans="1:99" ht="50.1" customHeight="1" outlineLevel="1">
      <c r="A145" s="183">
        <v>5</v>
      </c>
      <c r="B145" s="279" t="s">
        <v>3382</v>
      </c>
      <c r="C145" s="183" t="s">
        <v>304</v>
      </c>
      <c r="D145" s="183" t="s">
        <v>3383</v>
      </c>
      <c r="E145" s="183" t="s">
        <v>3384</v>
      </c>
      <c r="F145" s="183" t="s">
        <v>49</v>
      </c>
      <c r="G145" s="183" t="s">
        <v>48</v>
      </c>
      <c r="H145" s="183">
        <v>7934374</v>
      </c>
      <c r="I145" s="184" t="s">
        <v>3360</v>
      </c>
      <c r="J145" s="183" t="s">
        <v>49</v>
      </c>
      <c r="K145" s="183" t="s">
        <v>3367</v>
      </c>
      <c r="L145" s="183" t="s">
        <v>73</v>
      </c>
      <c r="M145" s="183">
        <v>2022</v>
      </c>
      <c r="N145" s="282"/>
      <c r="O145" s="282" t="s">
        <v>3385</v>
      </c>
      <c r="P145" s="283">
        <v>195</v>
      </c>
      <c r="Q145" s="283"/>
      <c r="R145" s="283"/>
      <c r="S145" s="283">
        <v>180</v>
      </c>
      <c r="T145" s="186">
        <v>15</v>
      </c>
      <c r="U145" s="186"/>
      <c r="V145" s="282" t="s">
        <v>3367</v>
      </c>
      <c r="W145" s="282" t="s">
        <v>3364</v>
      </c>
      <c r="X145" s="282" t="s">
        <v>3360</v>
      </c>
      <c r="Y145" s="283"/>
      <c r="Z145" s="283"/>
      <c r="AA145" s="283"/>
      <c r="AB145" s="283"/>
      <c r="AC145" s="186">
        <v>180</v>
      </c>
      <c r="AD145" s="283"/>
      <c r="AE145" s="283"/>
      <c r="AF145" s="186">
        <v>180</v>
      </c>
      <c r="AG145" s="283">
        <f t="shared" si="227"/>
        <v>0</v>
      </c>
      <c r="AH145" s="283"/>
      <c r="AI145" s="283"/>
      <c r="AJ145" s="283">
        <v>180</v>
      </c>
      <c r="AK145" s="283"/>
      <c r="AL145" s="186">
        <v>15</v>
      </c>
      <c r="AM145" s="186">
        <v>180</v>
      </c>
      <c r="AN145" s="283"/>
      <c r="AO145" s="283"/>
      <c r="AP145" s="186">
        <v>180</v>
      </c>
      <c r="AQ145" s="283"/>
      <c r="AR145" s="283"/>
      <c r="AS145" s="283">
        <v>180</v>
      </c>
      <c r="AT145" s="283"/>
      <c r="AU145" s="186">
        <v>15</v>
      </c>
      <c r="AV145" s="186">
        <v>180</v>
      </c>
      <c r="AW145" s="283"/>
      <c r="AX145" s="283"/>
      <c r="AY145" s="186">
        <v>180</v>
      </c>
      <c r="AZ145" s="283"/>
      <c r="BA145" s="283"/>
      <c r="BB145" s="283">
        <v>180</v>
      </c>
      <c r="BC145" s="283"/>
      <c r="BD145" s="186">
        <v>15</v>
      </c>
      <c r="BE145" s="186">
        <v>100</v>
      </c>
      <c r="BF145" s="186">
        <v>180</v>
      </c>
      <c r="BG145" s="283"/>
      <c r="BH145" s="283"/>
      <c r="BI145" s="186">
        <v>180</v>
      </c>
      <c r="BJ145" s="283">
        <f t="shared" si="228"/>
        <v>0</v>
      </c>
      <c r="BK145" s="283"/>
      <c r="BL145" s="283"/>
      <c r="BM145" s="283">
        <v>180</v>
      </c>
      <c r="BN145" s="283"/>
      <c r="BO145" s="186">
        <v>15</v>
      </c>
      <c r="BP145" s="284">
        <v>180</v>
      </c>
      <c r="BQ145" s="316"/>
      <c r="BR145" s="316"/>
      <c r="BS145" s="284">
        <v>180</v>
      </c>
      <c r="BT145" s="316"/>
      <c r="BU145" s="316"/>
      <c r="BV145" s="316">
        <v>180</v>
      </c>
      <c r="BW145" s="316"/>
      <c r="BX145" s="186">
        <v>15</v>
      </c>
      <c r="BY145" s="285">
        <v>100</v>
      </c>
      <c r="BZ145" s="286">
        <v>0</v>
      </c>
      <c r="CA145" s="317"/>
      <c r="CB145" s="317"/>
      <c r="CC145" s="317"/>
      <c r="CD145" s="187"/>
      <c r="CE145" s="286">
        <v>0</v>
      </c>
      <c r="CF145" s="317"/>
      <c r="CG145" s="317"/>
      <c r="CH145" s="317"/>
      <c r="CI145" s="187"/>
      <c r="CJ145" s="288"/>
      <c r="CK145" s="288"/>
      <c r="CL145" s="288"/>
      <c r="CM145" s="288"/>
      <c r="CN145" s="288"/>
      <c r="CO145" s="187">
        <v>0</v>
      </c>
      <c r="CP145" s="184"/>
      <c r="CQ145" s="184" t="s">
        <v>488</v>
      </c>
      <c r="CR145" s="279"/>
      <c r="CS145" s="279"/>
      <c r="CT145" s="291"/>
      <c r="CU145" s="160"/>
    </row>
    <row r="146" spans="1:99" ht="81" customHeight="1" outlineLevel="1">
      <c r="A146" s="183">
        <v>6</v>
      </c>
      <c r="B146" s="279" t="s">
        <v>3386</v>
      </c>
      <c r="C146" s="183" t="s">
        <v>304</v>
      </c>
      <c r="D146" s="183" t="s">
        <v>3387</v>
      </c>
      <c r="E146" s="183" t="s">
        <v>3384</v>
      </c>
      <c r="F146" s="183" t="s">
        <v>49</v>
      </c>
      <c r="G146" s="183" t="s">
        <v>48</v>
      </c>
      <c r="H146" s="183">
        <v>7934375</v>
      </c>
      <c r="I146" s="184" t="s">
        <v>3360</v>
      </c>
      <c r="J146" s="183" t="s">
        <v>49</v>
      </c>
      <c r="K146" s="183" t="s">
        <v>3367</v>
      </c>
      <c r="L146" s="183" t="s">
        <v>73</v>
      </c>
      <c r="M146" s="183">
        <v>2022</v>
      </c>
      <c r="N146" s="282"/>
      <c r="O146" s="282" t="s">
        <v>3388</v>
      </c>
      <c r="P146" s="283">
        <v>580</v>
      </c>
      <c r="Q146" s="283"/>
      <c r="R146" s="283"/>
      <c r="S146" s="283">
        <v>540</v>
      </c>
      <c r="T146" s="186">
        <v>40</v>
      </c>
      <c r="U146" s="186"/>
      <c r="V146" s="282" t="s">
        <v>3367</v>
      </c>
      <c r="W146" s="282" t="s">
        <v>3364</v>
      </c>
      <c r="X146" s="282" t="s">
        <v>3360</v>
      </c>
      <c r="Y146" s="283"/>
      <c r="Z146" s="283"/>
      <c r="AA146" s="283"/>
      <c r="AB146" s="283"/>
      <c r="AC146" s="186">
        <v>540</v>
      </c>
      <c r="AD146" s="283"/>
      <c r="AE146" s="283"/>
      <c r="AF146" s="186">
        <v>540</v>
      </c>
      <c r="AG146" s="283">
        <f t="shared" si="227"/>
        <v>0</v>
      </c>
      <c r="AH146" s="283"/>
      <c r="AI146" s="283"/>
      <c r="AJ146" s="283">
        <v>540</v>
      </c>
      <c r="AK146" s="283"/>
      <c r="AL146" s="186">
        <v>40</v>
      </c>
      <c r="AM146" s="186">
        <v>540</v>
      </c>
      <c r="AN146" s="283"/>
      <c r="AO146" s="283"/>
      <c r="AP146" s="186">
        <v>540</v>
      </c>
      <c r="AQ146" s="283"/>
      <c r="AR146" s="283"/>
      <c r="AS146" s="283">
        <v>540</v>
      </c>
      <c r="AT146" s="283"/>
      <c r="AU146" s="186">
        <v>40</v>
      </c>
      <c r="AV146" s="186">
        <v>540</v>
      </c>
      <c r="AW146" s="283"/>
      <c r="AX146" s="283"/>
      <c r="AY146" s="186">
        <v>540</v>
      </c>
      <c r="AZ146" s="283"/>
      <c r="BA146" s="283"/>
      <c r="BB146" s="283">
        <v>540</v>
      </c>
      <c r="BC146" s="283"/>
      <c r="BD146" s="186">
        <v>40</v>
      </c>
      <c r="BE146" s="186">
        <v>100</v>
      </c>
      <c r="BF146" s="186">
        <v>540</v>
      </c>
      <c r="BG146" s="283"/>
      <c r="BH146" s="283"/>
      <c r="BI146" s="186">
        <v>540</v>
      </c>
      <c r="BJ146" s="283">
        <f t="shared" si="228"/>
        <v>0</v>
      </c>
      <c r="BK146" s="283"/>
      <c r="BL146" s="283"/>
      <c r="BM146" s="283">
        <v>540</v>
      </c>
      <c r="BN146" s="283"/>
      <c r="BO146" s="186">
        <v>40</v>
      </c>
      <c r="BP146" s="284">
        <v>540</v>
      </c>
      <c r="BQ146" s="316"/>
      <c r="BR146" s="316"/>
      <c r="BS146" s="284">
        <v>540</v>
      </c>
      <c r="BT146" s="316"/>
      <c r="BU146" s="316"/>
      <c r="BV146" s="316">
        <v>540</v>
      </c>
      <c r="BW146" s="316"/>
      <c r="BX146" s="186">
        <v>40</v>
      </c>
      <c r="BY146" s="285">
        <v>100</v>
      </c>
      <c r="BZ146" s="286">
        <v>0</v>
      </c>
      <c r="CA146" s="317"/>
      <c r="CB146" s="317"/>
      <c r="CC146" s="317"/>
      <c r="CD146" s="187"/>
      <c r="CE146" s="286">
        <v>0</v>
      </c>
      <c r="CF146" s="317"/>
      <c r="CG146" s="317"/>
      <c r="CH146" s="317"/>
      <c r="CI146" s="187"/>
      <c r="CJ146" s="288"/>
      <c r="CK146" s="288"/>
      <c r="CL146" s="288"/>
      <c r="CM146" s="288"/>
      <c r="CN146" s="288"/>
      <c r="CO146" s="187">
        <v>0</v>
      </c>
      <c r="CP146" s="184"/>
      <c r="CQ146" s="184" t="s">
        <v>488</v>
      </c>
      <c r="CR146" s="279"/>
      <c r="CS146" s="279"/>
      <c r="CT146" s="291"/>
      <c r="CU146" s="160"/>
    </row>
    <row r="147" spans="1:99" ht="60.75" customHeight="1" outlineLevel="1">
      <c r="A147" s="183">
        <v>7</v>
      </c>
      <c r="B147" s="279" t="s">
        <v>3389</v>
      </c>
      <c r="C147" s="183" t="s">
        <v>304</v>
      </c>
      <c r="D147" s="183" t="s">
        <v>3390</v>
      </c>
      <c r="E147" s="183" t="s">
        <v>3384</v>
      </c>
      <c r="F147" s="183" t="s">
        <v>49</v>
      </c>
      <c r="G147" s="183" t="s">
        <v>3194</v>
      </c>
      <c r="H147" s="183">
        <v>7935592</v>
      </c>
      <c r="I147" s="184" t="s">
        <v>3360</v>
      </c>
      <c r="J147" s="183" t="s">
        <v>49</v>
      </c>
      <c r="K147" s="183" t="s">
        <v>3367</v>
      </c>
      <c r="L147" s="183" t="s">
        <v>73</v>
      </c>
      <c r="M147" s="183">
        <v>2022</v>
      </c>
      <c r="N147" s="282"/>
      <c r="O147" s="282" t="s">
        <v>3391</v>
      </c>
      <c r="P147" s="283">
        <v>200</v>
      </c>
      <c r="Q147" s="283"/>
      <c r="R147" s="283"/>
      <c r="S147" s="283">
        <v>100</v>
      </c>
      <c r="T147" s="186">
        <v>100</v>
      </c>
      <c r="U147" s="186"/>
      <c r="V147" s="282" t="s">
        <v>3367</v>
      </c>
      <c r="W147" s="282" t="s">
        <v>3364</v>
      </c>
      <c r="X147" s="282" t="s">
        <v>3360</v>
      </c>
      <c r="Y147" s="283"/>
      <c r="Z147" s="283"/>
      <c r="AA147" s="283"/>
      <c r="AB147" s="283"/>
      <c r="AC147" s="186">
        <v>100</v>
      </c>
      <c r="AD147" s="283"/>
      <c r="AE147" s="283"/>
      <c r="AF147" s="186">
        <v>100</v>
      </c>
      <c r="AG147" s="283">
        <f t="shared" si="227"/>
        <v>0</v>
      </c>
      <c r="AH147" s="283"/>
      <c r="AI147" s="283"/>
      <c r="AJ147" s="283">
        <v>100</v>
      </c>
      <c r="AK147" s="283"/>
      <c r="AL147" s="186">
        <v>100</v>
      </c>
      <c r="AM147" s="186">
        <v>100</v>
      </c>
      <c r="AN147" s="283"/>
      <c r="AO147" s="283"/>
      <c r="AP147" s="186">
        <v>100</v>
      </c>
      <c r="AQ147" s="283"/>
      <c r="AR147" s="283"/>
      <c r="AS147" s="283">
        <v>100</v>
      </c>
      <c r="AT147" s="283"/>
      <c r="AU147" s="186">
        <v>100</v>
      </c>
      <c r="AV147" s="186">
        <v>100</v>
      </c>
      <c r="AW147" s="283"/>
      <c r="AX147" s="283"/>
      <c r="AY147" s="186">
        <v>100</v>
      </c>
      <c r="AZ147" s="283"/>
      <c r="BA147" s="283"/>
      <c r="BB147" s="283">
        <v>100</v>
      </c>
      <c r="BC147" s="283"/>
      <c r="BD147" s="186">
        <v>100</v>
      </c>
      <c r="BE147" s="186">
        <v>100</v>
      </c>
      <c r="BF147" s="186">
        <v>100</v>
      </c>
      <c r="BG147" s="283"/>
      <c r="BH147" s="283"/>
      <c r="BI147" s="186">
        <v>100</v>
      </c>
      <c r="BJ147" s="283">
        <f t="shared" si="228"/>
        <v>0</v>
      </c>
      <c r="BK147" s="283"/>
      <c r="BL147" s="283"/>
      <c r="BM147" s="283">
        <v>100</v>
      </c>
      <c r="BN147" s="283"/>
      <c r="BO147" s="186">
        <v>100</v>
      </c>
      <c r="BP147" s="284">
        <v>100</v>
      </c>
      <c r="BQ147" s="316"/>
      <c r="BR147" s="316"/>
      <c r="BS147" s="284">
        <v>100</v>
      </c>
      <c r="BT147" s="316"/>
      <c r="BU147" s="316"/>
      <c r="BV147" s="316">
        <v>100</v>
      </c>
      <c r="BW147" s="316"/>
      <c r="BX147" s="186">
        <v>100</v>
      </c>
      <c r="BY147" s="285">
        <v>100</v>
      </c>
      <c r="BZ147" s="286">
        <v>0</v>
      </c>
      <c r="CA147" s="317"/>
      <c r="CB147" s="317"/>
      <c r="CC147" s="317"/>
      <c r="CD147" s="187"/>
      <c r="CE147" s="286">
        <v>0</v>
      </c>
      <c r="CF147" s="317"/>
      <c r="CG147" s="317"/>
      <c r="CH147" s="317"/>
      <c r="CI147" s="187"/>
      <c r="CJ147" s="288"/>
      <c r="CK147" s="288"/>
      <c r="CL147" s="288"/>
      <c r="CM147" s="288"/>
      <c r="CN147" s="288"/>
      <c r="CO147" s="187">
        <v>0</v>
      </c>
      <c r="CP147" s="184"/>
      <c r="CQ147" s="184" t="s">
        <v>488</v>
      </c>
      <c r="CR147" s="279"/>
      <c r="CS147" s="279"/>
      <c r="CT147" s="291"/>
      <c r="CU147" s="160"/>
    </row>
    <row r="148" spans="1:99" ht="47.25" customHeight="1" outlineLevel="1">
      <c r="A148" s="183">
        <v>8</v>
      </c>
      <c r="B148" s="279" t="s">
        <v>3392</v>
      </c>
      <c r="C148" s="183" t="s">
        <v>304</v>
      </c>
      <c r="D148" s="183" t="s">
        <v>3390</v>
      </c>
      <c r="E148" s="183" t="s">
        <v>3384</v>
      </c>
      <c r="F148" s="183" t="s">
        <v>49</v>
      </c>
      <c r="G148" s="183" t="s">
        <v>3194</v>
      </c>
      <c r="H148" s="183">
        <v>7937940</v>
      </c>
      <c r="I148" s="184" t="s">
        <v>3360</v>
      </c>
      <c r="J148" s="183" t="s">
        <v>49</v>
      </c>
      <c r="K148" s="183" t="s">
        <v>3367</v>
      </c>
      <c r="L148" s="183" t="s">
        <v>73</v>
      </c>
      <c r="M148" s="183">
        <v>2022</v>
      </c>
      <c r="N148" s="282"/>
      <c r="O148" s="282" t="s">
        <v>3393</v>
      </c>
      <c r="P148" s="283">
        <v>200</v>
      </c>
      <c r="Q148" s="283"/>
      <c r="R148" s="283"/>
      <c r="S148" s="283">
        <v>100</v>
      </c>
      <c r="T148" s="186">
        <v>100</v>
      </c>
      <c r="U148" s="186"/>
      <c r="V148" s="282" t="s">
        <v>3367</v>
      </c>
      <c r="W148" s="282" t="s">
        <v>3364</v>
      </c>
      <c r="X148" s="282" t="s">
        <v>3360</v>
      </c>
      <c r="Y148" s="283"/>
      <c r="Z148" s="283"/>
      <c r="AA148" s="283"/>
      <c r="AB148" s="283"/>
      <c r="AC148" s="186">
        <v>100</v>
      </c>
      <c r="AD148" s="283"/>
      <c r="AE148" s="283"/>
      <c r="AF148" s="186">
        <v>100</v>
      </c>
      <c r="AG148" s="283">
        <f t="shared" si="227"/>
        <v>0</v>
      </c>
      <c r="AH148" s="283"/>
      <c r="AI148" s="283"/>
      <c r="AJ148" s="283">
        <v>100</v>
      </c>
      <c r="AK148" s="283"/>
      <c r="AL148" s="186">
        <v>100</v>
      </c>
      <c r="AM148" s="186">
        <v>100</v>
      </c>
      <c r="AN148" s="283"/>
      <c r="AO148" s="283"/>
      <c r="AP148" s="186">
        <v>100</v>
      </c>
      <c r="AQ148" s="283"/>
      <c r="AR148" s="283"/>
      <c r="AS148" s="283">
        <v>100</v>
      </c>
      <c r="AT148" s="283"/>
      <c r="AU148" s="186">
        <v>100</v>
      </c>
      <c r="AV148" s="186">
        <v>100</v>
      </c>
      <c r="AW148" s="283"/>
      <c r="AX148" s="283"/>
      <c r="AY148" s="186">
        <v>100</v>
      </c>
      <c r="AZ148" s="283"/>
      <c r="BA148" s="283"/>
      <c r="BB148" s="283">
        <v>100</v>
      </c>
      <c r="BC148" s="283"/>
      <c r="BD148" s="186">
        <v>100</v>
      </c>
      <c r="BE148" s="186">
        <v>100</v>
      </c>
      <c r="BF148" s="186">
        <v>100</v>
      </c>
      <c r="BG148" s="283"/>
      <c r="BH148" s="283"/>
      <c r="BI148" s="186">
        <v>100</v>
      </c>
      <c r="BJ148" s="283">
        <f t="shared" si="228"/>
        <v>0</v>
      </c>
      <c r="BK148" s="283"/>
      <c r="BL148" s="283"/>
      <c r="BM148" s="283">
        <v>100</v>
      </c>
      <c r="BN148" s="283"/>
      <c r="BO148" s="186">
        <v>100</v>
      </c>
      <c r="BP148" s="284">
        <v>100</v>
      </c>
      <c r="BQ148" s="316"/>
      <c r="BR148" s="316"/>
      <c r="BS148" s="284">
        <v>100</v>
      </c>
      <c r="BT148" s="316"/>
      <c r="BU148" s="316"/>
      <c r="BV148" s="316">
        <v>100</v>
      </c>
      <c r="BW148" s="316"/>
      <c r="BX148" s="186">
        <v>100</v>
      </c>
      <c r="BY148" s="285">
        <v>100</v>
      </c>
      <c r="BZ148" s="286">
        <v>0</v>
      </c>
      <c r="CA148" s="317"/>
      <c r="CB148" s="317"/>
      <c r="CC148" s="317"/>
      <c r="CD148" s="187"/>
      <c r="CE148" s="286">
        <v>0</v>
      </c>
      <c r="CF148" s="317"/>
      <c r="CG148" s="317"/>
      <c r="CH148" s="317"/>
      <c r="CI148" s="187"/>
      <c r="CJ148" s="288"/>
      <c r="CK148" s="288"/>
      <c r="CL148" s="288"/>
      <c r="CM148" s="288"/>
      <c r="CN148" s="288"/>
      <c r="CO148" s="187">
        <v>0</v>
      </c>
      <c r="CP148" s="184"/>
      <c r="CQ148" s="184" t="s">
        <v>488</v>
      </c>
      <c r="CR148" s="279"/>
      <c r="CS148" s="279"/>
      <c r="CT148" s="291"/>
      <c r="CU148" s="160"/>
    </row>
    <row r="149" spans="1:99" ht="72" customHeight="1" outlineLevel="1">
      <c r="A149" s="183">
        <v>9</v>
      </c>
      <c r="B149" s="279" t="s">
        <v>3394</v>
      </c>
      <c r="C149" s="183" t="s">
        <v>304</v>
      </c>
      <c r="D149" s="183" t="s">
        <v>3395</v>
      </c>
      <c r="E149" s="183" t="s">
        <v>3384</v>
      </c>
      <c r="F149" s="183" t="s">
        <v>49</v>
      </c>
      <c r="G149" s="183" t="s">
        <v>3194</v>
      </c>
      <c r="H149" s="183">
        <v>7935591</v>
      </c>
      <c r="I149" s="184" t="s">
        <v>3360</v>
      </c>
      <c r="J149" s="183" t="s">
        <v>49</v>
      </c>
      <c r="K149" s="183" t="s">
        <v>3367</v>
      </c>
      <c r="L149" s="183" t="s">
        <v>73</v>
      </c>
      <c r="M149" s="183">
        <v>2022</v>
      </c>
      <c r="N149" s="282"/>
      <c r="O149" s="282" t="s">
        <v>3396</v>
      </c>
      <c r="P149" s="283">
        <v>30</v>
      </c>
      <c r="Q149" s="283"/>
      <c r="R149" s="283"/>
      <c r="S149" s="283">
        <v>20</v>
      </c>
      <c r="T149" s="186">
        <v>10</v>
      </c>
      <c r="U149" s="186"/>
      <c r="V149" s="282" t="s">
        <v>3367</v>
      </c>
      <c r="W149" s="282" t="s">
        <v>3364</v>
      </c>
      <c r="X149" s="282" t="s">
        <v>3360</v>
      </c>
      <c r="Y149" s="283"/>
      <c r="Z149" s="283"/>
      <c r="AA149" s="283"/>
      <c r="AB149" s="283"/>
      <c r="AC149" s="186">
        <v>20</v>
      </c>
      <c r="AD149" s="283"/>
      <c r="AE149" s="283"/>
      <c r="AF149" s="186">
        <v>20</v>
      </c>
      <c r="AG149" s="283">
        <f t="shared" si="227"/>
        <v>0</v>
      </c>
      <c r="AH149" s="283"/>
      <c r="AI149" s="283"/>
      <c r="AJ149" s="283">
        <v>20</v>
      </c>
      <c r="AK149" s="283"/>
      <c r="AL149" s="186">
        <v>10</v>
      </c>
      <c r="AM149" s="186">
        <v>20</v>
      </c>
      <c r="AN149" s="283"/>
      <c r="AO149" s="283"/>
      <c r="AP149" s="186">
        <v>20</v>
      </c>
      <c r="AQ149" s="283"/>
      <c r="AR149" s="283"/>
      <c r="AS149" s="283">
        <v>20</v>
      </c>
      <c r="AT149" s="283"/>
      <c r="AU149" s="186">
        <v>10</v>
      </c>
      <c r="AV149" s="186">
        <v>20</v>
      </c>
      <c r="AW149" s="283"/>
      <c r="AX149" s="283"/>
      <c r="AY149" s="186">
        <v>20</v>
      </c>
      <c r="AZ149" s="283"/>
      <c r="BA149" s="283"/>
      <c r="BB149" s="283">
        <v>20</v>
      </c>
      <c r="BC149" s="283"/>
      <c r="BD149" s="186">
        <v>10</v>
      </c>
      <c r="BE149" s="186">
        <v>100</v>
      </c>
      <c r="BF149" s="186">
        <v>20</v>
      </c>
      <c r="BG149" s="283"/>
      <c r="BH149" s="283"/>
      <c r="BI149" s="186">
        <v>20</v>
      </c>
      <c r="BJ149" s="283">
        <f t="shared" si="228"/>
        <v>0</v>
      </c>
      <c r="BK149" s="283"/>
      <c r="BL149" s="283"/>
      <c r="BM149" s="283">
        <v>20</v>
      </c>
      <c r="BN149" s="283"/>
      <c r="BO149" s="186">
        <v>10</v>
      </c>
      <c r="BP149" s="284">
        <v>20</v>
      </c>
      <c r="BQ149" s="316"/>
      <c r="BR149" s="316"/>
      <c r="BS149" s="284">
        <v>20</v>
      </c>
      <c r="BT149" s="316"/>
      <c r="BU149" s="316"/>
      <c r="BV149" s="316">
        <v>20</v>
      </c>
      <c r="BW149" s="316"/>
      <c r="BX149" s="186">
        <v>10</v>
      </c>
      <c r="BY149" s="285">
        <v>100</v>
      </c>
      <c r="BZ149" s="286">
        <v>0</v>
      </c>
      <c r="CA149" s="317"/>
      <c r="CB149" s="317"/>
      <c r="CC149" s="317"/>
      <c r="CD149" s="187"/>
      <c r="CE149" s="286">
        <v>0</v>
      </c>
      <c r="CF149" s="317"/>
      <c r="CG149" s="317"/>
      <c r="CH149" s="317"/>
      <c r="CI149" s="187"/>
      <c r="CJ149" s="288"/>
      <c r="CK149" s="288"/>
      <c r="CL149" s="288"/>
      <c r="CM149" s="288"/>
      <c r="CN149" s="288"/>
      <c r="CO149" s="187">
        <v>0</v>
      </c>
      <c r="CP149" s="184"/>
      <c r="CQ149" s="184" t="s">
        <v>488</v>
      </c>
      <c r="CR149" s="279"/>
      <c r="CS149" s="279"/>
      <c r="CT149" s="291"/>
      <c r="CU149" s="160"/>
    </row>
    <row r="150" spans="1:99" ht="60.75" customHeight="1" outlineLevel="1">
      <c r="A150" s="183">
        <v>10</v>
      </c>
      <c r="B150" s="279" t="s">
        <v>3397</v>
      </c>
      <c r="C150" s="183" t="s">
        <v>304</v>
      </c>
      <c r="D150" s="183" t="s">
        <v>3395</v>
      </c>
      <c r="E150" s="183" t="s">
        <v>3384</v>
      </c>
      <c r="F150" s="183" t="s">
        <v>49</v>
      </c>
      <c r="G150" s="183" t="s">
        <v>3194</v>
      </c>
      <c r="H150" s="183">
        <v>7934722</v>
      </c>
      <c r="I150" s="184" t="s">
        <v>3360</v>
      </c>
      <c r="J150" s="183" t="s">
        <v>49</v>
      </c>
      <c r="K150" s="183" t="s">
        <v>3367</v>
      </c>
      <c r="L150" s="183" t="s">
        <v>73</v>
      </c>
      <c r="M150" s="183">
        <v>2022</v>
      </c>
      <c r="N150" s="282"/>
      <c r="O150" s="282" t="s">
        <v>3398</v>
      </c>
      <c r="P150" s="283">
        <v>30</v>
      </c>
      <c r="Q150" s="283"/>
      <c r="R150" s="283"/>
      <c r="S150" s="283">
        <v>20</v>
      </c>
      <c r="T150" s="186">
        <v>10</v>
      </c>
      <c r="U150" s="186"/>
      <c r="V150" s="282" t="s">
        <v>3367</v>
      </c>
      <c r="W150" s="282" t="s">
        <v>3364</v>
      </c>
      <c r="X150" s="282" t="s">
        <v>3360</v>
      </c>
      <c r="Y150" s="283"/>
      <c r="Z150" s="283"/>
      <c r="AA150" s="283"/>
      <c r="AB150" s="283"/>
      <c r="AC150" s="186">
        <v>20</v>
      </c>
      <c r="AD150" s="283"/>
      <c r="AE150" s="283"/>
      <c r="AF150" s="186">
        <v>20</v>
      </c>
      <c r="AG150" s="283">
        <f t="shared" si="227"/>
        <v>0</v>
      </c>
      <c r="AH150" s="283"/>
      <c r="AI150" s="283"/>
      <c r="AJ150" s="283">
        <v>20</v>
      </c>
      <c r="AK150" s="283"/>
      <c r="AL150" s="186">
        <v>10</v>
      </c>
      <c r="AM150" s="186">
        <v>20</v>
      </c>
      <c r="AN150" s="283"/>
      <c r="AO150" s="283"/>
      <c r="AP150" s="186">
        <v>20</v>
      </c>
      <c r="AQ150" s="283"/>
      <c r="AR150" s="283"/>
      <c r="AS150" s="283">
        <v>20</v>
      </c>
      <c r="AT150" s="283"/>
      <c r="AU150" s="186">
        <v>10</v>
      </c>
      <c r="AV150" s="186">
        <v>20</v>
      </c>
      <c r="AW150" s="283"/>
      <c r="AX150" s="283"/>
      <c r="AY150" s="186">
        <v>20</v>
      </c>
      <c r="AZ150" s="283"/>
      <c r="BA150" s="283"/>
      <c r="BB150" s="283">
        <v>20</v>
      </c>
      <c r="BC150" s="283"/>
      <c r="BD150" s="186">
        <v>10</v>
      </c>
      <c r="BE150" s="186">
        <v>100</v>
      </c>
      <c r="BF150" s="186">
        <v>20</v>
      </c>
      <c r="BG150" s="283"/>
      <c r="BH150" s="283"/>
      <c r="BI150" s="186">
        <v>20</v>
      </c>
      <c r="BJ150" s="283">
        <f t="shared" si="228"/>
        <v>0</v>
      </c>
      <c r="BK150" s="283"/>
      <c r="BL150" s="283"/>
      <c r="BM150" s="283">
        <v>20</v>
      </c>
      <c r="BN150" s="283"/>
      <c r="BO150" s="186">
        <v>10</v>
      </c>
      <c r="BP150" s="284">
        <v>20</v>
      </c>
      <c r="BQ150" s="316"/>
      <c r="BR150" s="316"/>
      <c r="BS150" s="284">
        <v>20</v>
      </c>
      <c r="BT150" s="316"/>
      <c r="BU150" s="316"/>
      <c r="BV150" s="316">
        <v>20</v>
      </c>
      <c r="BW150" s="316"/>
      <c r="BX150" s="186">
        <v>10</v>
      </c>
      <c r="BY150" s="285">
        <v>100</v>
      </c>
      <c r="BZ150" s="286">
        <v>0</v>
      </c>
      <c r="CA150" s="317"/>
      <c r="CB150" s="317"/>
      <c r="CC150" s="317"/>
      <c r="CD150" s="187"/>
      <c r="CE150" s="286">
        <v>0</v>
      </c>
      <c r="CF150" s="317"/>
      <c r="CG150" s="317"/>
      <c r="CH150" s="317"/>
      <c r="CI150" s="187"/>
      <c r="CJ150" s="288"/>
      <c r="CK150" s="288"/>
      <c r="CL150" s="288"/>
      <c r="CM150" s="288"/>
      <c r="CN150" s="288"/>
      <c r="CO150" s="187">
        <v>0</v>
      </c>
      <c r="CP150" s="184"/>
      <c r="CQ150" s="184" t="s">
        <v>488</v>
      </c>
      <c r="CR150" s="279"/>
      <c r="CS150" s="279"/>
      <c r="CT150" s="291"/>
      <c r="CU150" s="160"/>
    </row>
    <row r="151" spans="1:99" ht="83.25" customHeight="1" outlineLevel="1">
      <c r="A151" s="183">
        <v>11</v>
      </c>
      <c r="B151" s="279" t="s">
        <v>3399</v>
      </c>
      <c r="C151" s="183" t="s">
        <v>304</v>
      </c>
      <c r="D151" s="183" t="s">
        <v>3400</v>
      </c>
      <c r="E151" s="183" t="s">
        <v>3384</v>
      </c>
      <c r="F151" s="183" t="s">
        <v>49</v>
      </c>
      <c r="G151" s="183" t="s">
        <v>3194</v>
      </c>
      <c r="H151" s="183">
        <v>7934721</v>
      </c>
      <c r="I151" s="184" t="s">
        <v>3360</v>
      </c>
      <c r="J151" s="183" t="s">
        <v>49</v>
      </c>
      <c r="K151" s="183" t="s">
        <v>3367</v>
      </c>
      <c r="L151" s="183" t="s">
        <v>73</v>
      </c>
      <c r="M151" s="183">
        <v>2022</v>
      </c>
      <c r="N151" s="282"/>
      <c r="O151" s="282" t="s">
        <v>3401</v>
      </c>
      <c r="P151" s="283">
        <v>30</v>
      </c>
      <c r="Q151" s="283"/>
      <c r="R151" s="283"/>
      <c r="S151" s="283">
        <v>20</v>
      </c>
      <c r="T151" s="186">
        <v>10</v>
      </c>
      <c r="U151" s="186"/>
      <c r="V151" s="282" t="s">
        <v>3367</v>
      </c>
      <c r="W151" s="282" t="s">
        <v>3364</v>
      </c>
      <c r="X151" s="282" t="s">
        <v>3360</v>
      </c>
      <c r="Y151" s="283"/>
      <c r="Z151" s="283"/>
      <c r="AA151" s="283"/>
      <c r="AB151" s="283"/>
      <c r="AC151" s="186">
        <v>20</v>
      </c>
      <c r="AD151" s="283"/>
      <c r="AE151" s="283"/>
      <c r="AF151" s="186">
        <v>20</v>
      </c>
      <c r="AG151" s="283">
        <f t="shared" si="227"/>
        <v>0</v>
      </c>
      <c r="AH151" s="283"/>
      <c r="AI151" s="283"/>
      <c r="AJ151" s="283">
        <v>20</v>
      </c>
      <c r="AK151" s="283"/>
      <c r="AL151" s="186">
        <v>10</v>
      </c>
      <c r="AM151" s="186">
        <v>20</v>
      </c>
      <c r="AN151" s="283"/>
      <c r="AO151" s="283"/>
      <c r="AP151" s="186">
        <v>20</v>
      </c>
      <c r="AQ151" s="283"/>
      <c r="AR151" s="283"/>
      <c r="AS151" s="283">
        <v>20</v>
      </c>
      <c r="AT151" s="283"/>
      <c r="AU151" s="186">
        <v>10</v>
      </c>
      <c r="AV151" s="186">
        <v>20</v>
      </c>
      <c r="AW151" s="283"/>
      <c r="AX151" s="283"/>
      <c r="AY151" s="186">
        <v>20</v>
      </c>
      <c r="AZ151" s="283"/>
      <c r="BA151" s="283"/>
      <c r="BB151" s="283">
        <v>20</v>
      </c>
      <c r="BC151" s="283"/>
      <c r="BD151" s="186">
        <v>10</v>
      </c>
      <c r="BE151" s="186">
        <v>100</v>
      </c>
      <c r="BF151" s="186">
        <v>20</v>
      </c>
      <c r="BG151" s="283"/>
      <c r="BH151" s="283"/>
      <c r="BI151" s="186">
        <v>20</v>
      </c>
      <c r="BJ151" s="283">
        <f t="shared" si="228"/>
        <v>0</v>
      </c>
      <c r="BK151" s="283"/>
      <c r="BL151" s="283"/>
      <c r="BM151" s="283">
        <v>20</v>
      </c>
      <c r="BN151" s="283"/>
      <c r="BO151" s="186">
        <v>10</v>
      </c>
      <c r="BP151" s="284">
        <v>20</v>
      </c>
      <c r="BQ151" s="316"/>
      <c r="BR151" s="316"/>
      <c r="BS151" s="284">
        <v>20</v>
      </c>
      <c r="BT151" s="316"/>
      <c r="BU151" s="316"/>
      <c r="BV151" s="316">
        <v>20</v>
      </c>
      <c r="BW151" s="316"/>
      <c r="BX151" s="186">
        <v>10</v>
      </c>
      <c r="BY151" s="285">
        <v>100</v>
      </c>
      <c r="BZ151" s="286">
        <v>0</v>
      </c>
      <c r="CA151" s="317"/>
      <c r="CB151" s="317"/>
      <c r="CC151" s="317"/>
      <c r="CD151" s="187"/>
      <c r="CE151" s="286">
        <v>0</v>
      </c>
      <c r="CF151" s="317"/>
      <c r="CG151" s="317"/>
      <c r="CH151" s="317"/>
      <c r="CI151" s="187"/>
      <c r="CJ151" s="288"/>
      <c r="CK151" s="288"/>
      <c r="CL151" s="288"/>
      <c r="CM151" s="288"/>
      <c r="CN151" s="288"/>
      <c r="CO151" s="187">
        <v>0</v>
      </c>
      <c r="CP151" s="184"/>
      <c r="CQ151" s="184" t="s">
        <v>488</v>
      </c>
      <c r="CR151" s="279"/>
      <c r="CS151" s="279"/>
      <c r="CT151" s="291"/>
      <c r="CU151" s="160"/>
    </row>
    <row r="152" spans="1:99" ht="56.25" customHeight="1" outlineLevel="1">
      <c r="A152" s="183">
        <v>12</v>
      </c>
      <c r="B152" s="279" t="s">
        <v>3402</v>
      </c>
      <c r="C152" s="183" t="s">
        <v>304</v>
      </c>
      <c r="D152" s="183" t="s">
        <v>3403</v>
      </c>
      <c r="E152" s="183" t="s">
        <v>3061</v>
      </c>
      <c r="F152" s="183" t="s">
        <v>49</v>
      </c>
      <c r="G152" s="183" t="s">
        <v>3142</v>
      </c>
      <c r="H152" s="183">
        <v>8118766</v>
      </c>
      <c r="I152" s="184" t="s">
        <v>3360</v>
      </c>
      <c r="J152" s="183" t="s">
        <v>49</v>
      </c>
      <c r="K152" s="183" t="s">
        <v>3364</v>
      </c>
      <c r="L152" s="183" t="s">
        <v>84</v>
      </c>
      <c r="M152" s="183">
        <v>2024</v>
      </c>
      <c r="N152" s="282"/>
      <c r="O152" s="282" t="s">
        <v>3404</v>
      </c>
      <c r="P152" s="283">
        <v>578</v>
      </c>
      <c r="Q152" s="283"/>
      <c r="R152" s="283"/>
      <c r="S152" s="283">
        <v>578</v>
      </c>
      <c r="T152" s="186">
        <v>0</v>
      </c>
      <c r="U152" s="186"/>
      <c r="V152" s="282" t="s">
        <v>3364</v>
      </c>
      <c r="W152" s="282" t="s">
        <v>3364</v>
      </c>
      <c r="X152" s="282" t="s">
        <v>3360</v>
      </c>
      <c r="Y152" s="283"/>
      <c r="Z152" s="283"/>
      <c r="AA152" s="283"/>
      <c r="AB152" s="283"/>
      <c r="AC152" s="186">
        <f t="shared" ref="AC152:AC153" si="241">AD152+AE152+AF152</f>
        <v>578</v>
      </c>
      <c r="AD152" s="283"/>
      <c r="AE152" s="283"/>
      <c r="AF152" s="186">
        <f t="shared" ref="AF152:AF153" si="242">SUM(AH152:AK152)</f>
        <v>578</v>
      </c>
      <c r="AG152" s="283">
        <f t="shared" si="227"/>
        <v>0</v>
      </c>
      <c r="AH152" s="283"/>
      <c r="AI152" s="283"/>
      <c r="AJ152" s="283">
        <v>578</v>
      </c>
      <c r="AK152" s="283"/>
      <c r="AL152" s="186">
        <v>0</v>
      </c>
      <c r="AM152" s="186">
        <f t="shared" ref="AM152:AM153" si="243">AN152+AO152+AP152</f>
        <v>533.68499999999995</v>
      </c>
      <c r="AN152" s="283"/>
      <c r="AO152" s="283"/>
      <c r="AP152" s="186">
        <f t="shared" ref="AP152:AP153" si="244">SUM(AQ152:AT152)</f>
        <v>533.68499999999995</v>
      </c>
      <c r="AQ152" s="283"/>
      <c r="AR152" s="283"/>
      <c r="AS152" s="283">
        <f>300+233.685</f>
        <v>533.68499999999995</v>
      </c>
      <c r="AT152" s="283"/>
      <c r="AU152" s="186">
        <v>0</v>
      </c>
      <c r="AV152" s="186">
        <f t="shared" ref="AV152:AV153" si="245">AW152+AX152+AY152</f>
        <v>510.90709799999996</v>
      </c>
      <c r="AW152" s="283"/>
      <c r="AX152" s="283"/>
      <c r="AY152" s="186">
        <f t="shared" ref="AY152:AY153" si="246">SUM(AZ152:BC152)</f>
        <v>510.90709799999996</v>
      </c>
      <c r="AZ152" s="283"/>
      <c r="BA152" s="283"/>
      <c r="BB152" s="283">
        <f>533.685-22.777902</f>
        <v>510.90709799999996</v>
      </c>
      <c r="BC152" s="283"/>
      <c r="BD152" s="186">
        <v>0</v>
      </c>
      <c r="BE152" s="186">
        <f t="shared" ref="BE152:BE153" si="247">AV152/AM152*100</f>
        <v>95.731957615447314</v>
      </c>
      <c r="BF152" s="186">
        <f t="shared" ref="BF152:BF153" si="248">BG152+BH152+BI152</f>
        <v>233.685</v>
      </c>
      <c r="BG152" s="283"/>
      <c r="BH152" s="283"/>
      <c r="BI152" s="186">
        <f t="shared" ref="BI152:BI153" si="249">SUM(BK152:BN152)</f>
        <v>233.685</v>
      </c>
      <c r="BJ152" s="283">
        <f t="shared" si="228"/>
        <v>0</v>
      </c>
      <c r="BK152" s="283"/>
      <c r="BL152" s="283"/>
      <c r="BM152" s="283">
        <f>233.685</f>
        <v>233.685</v>
      </c>
      <c r="BN152" s="283"/>
      <c r="BO152" s="186">
        <v>0</v>
      </c>
      <c r="BP152" s="284">
        <f t="shared" ref="BP152:BP153" si="250">BQ152+BR152+BS152</f>
        <v>210.90709799999999</v>
      </c>
      <c r="BQ152" s="283"/>
      <c r="BR152" s="283"/>
      <c r="BS152" s="284">
        <f t="shared" ref="BS152" si="251">SUM(BT152:BW152)</f>
        <v>210.90709799999999</v>
      </c>
      <c r="BT152" s="283"/>
      <c r="BU152" s="283"/>
      <c r="BV152" s="283">
        <f>BM152-22.777902</f>
        <v>210.90709799999999</v>
      </c>
      <c r="BW152" s="283"/>
      <c r="BX152" s="186">
        <v>0</v>
      </c>
      <c r="BY152" s="285">
        <f>BP152/BF152*100</f>
        <v>90.252732524552286</v>
      </c>
      <c r="BZ152" s="286">
        <f t="shared" ref="BZ152:BZ153" si="252">CA152+CC152+CD152</f>
        <v>0</v>
      </c>
      <c r="CA152" s="287"/>
      <c r="CB152" s="287"/>
      <c r="CC152" s="287"/>
      <c r="CD152" s="187"/>
      <c r="CE152" s="286">
        <f t="shared" ref="CE152:CE153" si="253">CF152+CH152+CI152</f>
        <v>0</v>
      </c>
      <c r="CF152" s="287"/>
      <c r="CG152" s="287"/>
      <c r="CH152" s="287"/>
      <c r="CI152" s="187"/>
      <c r="CJ152" s="288"/>
      <c r="CK152" s="288"/>
      <c r="CL152" s="288"/>
      <c r="CM152" s="288"/>
      <c r="CN152" s="288"/>
      <c r="CO152" s="187">
        <f t="shared" ref="CO152:CO153" si="254">BF152-BP152</f>
        <v>22.777902000000012</v>
      </c>
      <c r="CP152" s="184"/>
      <c r="CQ152" s="184"/>
      <c r="CR152" s="289" t="s">
        <v>3087</v>
      </c>
      <c r="CS152" s="289"/>
      <c r="CT152" s="487"/>
      <c r="CU152" s="167"/>
    </row>
    <row r="153" spans="1:99" ht="70.5" customHeight="1" outlineLevel="1">
      <c r="A153" s="183">
        <v>13</v>
      </c>
      <c r="B153" s="315" t="s">
        <v>3405</v>
      </c>
      <c r="C153" s="280" t="s">
        <v>3228</v>
      </c>
      <c r="D153" s="280" t="s">
        <v>3229</v>
      </c>
      <c r="E153" s="183" t="s">
        <v>3061</v>
      </c>
      <c r="F153" s="183" t="s">
        <v>49</v>
      </c>
      <c r="G153" s="183" t="s">
        <v>48</v>
      </c>
      <c r="H153" s="183"/>
      <c r="I153" s="184" t="s">
        <v>3360</v>
      </c>
      <c r="J153" s="183" t="s">
        <v>49</v>
      </c>
      <c r="K153" s="280" t="s">
        <v>3406</v>
      </c>
      <c r="L153" s="183" t="s">
        <v>73</v>
      </c>
      <c r="M153" s="183">
        <v>2021</v>
      </c>
      <c r="N153" s="282"/>
      <c r="O153" s="282" t="s">
        <v>3407</v>
      </c>
      <c r="P153" s="186">
        <v>11200</v>
      </c>
      <c r="Q153" s="186"/>
      <c r="R153" s="186"/>
      <c r="S153" s="186">
        <v>11200</v>
      </c>
      <c r="T153" s="186">
        <v>0</v>
      </c>
      <c r="U153" s="186"/>
      <c r="V153" s="282" t="s">
        <v>3406</v>
      </c>
      <c r="W153" s="282" t="s">
        <v>3364</v>
      </c>
      <c r="X153" s="282" t="s">
        <v>3360</v>
      </c>
      <c r="Y153" s="186"/>
      <c r="Z153" s="186"/>
      <c r="AA153" s="186"/>
      <c r="AB153" s="186"/>
      <c r="AC153" s="186">
        <f t="shared" si="241"/>
        <v>11200</v>
      </c>
      <c r="AD153" s="186"/>
      <c r="AE153" s="186"/>
      <c r="AF153" s="186">
        <f t="shared" si="242"/>
        <v>11200</v>
      </c>
      <c r="AG153" s="283">
        <f t="shared" si="227"/>
        <v>11200</v>
      </c>
      <c r="AH153" s="186">
        <v>11200</v>
      </c>
      <c r="AI153" s="186"/>
      <c r="AJ153" s="186"/>
      <c r="AK153" s="186"/>
      <c r="AL153" s="186">
        <v>0</v>
      </c>
      <c r="AM153" s="186">
        <f t="shared" si="243"/>
        <v>11200</v>
      </c>
      <c r="AN153" s="186"/>
      <c r="AO153" s="186"/>
      <c r="AP153" s="186">
        <f t="shared" si="244"/>
        <v>11200</v>
      </c>
      <c r="AQ153" s="186">
        <v>11200</v>
      </c>
      <c r="AR153" s="186"/>
      <c r="AS153" s="186"/>
      <c r="AT153" s="186"/>
      <c r="AU153" s="186">
        <v>0</v>
      </c>
      <c r="AV153" s="186">
        <f t="shared" si="245"/>
        <v>11200</v>
      </c>
      <c r="AW153" s="186"/>
      <c r="AX153" s="186"/>
      <c r="AY153" s="186">
        <f t="shared" si="246"/>
        <v>11200</v>
      </c>
      <c r="AZ153" s="186">
        <v>11200</v>
      </c>
      <c r="BA153" s="186"/>
      <c r="BB153" s="186"/>
      <c r="BC153" s="186"/>
      <c r="BD153" s="186">
        <v>0</v>
      </c>
      <c r="BE153" s="186">
        <f t="shared" si="247"/>
        <v>100</v>
      </c>
      <c r="BF153" s="186">
        <f t="shared" si="248"/>
        <v>0</v>
      </c>
      <c r="BG153" s="186"/>
      <c r="BH153" s="186"/>
      <c r="BI153" s="186">
        <f t="shared" si="249"/>
        <v>0</v>
      </c>
      <c r="BJ153" s="283">
        <f t="shared" si="228"/>
        <v>0</v>
      </c>
      <c r="BK153" s="186"/>
      <c r="BL153" s="186"/>
      <c r="BM153" s="186"/>
      <c r="BN153" s="186"/>
      <c r="BO153" s="186">
        <v>0</v>
      </c>
      <c r="BP153" s="284">
        <f t="shared" si="250"/>
        <v>0</v>
      </c>
      <c r="BQ153" s="186"/>
      <c r="BR153" s="186"/>
      <c r="BS153" s="186"/>
      <c r="BT153" s="186"/>
      <c r="BU153" s="186"/>
      <c r="BV153" s="186"/>
      <c r="BW153" s="186"/>
      <c r="BX153" s="186">
        <v>0</v>
      </c>
      <c r="BY153" s="285"/>
      <c r="BZ153" s="286">
        <f t="shared" si="252"/>
        <v>0</v>
      </c>
      <c r="CA153" s="187"/>
      <c r="CB153" s="187"/>
      <c r="CC153" s="187"/>
      <c r="CD153" s="187">
        <v>0</v>
      </c>
      <c r="CE153" s="286">
        <f t="shared" si="253"/>
        <v>0</v>
      </c>
      <c r="CF153" s="187"/>
      <c r="CG153" s="187"/>
      <c r="CH153" s="187"/>
      <c r="CI153" s="187"/>
      <c r="CJ153" s="288"/>
      <c r="CK153" s="288"/>
      <c r="CL153" s="288"/>
      <c r="CM153" s="288"/>
      <c r="CN153" s="288"/>
      <c r="CO153" s="187">
        <f t="shared" si="254"/>
        <v>0</v>
      </c>
      <c r="CP153" s="184"/>
      <c r="CQ153" s="184" t="s">
        <v>488</v>
      </c>
      <c r="CR153" s="183"/>
      <c r="CS153" s="183"/>
      <c r="CT153" s="487"/>
      <c r="CU153" s="167"/>
    </row>
    <row r="154" spans="1:99" ht="63.75" customHeight="1" outlineLevel="1">
      <c r="A154" s="183">
        <v>14</v>
      </c>
      <c r="B154" s="315" t="s">
        <v>3408</v>
      </c>
      <c r="C154" s="280" t="s">
        <v>3082</v>
      </c>
      <c r="D154" s="280" t="s">
        <v>3409</v>
      </c>
      <c r="E154" s="280" t="s">
        <v>3061</v>
      </c>
      <c r="F154" s="183" t="s">
        <v>49</v>
      </c>
      <c r="G154" s="183" t="s">
        <v>55</v>
      </c>
      <c r="H154" s="183"/>
      <c r="I154" s="184" t="s">
        <v>3360</v>
      </c>
      <c r="J154" s="183" t="s">
        <v>49</v>
      </c>
      <c r="K154" s="280" t="s">
        <v>3367</v>
      </c>
      <c r="L154" s="280">
        <v>2021</v>
      </c>
      <c r="M154" s="280">
        <v>2021</v>
      </c>
      <c r="N154" s="282"/>
      <c r="O154" s="282" t="s">
        <v>3410</v>
      </c>
      <c r="P154" s="283">
        <v>4800</v>
      </c>
      <c r="Q154" s="283"/>
      <c r="R154" s="283"/>
      <c r="S154" s="283">
        <v>4360</v>
      </c>
      <c r="T154" s="186">
        <v>440</v>
      </c>
      <c r="U154" s="186"/>
      <c r="V154" s="282" t="s">
        <v>3367</v>
      </c>
      <c r="W154" s="282" t="s">
        <v>3364</v>
      </c>
      <c r="X154" s="282" t="s">
        <v>3360</v>
      </c>
      <c r="Y154" s="186"/>
      <c r="Z154" s="186"/>
      <c r="AA154" s="186"/>
      <c r="AB154" s="186"/>
      <c r="AC154" s="186">
        <v>4360</v>
      </c>
      <c r="AD154" s="283"/>
      <c r="AE154" s="283"/>
      <c r="AF154" s="186">
        <v>4360</v>
      </c>
      <c r="AG154" s="283">
        <f t="shared" si="227"/>
        <v>4360</v>
      </c>
      <c r="AH154" s="283">
        <v>4360</v>
      </c>
      <c r="AI154" s="283"/>
      <c r="AJ154" s="283"/>
      <c r="AK154" s="283"/>
      <c r="AL154" s="186">
        <v>440</v>
      </c>
      <c r="AM154" s="186">
        <v>4360</v>
      </c>
      <c r="AN154" s="283"/>
      <c r="AO154" s="283"/>
      <c r="AP154" s="186">
        <v>4360</v>
      </c>
      <c r="AQ154" s="283">
        <v>4360</v>
      </c>
      <c r="AR154" s="283"/>
      <c r="AS154" s="283"/>
      <c r="AT154" s="283"/>
      <c r="AU154" s="186">
        <v>440</v>
      </c>
      <c r="AV154" s="186">
        <v>4360</v>
      </c>
      <c r="AW154" s="283"/>
      <c r="AX154" s="283"/>
      <c r="AY154" s="186">
        <v>4360</v>
      </c>
      <c r="AZ154" s="283">
        <v>4360</v>
      </c>
      <c r="BA154" s="283"/>
      <c r="BB154" s="283"/>
      <c r="BC154" s="283"/>
      <c r="BD154" s="186">
        <v>440</v>
      </c>
      <c r="BE154" s="186">
        <v>100</v>
      </c>
      <c r="BF154" s="186">
        <v>0</v>
      </c>
      <c r="BG154" s="283"/>
      <c r="BH154" s="283"/>
      <c r="BI154" s="186">
        <v>0</v>
      </c>
      <c r="BJ154" s="283">
        <f t="shared" si="228"/>
        <v>0</v>
      </c>
      <c r="BK154" s="283"/>
      <c r="BL154" s="283"/>
      <c r="BM154" s="283"/>
      <c r="BN154" s="283"/>
      <c r="BO154" s="186"/>
      <c r="BP154" s="284">
        <v>0</v>
      </c>
      <c r="BQ154" s="283"/>
      <c r="BR154" s="283"/>
      <c r="BS154" s="283"/>
      <c r="BT154" s="283"/>
      <c r="BU154" s="283"/>
      <c r="BV154" s="283"/>
      <c r="BW154" s="283"/>
      <c r="BX154" s="186"/>
      <c r="BY154" s="285"/>
      <c r="BZ154" s="286">
        <v>0</v>
      </c>
      <c r="CA154" s="287"/>
      <c r="CB154" s="287"/>
      <c r="CC154" s="287"/>
      <c r="CD154" s="187"/>
      <c r="CE154" s="286">
        <v>0</v>
      </c>
      <c r="CF154" s="287"/>
      <c r="CG154" s="287"/>
      <c r="CH154" s="287"/>
      <c r="CI154" s="187"/>
      <c r="CJ154" s="288"/>
      <c r="CK154" s="288"/>
      <c r="CL154" s="288"/>
      <c r="CM154" s="288"/>
      <c r="CN154" s="288"/>
      <c r="CO154" s="187">
        <v>0</v>
      </c>
      <c r="CP154" s="184"/>
      <c r="CQ154" s="184" t="s">
        <v>488</v>
      </c>
      <c r="CR154" s="304"/>
      <c r="CS154" s="304"/>
      <c r="CT154" s="291"/>
      <c r="CU154" s="160"/>
    </row>
    <row r="155" spans="1:99" ht="75.75" customHeight="1" outlineLevel="1">
      <c r="A155" s="183">
        <v>15</v>
      </c>
      <c r="B155" s="279" t="s">
        <v>3411</v>
      </c>
      <c r="C155" s="280" t="s">
        <v>3412</v>
      </c>
      <c r="D155" s="183" t="s">
        <v>3413</v>
      </c>
      <c r="E155" s="183" t="s">
        <v>3061</v>
      </c>
      <c r="F155" s="183" t="s">
        <v>49</v>
      </c>
      <c r="G155" s="183" t="s">
        <v>55</v>
      </c>
      <c r="H155" s="183"/>
      <c r="I155" s="184" t="s">
        <v>3360</v>
      </c>
      <c r="J155" s="183" t="s">
        <v>49</v>
      </c>
      <c r="K155" s="280" t="s">
        <v>3414</v>
      </c>
      <c r="L155" s="183">
        <v>2021</v>
      </c>
      <c r="M155" s="183">
        <v>2021</v>
      </c>
      <c r="N155" s="282"/>
      <c r="O155" s="282" t="s">
        <v>3415</v>
      </c>
      <c r="P155" s="186">
        <v>1500</v>
      </c>
      <c r="Q155" s="186"/>
      <c r="R155" s="186"/>
      <c r="S155" s="186">
        <v>1440</v>
      </c>
      <c r="T155" s="186">
        <v>60</v>
      </c>
      <c r="U155" s="186"/>
      <c r="V155" s="282" t="s">
        <v>3414</v>
      </c>
      <c r="W155" s="282" t="s">
        <v>3364</v>
      </c>
      <c r="X155" s="282" t="s">
        <v>3360</v>
      </c>
      <c r="Y155" s="186"/>
      <c r="Z155" s="186"/>
      <c r="AA155" s="186"/>
      <c r="AB155" s="186"/>
      <c r="AC155" s="186">
        <v>1440</v>
      </c>
      <c r="AD155" s="186"/>
      <c r="AE155" s="186"/>
      <c r="AF155" s="186">
        <v>1440</v>
      </c>
      <c r="AG155" s="283">
        <f t="shared" ref="AG155:AG223" si="255">AH155+AI155</f>
        <v>1440</v>
      </c>
      <c r="AH155" s="186"/>
      <c r="AI155" s="186">
        <v>1440</v>
      </c>
      <c r="AJ155" s="186"/>
      <c r="AK155" s="186"/>
      <c r="AL155" s="186">
        <v>60</v>
      </c>
      <c r="AM155" s="186">
        <v>1440</v>
      </c>
      <c r="AN155" s="186"/>
      <c r="AO155" s="186"/>
      <c r="AP155" s="186">
        <v>1440</v>
      </c>
      <c r="AQ155" s="186"/>
      <c r="AR155" s="186">
        <v>1440</v>
      </c>
      <c r="AS155" s="186"/>
      <c r="AT155" s="186"/>
      <c r="AU155" s="186">
        <v>60</v>
      </c>
      <c r="AV155" s="186">
        <v>1440</v>
      </c>
      <c r="AW155" s="186"/>
      <c r="AX155" s="186"/>
      <c r="AY155" s="186">
        <v>1440</v>
      </c>
      <c r="AZ155" s="186"/>
      <c r="BA155" s="186">
        <v>1440</v>
      </c>
      <c r="BB155" s="186"/>
      <c r="BC155" s="186"/>
      <c r="BD155" s="186">
        <v>60</v>
      </c>
      <c r="BE155" s="186">
        <v>100</v>
      </c>
      <c r="BF155" s="186">
        <v>0</v>
      </c>
      <c r="BG155" s="186"/>
      <c r="BH155" s="186"/>
      <c r="BI155" s="186">
        <v>0</v>
      </c>
      <c r="BJ155" s="283">
        <f t="shared" ref="BJ155:BJ191" si="256">BK155+BL155</f>
        <v>0</v>
      </c>
      <c r="BK155" s="186"/>
      <c r="BL155" s="186"/>
      <c r="BM155" s="186"/>
      <c r="BN155" s="186"/>
      <c r="BO155" s="186"/>
      <c r="BP155" s="284">
        <v>0</v>
      </c>
      <c r="BQ155" s="284"/>
      <c r="BR155" s="284"/>
      <c r="BS155" s="284"/>
      <c r="BT155" s="284"/>
      <c r="BU155" s="284"/>
      <c r="BV155" s="284"/>
      <c r="BW155" s="284"/>
      <c r="BX155" s="186"/>
      <c r="BY155" s="285"/>
      <c r="BZ155" s="286">
        <v>0</v>
      </c>
      <c r="CA155" s="286"/>
      <c r="CB155" s="286"/>
      <c r="CC155" s="286"/>
      <c r="CD155" s="187"/>
      <c r="CE155" s="286">
        <v>0</v>
      </c>
      <c r="CF155" s="286"/>
      <c r="CG155" s="286"/>
      <c r="CH155" s="286"/>
      <c r="CI155" s="187"/>
      <c r="CJ155" s="288"/>
      <c r="CK155" s="288"/>
      <c r="CL155" s="288"/>
      <c r="CM155" s="288"/>
      <c r="CN155" s="288"/>
      <c r="CO155" s="187">
        <v>0</v>
      </c>
      <c r="CP155" s="184"/>
      <c r="CQ155" s="184" t="s">
        <v>488</v>
      </c>
      <c r="CR155" s="304"/>
      <c r="CS155" s="304"/>
      <c r="CT155" s="291"/>
      <c r="CU155" s="160"/>
    </row>
    <row r="156" spans="1:99" ht="15.4" outlineLevel="1">
      <c r="A156" s="430" t="s">
        <v>45</v>
      </c>
      <c r="B156" s="495" t="s">
        <v>913</v>
      </c>
      <c r="C156" s="183"/>
      <c r="D156" s="183"/>
      <c r="E156" s="183"/>
      <c r="F156" s="183"/>
      <c r="G156" s="183"/>
      <c r="H156" s="183"/>
      <c r="I156" s="184"/>
      <c r="J156" s="183"/>
      <c r="K156" s="183"/>
      <c r="L156" s="183"/>
      <c r="M156" s="183"/>
      <c r="N156" s="282"/>
      <c r="O156" s="282"/>
      <c r="P156" s="186">
        <f>SUM(P157:P167)</f>
        <v>14700</v>
      </c>
      <c r="Q156" s="186">
        <f t="shared" ref="Q156:BN156" si="257">SUM(Q157:Q167)</f>
        <v>0</v>
      </c>
      <c r="R156" s="186">
        <f t="shared" si="257"/>
        <v>0</v>
      </c>
      <c r="S156" s="186">
        <f t="shared" si="257"/>
        <v>14700</v>
      </c>
      <c r="T156" s="186">
        <f t="shared" si="257"/>
        <v>0</v>
      </c>
      <c r="U156" s="186">
        <f t="shared" si="257"/>
        <v>0</v>
      </c>
      <c r="V156" s="285">
        <f t="shared" si="257"/>
        <v>0</v>
      </c>
      <c r="W156" s="285">
        <f t="shared" si="257"/>
        <v>0</v>
      </c>
      <c r="X156" s="285">
        <f t="shared" si="257"/>
        <v>0</v>
      </c>
      <c r="Y156" s="186">
        <f t="shared" si="257"/>
        <v>0</v>
      </c>
      <c r="Z156" s="186">
        <f t="shared" si="257"/>
        <v>0</v>
      </c>
      <c r="AA156" s="186">
        <f t="shared" si="257"/>
        <v>0</v>
      </c>
      <c r="AB156" s="186">
        <f t="shared" si="257"/>
        <v>0</v>
      </c>
      <c r="AC156" s="186">
        <f t="shared" si="257"/>
        <v>9075</v>
      </c>
      <c r="AD156" s="186">
        <f t="shared" si="257"/>
        <v>0</v>
      </c>
      <c r="AE156" s="186">
        <f t="shared" si="257"/>
        <v>0</v>
      </c>
      <c r="AF156" s="186">
        <f t="shared" si="257"/>
        <v>9075</v>
      </c>
      <c r="AG156" s="186">
        <f t="shared" si="257"/>
        <v>0</v>
      </c>
      <c r="AH156" s="186">
        <f t="shared" si="257"/>
        <v>0</v>
      </c>
      <c r="AI156" s="186">
        <f t="shared" si="257"/>
        <v>0</v>
      </c>
      <c r="AJ156" s="186">
        <f t="shared" si="257"/>
        <v>3900</v>
      </c>
      <c r="AK156" s="186">
        <f t="shared" si="257"/>
        <v>5175</v>
      </c>
      <c r="AL156" s="186">
        <f t="shared" si="257"/>
        <v>0</v>
      </c>
      <c r="AM156" s="186">
        <f t="shared" si="257"/>
        <v>0</v>
      </c>
      <c r="AN156" s="186">
        <f t="shared" si="257"/>
        <v>0</v>
      </c>
      <c r="AO156" s="186">
        <f t="shared" si="257"/>
        <v>0</v>
      </c>
      <c r="AP156" s="186">
        <f t="shared" si="257"/>
        <v>0</v>
      </c>
      <c r="AQ156" s="186">
        <f t="shared" si="257"/>
        <v>0</v>
      </c>
      <c r="AR156" s="186">
        <f t="shared" si="257"/>
        <v>0</v>
      </c>
      <c r="AS156" s="186">
        <f t="shared" si="257"/>
        <v>0</v>
      </c>
      <c r="AT156" s="186">
        <f t="shared" si="257"/>
        <v>0</v>
      </c>
      <c r="AU156" s="186">
        <f t="shared" si="257"/>
        <v>0</v>
      </c>
      <c r="AV156" s="186">
        <f t="shared" si="257"/>
        <v>0</v>
      </c>
      <c r="AW156" s="186">
        <f t="shared" si="257"/>
        <v>0</v>
      </c>
      <c r="AX156" s="186">
        <f t="shared" si="257"/>
        <v>0</v>
      </c>
      <c r="AY156" s="186">
        <f t="shared" si="257"/>
        <v>0</v>
      </c>
      <c r="AZ156" s="186">
        <f t="shared" si="257"/>
        <v>0</v>
      </c>
      <c r="BA156" s="186">
        <f t="shared" si="257"/>
        <v>0</v>
      </c>
      <c r="BB156" s="186">
        <f t="shared" si="257"/>
        <v>0</v>
      </c>
      <c r="BC156" s="186">
        <f t="shared" si="257"/>
        <v>0</v>
      </c>
      <c r="BD156" s="186">
        <f t="shared" si="257"/>
        <v>0</v>
      </c>
      <c r="BE156" s="186">
        <f t="shared" si="257"/>
        <v>0</v>
      </c>
      <c r="BF156" s="186">
        <f t="shared" si="257"/>
        <v>0</v>
      </c>
      <c r="BG156" s="186">
        <f t="shared" si="257"/>
        <v>0</v>
      </c>
      <c r="BH156" s="186">
        <f t="shared" si="257"/>
        <v>0</v>
      </c>
      <c r="BI156" s="186">
        <f t="shared" si="257"/>
        <v>0</v>
      </c>
      <c r="BJ156" s="186">
        <f t="shared" si="257"/>
        <v>0</v>
      </c>
      <c r="BK156" s="186">
        <f t="shared" si="257"/>
        <v>0</v>
      </c>
      <c r="BL156" s="186">
        <f t="shared" si="257"/>
        <v>0</v>
      </c>
      <c r="BM156" s="186">
        <f t="shared" si="257"/>
        <v>0</v>
      </c>
      <c r="BN156" s="186">
        <f t="shared" si="257"/>
        <v>0</v>
      </c>
      <c r="BO156" s="186"/>
      <c r="BP156" s="284"/>
      <c r="BQ156" s="186"/>
      <c r="BR156" s="186"/>
      <c r="BS156" s="186"/>
      <c r="BT156" s="186"/>
      <c r="BU156" s="186"/>
      <c r="BV156" s="186"/>
      <c r="BW156" s="186"/>
      <c r="BX156" s="186"/>
      <c r="BY156" s="285"/>
      <c r="BZ156" s="286"/>
      <c r="CA156" s="187"/>
      <c r="CB156" s="187"/>
      <c r="CC156" s="187"/>
      <c r="CD156" s="187"/>
      <c r="CE156" s="286"/>
      <c r="CF156" s="187"/>
      <c r="CG156" s="187"/>
      <c r="CH156" s="187"/>
      <c r="CI156" s="187"/>
      <c r="CJ156" s="288"/>
      <c r="CK156" s="288"/>
      <c r="CL156" s="307"/>
      <c r="CM156" s="288"/>
      <c r="CN156" s="288"/>
      <c r="CO156" s="187"/>
      <c r="CP156" s="184"/>
      <c r="CQ156" s="184"/>
      <c r="CR156" s="280"/>
      <c r="CS156" s="280"/>
      <c r="CT156" s="291"/>
      <c r="CU156" s="160"/>
    </row>
    <row r="157" spans="1:99" ht="91.5" customHeight="1" outlineLevel="1">
      <c r="A157" s="183">
        <v>1</v>
      </c>
      <c r="B157" s="279" t="s">
        <v>3416</v>
      </c>
      <c r="C157" s="183" t="s">
        <v>304</v>
      </c>
      <c r="D157" s="183" t="s">
        <v>3683</v>
      </c>
      <c r="E157" s="183"/>
      <c r="F157" s="183"/>
      <c r="G157" s="183"/>
      <c r="H157" s="183"/>
      <c r="I157" s="184" t="s">
        <v>3360</v>
      </c>
      <c r="J157" s="183"/>
      <c r="K157" s="183" t="s">
        <v>3357</v>
      </c>
      <c r="L157" s="183" t="s">
        <v>75</v>
      </c>
      <c r="M157" s="183"/>
      <c r="N157" s="284"/>
      <c r="O157" s="282" t="s">
        <v>3102</v>
      </c>
      <c r="P157" s="283">
        <v>2244</v>
      </c>
      <c r="Q157" s="283"/>
      <c r="R157" s="283"/>
      <c r="S157" s="283">
        <v>2244</v>
      </c>
      <c r="T157" s="186">
        <v>0</v>
      </c>
      <c r="U157" s="186"/>
      <c r="V157" s="282" t="s">
        <v>3357</v>
      </c>
      <c r="W157" s="282" t="s">
        <v>3357</v>
      </c>
      <c r="X157" s="282" t="s">
        <v>3360</v>
      </c>
      <c r="Y157" s="186">
        <v>0</v>
      </c>
      <c r="Z157" s="186"/>
      <c r="AA157" s="186"/>
      <c r="AB157" s="186"/>
      <c r="AC157" s="186">
        <v>2244</v>
      </c>
      <c r="AD157" s="283"/>
      <c r="AE157" s="283"/>
      <c r="AF157" s="186">
        <v>2244</v>
      </c>
      <c r="AG157" s="283">
        <f t="shared" si="255"/>
        <v>0</v>
      </c>
      <c r="AH157" s="283"/>
      <c r="AI157" s="283"/>
      <c r="AJ157" s="283">
        <v>2244</v>
      </c>
      <c r="AK157" s="283"/>
      <c r="AL157" s="186">
        <v>0</v>
      </c>
      <c r="AM157" s="283"/>
      <c r="AN157" s="283"/>
      <c r="AO157" s="283"/>
      <c r="AP157" s="283"/>
      <c r="AQ157" s="283"/>
      <c r="AR157" s="283"/>
      <c r="AS157" s="283"/>
      <c r="AT157" s="283"/>
      <c r="AU157" s="186"/>
      <c r="AV157" s="283"/>
      <c r="AW157" s="283"/>
      <c r="AX157" s="283"/>
      <c r="AY157" s="283"/>
      <c r="AZ157" s="283"/>
      <c r="BA157" s="283"/>
      <c r="BB157" s="283"/>
      <c r="BC157" s="283"/>
      <c r="BD157" s="186"/>
      <c r="BE157" s="186"/>
      <c r="BF157" s="283"/>
      <c r="BG157" s="283"/>
      <c r="BH157" s="283"/>
      <c r="BI157" s="283"/>
      <c r="BJ157" s="283">
        <f t="shared" si="256"/>
        <v>0</v>
      </c>
      <c r="BK157" s="283"/>
      <c r="BL157" s="283"/>
      <c r="BM157" s="283"/>
      <c r="BN157" s="283"/>
      <c r="BO157" s="186"/>
      <c r="BP157" s="283"/>
      <c r="BQ157" s="283"/>
      <c r="BR157" s="283"/>
      <c r="BS157" s="283"/>
      <c r="BT157" s="283"/>
      <c r="BU157" s="283"/>
      <c r="BV157" s="283"/>
      <c r="BW157" s="283"/>
      <c r="BX157" s="186"/>
      <c r="BY157" s="186"/>
      <c r="BZ157" s="287"/>
      <c r="CA157" s="287"/>
      <c r="CB157" s="287"/>
      <c r="CC157" s="287"/>
      <c r="CD157" s="187"/>
      <c r="CE157" s="287"/>
      <c r="CF157" s="287"/>
      <c r="CG157" s="287"/>
      <c r="CH157" s="287"/>
      <c r="CI157" s="187"/>
      <c r="CJ157" s="187"/>
      <c r="CK157" s="187"/>
      <c r="CL157" s="187"/>
      <c r="CM157" s="187"/>
      <c r="CN157" s="187"/>
      <c r="CO157" s="187"/>
      <c r="CP157" s="187"/>
      <c r="CQ157" s="187"/>
      <c r="CR157" s="304"/>
      <c r="CS157" s="304"/>
      <c r="CT157" s="291"/>
      <c r="CU157" s="160"/>
    </row>
    <row r="158" spans="1:99" ht="61.5" outlineLevel="1">
      <c r="A158" s="183">
        <v>2</v>
      </c>
      <c r="B158" s="279" t="s">
        <v>3417</v>
      </c>
      <c r="C158" s="183" t="s">
        <v>304</v>
      </c>
      <c r="D158" s="183" t="s">
        <v>3684</v>
      </c>
      <c r="E158" s="183"/>
      <c r="F158" s="183"/>
      <c r="G158" s="183"/>
      <c r="H158" s="183"/>
      <c r="I158" s="184" t="s">
        <v>3360</v>
      </c>
      <c r="J158" s="183"/>
      <c r="K158" s="183" t="s">
        <v>3357</v>
      </c>
      <c r="L158" s="183" t="s">
        <v>75</v>
      </c>
      <c r="M158" s="183"/>
      <c r="N158" s="284"/>
      <c r="O158" s="282" t="s">
        <v>3102</v>
      </c>
      <c r="P158" s="283">
        <v>656</v>
      </c>
      <c r="Q158" s="283"/>
      <c r="R158" s="283"/>
      <c r="S158" s="283">
        <v>656</v>
      </c>
      <c r="T158" s="186">
        <v>0</v>
      </c>
      <c r="U158" s="186"/>
      <c r="V158" s="282" t="s">
        <v>3357</v>
      </c>
      <c r="W158" s="282" t="s">
        <v>3357</v>
      </c>
      <c r="X158" s="282" t="s">
        <v>3360</v>
      </c>
      <c r="Y158" s="186">
        <v>0</v>
      </c>
      <c r="Z158" s="186"/>
      <c r="AA158" s="186"/>
      <c r="AB158" s="186"/>
      <c r="AC158" s="186">
        <v>656</v>
      </c>
      <c r="AD158" s="283"/>
      <c r="AE158" s="283"/>
      <c r="AF158" s="186">
        <v>656</v>
      </c>
      <c r="AG158" s="283">
        <f t="shared" si="255"/>
        <v>0</v>
      </c>
      <c r="AH158" s="283"/>
      <c r="AI158" s="283"/>
      <c r="AJ158" s="283">
        <v>656</v>
      </c>
      <c r="AK158" s="283"/>
      <c r="AL158" s="186">
        <v>0</v>
      </c>
      <c r="AM158" s="283"/>
      <c r="AN158" s="283"/>
      <c r="AO158" s="283"/>
      <c r="AP158" s="283"/>
      <c r="AQ158" s="283"/>
      <c r="AR158" s="283"/>
      <c r="AS158" s="283"/>
      <c r="AT158" s="283"/>
      <c r="AU158" s="186"/>
      <c r="AV158" s="283"/>
      <c r="AW158" s="283"/>
      <c r="AX158" s="283"/>
      <c r="AY158" s="283"/>
      <c r="AZ158" s="283"/>
      <c r="BA158" s="283"/>
      <c r="BB158" s="283"/>
      <c r="BC158" s="283"/>
      <c r="BD158" s="186"/>
      <c r="BE158" s="186"/>
      <c r="BF158" s="283"/>
      <c r="BG158" s="283"/>
      <c r="BH158" s="283"/>
      <c r="BI158" s="283"/>
      <c r="BJ158" s="283">
        <f t="shared" si="256"/>
        <v>0</v>
      </c>
      <c r="BK158" s="283"/>
      <c r="BL158" s="283"/>
      <c r="BM158" s="283"/>
      <c r="BN158" s="283"/>
      <c r="BO158" s="186"/>
      <c r="BP158" s="283"/>
      <c r="BQ158" s="283"/>
      <c r="BR158" s="283"/>
      <c r="BS158" s="283"/>
      <c r="BT158" s="283"/>
      <c r="BU158" s="283"/>
      <c r="BV158" s="283"/>
      <c r="BW158" s="283"/>
      <c r="BX158" s="186"/>
      <c r="BY158" s="186"/>
      <c r="BZ158" s="287"/>
      <c r="CA158" s="287"/>
      <c r="CB158" s="287"/>
      <c r="CC158" s="287"/>
      <c r="CD158" s="187"/>
      <c r="CE158" s="287"/>
      <c r="CF158" s="287"/>
      <c r="CG158" s="287"/>
      <c r="CH158" s="287"/>
      <c r="CI158" s="187"/>
      <c r="CJ158" s="187"/>
      <c r="CK158" s="187"/>
      <c r="CL158" s="187"/>
      <c r="CM158" s="187"/>
      <c r="CN158" s="187"/>
      <c r="CO158" s="187"/>
      <c r="CP158" s="187"/>
      <c r="CQ158" s="187"/>
      <c r="CR158" s="304"/>
      <c r="CS158" s="304"/>
      <c r="CT158" s="291"/>
      <c r="CU158" s="160"/>
    </row>
    <row r="159" spans="1:99" ht="57" customHeight="1" outlineLevel="1">
      <c r="A159" s="183">
        <v>3</v>
      </c>
      <c r="B159" s="292" t="s">
        <v>3418</v>
      </c>
      <c r="C159" s="183" t="s">
        <v>304</v>
      </c>
      <c r="D159" s="183" t="s">
        <v>3419</v>
      </c>
      <c r="E159" s="183"/>
      <c r="F159" s="183"/>
      <c r="G159" s="183"/>
      <c r="H159" s="183"/>
      <c r="I159" s="184" t="s">
        <v>3360</v>
      </c>
      <c r="J159" s="183"/>
      <c r="K159" s="183" t="s">
        <v>3364</v>
      </c>
      <c r="L159" s="183" t="s">
        <v>84</v>
      </c>
      <c r="M159" s="183"/>
      <c r="N159" s="282"/>
      <c r="O159" s="282" t="s">
        <v>3664</v>
      </c>
      <c r="P159" s="283">
        <v>1000</v>
      </c>
      <c r="Q159" s="283"/>
      <c r="R159" s="283"/>
      <c r="S159" s="186">
        <v>1000</v>
      </c>
      <c r="T159" s="186">
        <v>0</v>
      </c>
      <c r="U159" s="186"/>
      <c r="V159" s="282" t="s">
        <v>3364</v>
      </c>
      <c r="W159" s="282" t="s">
        <v>3364</v>
      </c>
      <c r="X159" s="282" t="s">
        <v>3360</v>
      </c>
      <c r="Y159" s="283"/>
      <c r="Z159" s="283"/>
      <c r="AA159" s="283"/>
      <c r="AB159" s="283"/>
      <c r="AC159" s="186">
        <f t="shared" ref="AC159" si="258">AD159+AE159+AF159</f>
        <v>1000</v>
      </c>
      <c r="AD159" s="283"/>
      <c r="AE159" s="283"/>
      <c r="AF159" s="186">
        <f t="shared" ref="AF159" si="259">SUM(AH159:AK159)</f>
        <v>1000</v>
      </c>
      <c r="AG159" s="283">
        <f t="shared" si="255"/>
        <v>0</v>
      </c>
      <c r="AH159" s="186"/>
      <c r="AI159" s="186"/>
      <c r="AJ159" s="186">
        <v>1000</v>
      </c>
      <c r="AK159" s="186"/>
      <c r="AL159" s="186">
        <v>0</v>
      </c>
      <c r="AM159" s="283"/>
      <c r="AN159" s="283"/>
      <c r="AO159" s="283"/>
      <c r="AP159" s="186"/>
      <c r="AQ159" s="186"/>
      <c r="AR159" s="186"/>
      <c r="AS159" s="186"/>
      <c r="AT159" s="186"/>
      <c r="AU159" s="186"/>
      <c r="AV159" s="283"/>
      <c r="AW159" s="283"/>
      <c r="AX159" s="283"/>
      <c r="AY159" s="186"/>
      <c r="AZ159" s="186"/>
      <c r="BA159" s="186"/>
      <c r="BB159" s="186"/>
      <c r="BC159" s="186"/>
      <c r="BD159" s="186"/>
      <c r="BE159" s="186"/>
      <c r="BF159" s="283"/>
      <c r="BG159" s="283"/>
      <c r="BH159" s="283"/>
      <c r="BI159" s="186"/>
      <c r="BJ159" s="283">
        <f t="shared" si="256"/>
        <v>0</v>
      </c>
      <c r="BK159" s="186"/>
      <c r="BL159" s="186"/>
      <c r="BM159" s="186"/>
      <c r="BN159" s="186"/>
      <c r="BO159" s="186"/>
      <c r="BP159" s="283"/>
      <c r="BQ159" s="283"/>
      <c r="BR159" s="283"/>
      <c r="BS159" s="284"/>
      <c r="BT159" s="284"/>
      <c r="BU159" s="284"/>
      <c r="BV159" s="284"/>
      <c r="BW159" s="284"/>
      <c r="BX159" s="186"/>
      <c r="BY159" s="186"/>
      <c r="BZ159" s="287"/>
      <c r="CA159" s="287"/>
      <c r="CB159" s="287"/>
      <c r="CC159" s="286"/>
      <c r="CD159" s="187"/>
      <c r="CE159" s="287"/>
      <c r="CF159" s="287"/>
      <c r="CG159" s="287"/>
      <c r="CH159" s="286"/>
      <c r="CI159" s="187"/>
      <c r="CJ159" s="187"/>
      <c r="CK159" s="187"/>
      <c r="CL159" s="187"/>
      <c r="CM159" s="187"/>
      <c r="CN159" s="187"/>
      <c r="CO159" s="187"/>
      <c r="CP159" s="187"/>
      <c r="CQ159" s="187"/>
      <c r="CR159" s="184"/>
      <c r="CS159" s="184"/>
      <c r="CT159" s="291"/>
      <c r="CU159" s="159"/>
    </row>
    <row r="160" spans="1:99" ht="76.5" customHeight="1" outlineLevel="1">
      <c r="A160" s="183">
        <v>4</v>
      </c>
      <c r="B160" s="293" t="s">
        <v>3420</v>
      </c>
      <c r="C160" s="280" t="s">
        <v>3042</v>
      </c>
      <c r="D160" s="183"/>
      <c r="E160" s="281"/>
      <c r="F160" s="281"/>
      <c r="G160" s="281"/>
      <c r="H160" s="281"/>
      <c r="I160" s="184" t="s">
        <v>3360</v>
      </c>
      <c r="J160" s="281"/>
      <c r="K160" s="183" t="s">
        <v>3367</v>
      </c>
      <c r="L160" s="183" t="s">
        <v>75</v>
      </c>
      <c r="M160" s="183"/>
      <c r="N160" s="282"/>
      <c r="O160" s="282" t="s">
        <v>3102</v>
      </c>
      <c r="P160" s="108">
        <v>1500</v>
      </c>
      <c r="Q160" s="108"/>
      <c r="R160" s="283"/>
      <c r="S160" s="283">
        <v>1500</v>
      </c>
      <c r="T160" s="186"/>
      <c r="U160" s="186"/>
      <c r="V160" s="282" t="s">
        <v>3367</v>
      </c>
      <c r="W160" s="282" t="s">
        <v>3364</v>
      </c>
      <c r="X160" s="282" t="s">
        <v>3360</v>
      </c>
      <c r="Y160" s="283"/>
      <c r="Z160" s="283"/>
      <c r="AA160" s="283"/>
      <c r="AB160" s="283"/>
      <c r="AC160" s="186">
        <v>525</v>
      </c>
      <c r="AD160" s="283"/>
      <c r="AE160" s="283"/>
      <c r="AF160" s="186">
        <v>525</v>
      </c>
      <c r="AG160" s="283">
        <f t="shared" si="255"/>
        <v>0</v>
      </c>
      <c r="AH160" s="283"/>
      <c r="AI160" s="283"/>
      <c r="AJ160" s="283"/>
      <c r="AK160" s="283">
        <v>525</v>
      </c>
      <c r="AL160" s="186"/>
      <c r="AM160" s="283"/>
      <c r="AN160" s="283"/>
      <c r="AO160" s="283"/>
      <c r="AP160" s="283"/>
      <c r="AQ160" s="283"/>
      <c r="AR160" s="283"/>
      <c r="AS160" s="283"/>
      <c r="AT160" s="283"/>
      <c r="AU160" s="186"/>
      <c r="AV160" s="283"/>
      <c r="AW160" s="283"/>
      <c r="AX160" s="283"/>
      <c r="AY160" s="283"/>
      <c r="AZ160" s="283"/>
      <c r="BA160" s="283"/>
      <c r="BB160" s="283"/>
      <c r="BC160" s="283"/>
      <c r="BD160" s="186"/>
      <c r="BE160" s="186"/>
      <c r="BF160" s="283"/>
      <c r="BG160" s="283"/>
      <c r="BH160" s="283"/>
      <c r="BI160" s="283"/>
      <c r="BJ160" s="283">
        <f t="shared" si="256"/>
        <v>0</v>
      </c>
      <c r="BK160" s="283"/>
      <c r="BL160" s="283"/>
      <c r="BM160" s="283"/>
      <c r="BN160" s="283"/>
      <c r="BO160" s="186"/>
      <c r="BP160" s="283"/>
      <c r="BQ160" s="283"/>
      <c r="BR160" s="283"/>
      <c r="BS160" s="283"/>
      <c r="BT160" s="283"/>
      <c r="BU160" s="283"/>
      <c r="BV160" s="283"/>
      <c r="BW160" s="283"/>
      <c r="BX160" s="186"/>
      <c r="BY160" s="186"/>
      <c r="BZ160" s="287"/>
      <c r="CA160" s="287"/>
      <c r="CB160" s="287"/>
      <c r="CC160" s="287"/>
      <c r="CD160" s="187"/>
      <c r="CE160" s="287"/>
      <c r="CF160" s="287"/>
      <c r="CG160" s="287"/>
      <c r="CH160" s="287"/>
      <c r="CI160" s="187"/>
      <c r="CJ160" s="187"/>
      <c r="CK160" s="187"/>
      <c r="CL160" s="187"/>
      <c r="CM160" s="187"/>
      <c r="CN160" s="187"/>
      <c r="CO160" s="187"/>
      <c r="CP160" s="187"/>
      <c r="CQ160" s="187"/>
      <c r="CR160" s="281"/>
      <c r="CS160" s="281"/>
      <c r="CT160" s="291"/>
      <c r="CU160" s="160"/>
    </row>
    <row r="161" spans="1:99" ht="74.25" customHeight="1" outlineLevel="1">
      <c r="A161" s="183">
        <v>5</v>
      </c>
      <c r="B161" s="293" t="s">
        <v>3421</v>
      </c>
      <c r="C161" s="280" t="s">
        <v>3042</v>
      </c>
      <c r="D161" s="183"/>
      <c r="E161" s="281"/>
      <c r="F161" s="281"/>
      <c r="G161" s="281"/>
      <c r="H161" s="281"/>
      <c r="I161" s="184" t="s">
        <v>3360</v>
      </c>
      <c r="J161" s="281"/>
      <c r="K161" s="183" t="s">
        <v>3367</v>
      </c>
      <c r="L161" s="183" t="s">
        <v>75</v>
      </c>
      <c r="M161" s="183"/>
      <c r="N161" s="282"/>
      <c r="O161" s="282" t="s">
        <v>3102</v>
      </c>
      <c r="P161" s="108">
        <v>1200</v>
      </c>
      <c r="Q161" s="108"/>
      <c r="R161" s="283"/>
      <c r="S161" s="283">
        <v>1200</v>
      </c>
      <c r="T161" s="186"/>
      <c r="U161" s="186"/>
      <c r="V161" s="282" t="s">
        <v>3367</v>
      </c>
      <c r="W161" s="282" t="s">
        <v>3364</v>
      </c>
      <c r="X161" s="282" t="s">
        <v>3360</v>
      </c>
      <c r="Y161" s="283"/>
      <c r="Z161" s="283"/>
      <c r="AA161" s="283"/>
      <c r="AB161" s="283"/>
      <c r="AC161" s="186">
        <v>420</v>
      </c>
      <c r="AD161" s="283"/>
      <c r="AE161" s="283"/>
      <c r="AF161" s="186">
        <v>420</v>
      </c>
      <c r="AG161" s="283">
        <f t="shared" si="255"/>
        <v>0</v>
      </c>
      <c r="AH161" s="283"/>
      <c r="AI161" s="283"/>
      <c r="AJ161" s="283"/>
      <c r="AK161" s="283">
        <v>420</v>
      </c>
      <c r="AL161" s="186"/>
      <c r="AM161" s="283"/>
      <c r="AN161" s="283"/>
      <c r="AO161" s="283"/>
      <c r="AP161" s="283"/>
      <c r="AQ161" s="283"/>
      <c r="AR161" s="283"/>
      <c r="AS161" s="283"/>
      <c r="AT161" s="283"/>
      <c r="AU161" s="186"/>
      <c r="AV161" s="283"/>
      <c r="AW161" s="283"/>
      <c r="AX161" s="283"/>
      <c r="AY161" s="283"/>
      <c r="AZ161" s="283"/>
      <c r="BA161" s="283"/>
      <c r="BB161" s="283"/>
      <c r="BC161" s="283"/>
      <c r="BD161" s="186"/>
      <c r="BE161" s="186"/>
      <c r="BF161" s="283"/>
      <c r="BG161" s="283"/>
      <c r="BH161" s="283"/>
      <c r="BI161" s="283"/>
      <c r="BJ161" s="283">
        <f t="shared" si="256"/>
        <v>0</v>
      </c>
      <c r="BK161" s="283"/>
      <c r="BL161" s="283"/>
      <c r="BM161" s="283"/>
      <c r="BN161" s="283"/>
      <c r="BO161" s="186"/>
      <c r="BP161" s="283"/>
      <c r="BQ161" s="283"/>
      <c r="BR161" s="283"/>
      <c r="BS161" s="283"/>
      <c r="BT161" s="283"/>
      <c r="BU161" s="283"/>
      <c r="BV161" s="283"/>
      <c r="BW161" s="283"/>
      <c r="BX161" s="186"/>
      <c r="BY161" s="186"/>
      <c r="BZ161" s="287"/>
      <c r="CA161" s="287"/>
      <c r="CB161" s="287"/>
      <c r="CC161" s="287"/>
      <c r="CD161" s="187"/>
      <c r="CE161" s="287"/>
      <c r="CF161" s="287"/>
      <c r="CG161" s="287"/>
      <c r="CH161" s="287"/>
      <c r="CI161" s="187"/>
      <c r="CJ161" s="187"/>
      <c r="CK161" s="187"/>
      <c r="CL161" s="187"/>
      <c r="CM161" s="187"/>
      <c r="CN161" s="187"/>
      <c r="CO161" s="187"/>
      <c r="CP161" s="187"/>
      <c r="CQ161" s="187"/>
      <c r="CR161" s="281"/>
      <c r="CS161" s="281"/>
      <c r="CT161" s="291"/>
      <c r="CU161" s="160"/>
    </row>
    <row r="162" spans="1:99" ht="54.75" customHeight="1" outlineLevel="1">
      <c r="A162" s="183">
        <v>6</v>
      </c>
      <c r="B162" s="293" t="s">
        <v>3422</v>
      </c>
      <c r="C162" s="280" t="s">
        <v>3042</v>
      </c>
      <c r="D162" s="183"/>
      <c r="E162" s="281"/>
      <c r="F162" s="281"/>
      <c r="G162" s="281"/>
      <c r="H162" s="281"/>
      <c r="I162" s="184" t="s">
        <v>3360</v>
      </c>
      <c r="J162" s="281"/>
      <c r="K162" s="183" t="s">
        <v>3367</v>
      </c>
      <c r="L162" s="183" t="s">
        <v>75</v>
      </c>
      <c r="M162" s="183"/>
      <c r="N162" s="282"/>
      <c r="O162" s="282" t="s">
        <v>3102</v>
      </c>
      <c r="P162" s="108">
        <v>1200</v>
      </c>
      <c r="Q162" s="108"/>
      <c r="R162" s="283"/>
      <c r="S162" s="283">
        <v>1200</v>
      </c>
      <c r="T162" s="186"/>
      <c r="U162" s="186"/>
      <c r="V162" s="282" t="s">
        <v>3367</v>
      </c>
      <c r="W162" s="282" t="s">
        <v>3364</v>
      </c>
      <c r="X162" s="282" t="s">
        <v>3360</v>
      </c>
      <c r="Y162" s="283"/>
      <c r="Z162" s="283"/>
      <c r="AA162" s="283"/>
      <c r="AB162" s="283"/>
      <c r="AC162" s="186">
        <v>420</v>
      </c>
      <c r="AD162" s="283"/>
      <c r="AE162" s="283"/>
      <c r="AF162" s="186">
        <v>420</v>
      </c>
      <c r="AG162" s="283">
        <f t="shared" si="255"/>
        <v>0</v>
      </c>
      <c r="AH162" s="283"/>
      <c r="AI162" s="283"/>
      <c r="AJ162" s="283"/>
      <c r="AK162" s="283">
        <v>420</v>
      </c>
      <c r="AL162" s="186"/>
      <c r="AM162" s="283"/>
      <c r="AN162" s="283"/>
      <c r="AO162" s="283"/>
      <c r="AP162" s="283"/>
      <c r="AQ162" s="283"/>
      <c r="AR162" s="283"/>
      <c r="AS162" s="283"/>
      <c r="AT162" s="283"/>
      <c r="AU162" s="186"/>
      <c r="AV162" s="283"/>
      <c r="AW162" s="283"/>
      <c r="AX162" s="283"/>
      <c r="AY162" s="283"/>
      <c r="AZ162" s="283"/>
      <c r="BA162" s="283"/>
      <c r="BB162" s="283"/>
      <c r="BC162" s="283"/>
      <c r="BD162" s="186"/>
      <c r="BE162" s="186"/>
      <c r="BF162" s="283"/>
      <c r="BG162" s="283"/>
      <c r="BH162" s="283"/>
      <c r="BI162" s="283"/>
      <c r="BJ162" s="283">
        <f t="shared" si="256"/>
        <v>0</v>
      </c>
      <c r="BK162" s="283"/>
      <c r="BL162" s="283"/>
      <c r="BM162" s="283"/>
      <c r="BN162" s="283"/>
      <c r="BO162" s="186"/>
      <c r="BP162" s="283"/>
      <c r="BQ162" s="283"/>
      <c r="BR162" s="283"/>
      <c r="BS162" s="283"/>
      <c r="BT162" s="283"/>
      <c r="BU162" s="283"/>
      <c r="BV162" s="283"/>
      <c r="BW162" s="283"/>
      <c r="BX162" s="186"/>
      <c r="BY162" s="186"/>
      <c r="BZ162" s="287"/>
      <c r="CA162" s="287"/>
      <c r="CB162" s="287"/>
      <c r="CC162" s="287"/>
      <c r="CD162" s="187"/>
      <c r="CE162" s="287"/>
      <c r="CF162" s="287"/>
      <c r="CG162" s="287"/>
      <c r="CH162" s="287"/>
      <c r="CI162" s="187"/>
      <c r="CJ162" s="187"/>
      <c r="CK162" s="187"/>
      <c r="CL162" s="187"/>
      <c r="CM162" s="187"/>
      <c r="CN162" s="187"/>
      <c r="CO162" s="187"/>
      <c r="CP162" s="187"/>
      <c r="CQ162" s="187"/>
      <c r="CR162" s="281"/>
      <c r="CS162" s="281"/>
      <c r="CT162" s="291"/>
      <c r="CU162" s="160"/>
    </row>
    <row r="163" spans="1:99" ht="52.5" customHeight="1" outlineLevel="1">
      <c r="A163" s="183">
        <v>7</v>
      </c>
      <c r="B163" s="293" t="s">
        <v>3423</v>
      </c>
      <c r="C163" s="280" t="s">
        <v>3042</v>
      </c>
      <c r="D163" s="183"/>
      <c r="E163" s="281"/>
      <c r="F163" s="281"/>
      <c r="G163" s="281"/>
      <c r="H163" s="281"/>
      <c r="I163" s="184" t="s">
        <v>3360</v>
      </c>
      <c r="J163" s="281"/>
      <c r="K163" s="183" t="s">
        <v>3367</v>
      </c>
      <c r="L163" s="183" t="s">
        <v>75</v>
      </c>
      <c r="M163" s="183"/>
      <c r="N163" s="282"/>
      <c r="O163" s="282" t="s">
        <v>3102</v>
      </c>
      <c r="P163" s="108">
        <v>2200</v>
      </c>
      <c r="Q163" s="108"/>
      <c r="R163" s="283"/>
      <c r="S163" s="283">
        <v>2200</v>
      </c>
      <c r="T163" s="186"/>
      <c r="U163" s="186"/>
      <c r="V163" s="282" t="s">
        <v>3367</v>
      </c>
      <c r="W163" s="282" t="s">
        <v>3364</v>
      </c>
      <c r="X163" s="282" t="s">
        <v>3360</v>
      </c>
      <c r="Y163" s="283"/>
      <c r="Z163" s="283"/>
      <c r="AA163" s="283"/>
      <c r="AB163" s="283"/>
      <c r="AC163" s="186">
        <v>770</v>
      </c>
      <c r="AD163" s="283"/>
      <c r="AE163" s="283"/>
      <c r="AF163" s="186">
        <v>770</v>
      </c>
      <c r="AG163" s="283">
        <f t="shared" si="255"/>
        <v>0</v>
      </c>
      <c r="AH163" s="283"/>
      <c r="AI163" s="283"/>
      <c r="AJ163" s="283"/>
      <c r="AK163" s="283">
        <v>770</v>
      </c>
      <c r="AL163" s="186"/>
      <c r="AM163" s="283"/>
      <c r="AN163" s="283"/>
      <c r="AO163" s="283"/>
      <c r="AP163" s="283"/>
      <c r="AQ163" s="283"/>
      <c r="AR163" s="283"/>
      <c r="AS163" s="283"/>
      <c r="AT163" s="283"/>
      <c r="AU163" s="186"/>
      <c r="AV163" s="283"/>
      <c r="AW163" s="283"/>
      <c r="AX163" s="283"/>
      <c r="AY163" s="283"/>
      <c r="AZ163" s="283"/>
      <c r="BA163" s="283"/>
      <c r="BB163" s="283"/>
      <c r="BC163" s="283"/>
      <c r="BD163" s="186"/>
      <c r="BE163" s="186"/>
      <c r="BF163" s="283"/>
      <c r="BG163" s="283"/>
      <c r="BH163" s="283"/>
      <c r="BI163" s="283"/>
      <c r="BJ163" s="283">
        <f t="shared" si="256"/>
        <v>0</v>
      </c>
      <c r="BK163" s="283"/>
      <c r="BL163" s="283"/>
      <c r="BM163" s="283"/>
      <c r="BN163" s="283"/>
      <c r="BO163" s="186"/>
      <c r="BP163" s="283"/>
      <c r="BQ163" s="283"/>
      <c r="BR163" s="283"/>
      <c r="BS163" s="283"/>
      <c r="BT163" s="283"/>
      <c r="BU163" s="283"/>
      <c r="BV163" s="283"/>
      <c r="BW163" s="283"/>
      <c r="BX163" s="186"/>
      <c r="BY163" s="186"/>
      <c r="BZ163" s="287"/>
      <c r="CA163" s="287"/>
      <c r="CB163" s="287"/>
      <c r="CC163" s="287"/>
      <c r="CD163" s="187"/>
      <c r="CE163" s="287"/>
      <c r="CF163" s="287"/>
      <c r="CG163" s="287"/>
      <c r="CH163" s="287"/>
      <c r="CI163" s="187"/>
      <c r="CJ163" s="187"/>
      <c r="CK163" s="187"/>
      <c r="CL163" s="187"/>
      <c r="CM163" s="187"/>
      <c r="CN163" s="187"/>
      <c r="CO163" s="187"/>
      <c r="CP163" s="187"/>
      <c r="CQ163" s="187"/>
      <c r="CR163" s="281"/>
      <c r="CS163" s="281"/>
      <c r="CT163" s="291"/>
      <c r="CU163" s="160"/>
    </row>
    <row r="164" spans="1:99" ht="57" customHeight="1" outlineLevel="1">
      <c r="A164" s="183">
        <v>8</v>
      </c>
      <c r="B164" s="293" t="s">
        <v>3424</v>
      </c>
      <c r="C164" s="280" t="s">
        <v>3042</v>
      </c>
      <c r="D164" s="183"/>
      <c r="E164" s="281"/>
      <c r="F164" s="281"/>
      <c r="G164" s="281"/>
      <c r="H164" s="281"/>
      <c r="I164" s="184" t="s">
        <v>3360</v>
      </c>
      <c r="J164" s="281"/>
      <c r="K164" s="183" t="s">
        <v>3367</v>
      </c>
      <c r="L164" s="183" t="s">
        <v>75</v>
      </c>
      <c r="M164" s="183"/>
      <c r="N164" s="282"/>
      <c r="O164" s="282" t="s">
        <v>3102</v>
      </c>
      <c r="P164" s="108">
        <v>2400</v>
      </c>
      <c r="Q164" s="108"/>
      <c r="R164" s="283"/>
      <c r="S164" s="283">
        <v>2400</v>
      </c>
      <c r="T164" s="186"/>
      <c r="U164" s="186"/>
      <c r="V164" s="282" t="s">
        <v>3367</v>
      </c>
      <c r="W164" s="282" t="s">
        <v>3364</v>
      </c>
      <c r="X164" s="282" t="s">
        <v>3360</v>
      </c>
      <c r="Y164" s="283"/>
      <c r="Z164" s="283"/>
      <c r="AA164" s="283"/>
      <c r="AB164" s="283"/>
      <c r="AC164" s="186">
        <v>840</v>
      </c>
      <c r="AD164" s="283"/>
      <c r="AE164" s="283"/>
      <c r="AF164" s="186">
        <v>840</v>
      </c>
      <c r="AG164" s="283">
        <f t="shared" si="255"/>
        <v>0</v>
      </c>
      <c r="AH164" s="283"/>
      <c r="AI164" s="283"/>
      <c r="AJ164" s="283"/>
      <c r="AK164" s="283">
        <v>840</v>
      </c>
      <c r="AL164" s="186"/>
      <c r="AM164" s="283"/>
      <c r="AN164" s="283"/>
      <c r="AO164" s="283"/>
      <c r="AP164" s="283"/>
      <c r="AQ164" s="283"/>
      <c r="AR164" s="283"/>
      <c r="AS164" s="283"/>
      <c r="AT164" s="283"/>
      <c r="AU164" s="186"/>
      <c r="AV164" s="283"/>
      <c r="AW164" s="283"/>
      <c r="AX164" s="283"/>
      <c r="AY164" s="283"/>
      <c r="AZ164" s="283"/>
      <c r="BA164" s="283"/>
      <c r="BB164" s="283"/>
      <c r="BC164" s="283"/>
      <c r="BD164" s="186"/>
      <c r="BE164" s="186"/>
      <c r="BF164" s="283"/>
      <c r="BG164" s="283"/>
      <c r="BH164" s="283"/>
      <c r="BI164" s="283"/>
      <c r="BJ164" s="283">
        <f t="shared" si="256"/>
        <v>0</v>
      </c>
      <c r="BK164" s="283"/>
      <c r="BL164" s="283"/>
      <c r="BM164" s="283"/>
      <c r="BN164" s="283"/>
      <c r="BO164" s="186"/>
      <c r="BP164" s="283"/>
      <c r="BQ164" s="283"/>
      <c r="BR164" s="283"/>
      <c r="BS164" s="283"/>
      <c r="BT164" s="283"/>
      <c r="BU164" s="283"/>
      <c r="BV164" s="283"/>
      <c r="BW164" s="283"/>
      <c r="BX164" s="186"/>
      <c r="BY164" s="186"/>
      <c r="BZ164" s="287"/>
      <c r="CA164" s="287"/>
      <c r="CB164" s="287"/>
      <c r="CC164" s="287"/>
      <c r="CD164" s="187"/>
      <c r="CE164" s="287"/>
      <c r="CF164" s="287"/>
      <c r="CG164" s="287"/>
      <c r="CH164" s="287"/>
      <c r="CI164" s="187"/>
      <c r="CJ164" s="187"/>
      <c r="CK164" s="187"/>
      <c r="CL164" s="187"/>
      <c r="CM164" s="187"/>
      <c r="CN164" s="187"/>
      <c r="CO164" s="187"/>
      <c r="CP164" s="187"/>
      <c r="CQ164" s="187"/>
      <c r="CR164" s="281"/>
      <c r="CS164" s="281"/>
      <c r="CT164" s="291"/>
      <c r="CU164" s="160"/>
    </row>
    <row r="165" spans="1:99" ht="66.75" customHeight="1" outlineLevel="1">
      <c r="A165" s="183">
        <v>9</v>
      </c>
      <c r="B165" s="279" t="s">
        <v>3425</v>
      </c>
      <c r="C165" s="280" t="s">
        <v>3042</v>
      </c>
      <c r="D165" s="183" t="s">
        <v>3426</v>
      </c>
      <c r="E165" s="183"/>
      <c r="F165" s="183"/>
      <c r="G165" s="183"/>
      <c r="H165" s="183"/>
      <c r="I165" s="184" t="s">
        <v>3360</v>
      </c>
      <c r="J165" s="183"/>
      <c r="K165" s="183" t="s">
        <v>3427</v>
      </c>
      <c r="L165" s="183" t="s">
        <v>75</v>
      </c>
      <c r="M165" s="184"/>
      <c r="N165" s="283"/>
      <c r="O165" s="282" t="s">
        <v>3102</v>
      </c>
      <c r="P165" s="283">
        <v>700</v>
      </c>
      <c r="Q165" s="283"/>
      <c r="R165" s="283"/>
      <c r="S165" s="283">
        <v>700</v>
      </c>
      <c r="T165" s="186">
        <v>0</v>
      </c>
      <c r="U165" s="186"/>
      <c r="V165" s="282" t="s">
        <v>3427</v>
      </c>
      <c r="W165" s="282" t="s">
        <v>3364</v>
      </c>
      <c r="X165" s="282" t="s">
        <v>3360</v>
      </c>
      <c r="Y165" s="283"/>
      <c r="Z165" s="283"/>
      <c r="AA165" s="283"/>
      <c r="AB165" s="283"/>
      <c r="AC165" s="186">
        <v>700</v>
      </c>
      <c r="AD165" s="283"/>
      <c r="AE165" s="283"/>
      <c r="AF165" s="186">
        <v>700</v>
      </c>
      <c r="AG165" s="283">
        <f t="shared" si="255"/>
        <v>0</v>
      </c>
      <c r="AH165" s="283"/>
      <c r="AI165" s="283"/>
      <c r="AJ165" s="283"/>
      <c r="AK165" s="283">
        <v>700</v>
      </c>
      <c r="AL165" s="186">
        <v>0</v>
      </c>
      <c r="AM165" s="283"/>
      <c r="AN165" s="283"/>
      <c r="AO165" s="283"/>
      <c r="AP165" s="283"/>
      <c r="AQ165" s="283"/>
      <c r="AR165" s="283"/>
      <c r="AS165" s="283"/>
      <c r="AT165" s="283"/>
      <c r="AU165" s="186"/>
      <c r="AV165" s="283"/>
      <c r="AW165" s="283"/>
      <c r="AX165" s="283"/>
      <c r="AY165" s="283"/>
      <c r="AZ165" s="283"/>
      <c r="BA165" s="283"/>
      <c r="BB165" s="283"/>
      <c r="BC165" s="283"/>
      <c r="BD165" s="186"/>
      <c r="BE165" s="186"/>
      <c r="BF165" s="283"/>
      <c r="BG165" s="283"/>
      <c r="BH165" s="283"/>
      <c r="BI165" s="283"/>
      <c r="BJ165" s="283">
        <f t="shared" si="256"/>
        <v>0</v>
      </c>
      <c r="BK165" s="283"/>
      <c r="BL165" s="283"/>
      <c r="BM165" s="283"/>
      <c r="BN165" s="283"/>
      <c r="BO165" s="186"/>
      <c r="BP165" s="283"/>
      <c r="BQ165" s="283"/>
      <c r="BR165" s="283"/>
      <c r="BS165" s="283"/>
      <c r="BT165" s="283"/>
      <c r="BU165" s="283"/>
      <c r="BV165" s="283"/>
      <c r="BW165" s="283"/>
      <c r="BX165" s="186"/>
      <c r="BY165" s="186"/>
      <c r="BZ165" s="287"/>
      <c r="CA165" s="287"/>
      <c r="CB165" s="287"/>
      <c r="CC165" s="287"/>
      <c r="CD165" s="187"/>
      <c r="CE165" s="287"/>
      <c r="CF165" s="287"/>
      <c r="CG165" s="287"/>
      <c r="CH165" s="287"/>
      <c r="CI165" s="187"/>
      <c r="CJ165" s="187"/>
      <c r="CK165" s="187"/>
      <c r="CL165" s="187"/>
      <c r="CM165" s="187"/>
      <c r="CN165" s="187"/>
      <c r="CO165" s="187"/>
      <c r="CP165" s="187"/>
      <c r="CQ165" s="187"/>
      <c r="CR165" s="281"/>
      <c r="CS165" s="281"/>
      <c r="CT165" s="291"/>
      <c r="CU165" s="160"/>
    </row>
    <row r="166" spans="1:99" ht="53.25" customHeight="1" outlineLevel="1">
      <c r="A166" s="183">
        <v>10</v>
      </c>
      <c r="B166" s="293" t="s">
        <v>3428</v>
      </c>
      <c r="C166" s="280" t="s">
        <v>3042</v>
      </c>
      <c r="D166" s="183"/>
      <c r="E166" s="183"/>
      <c r="F166" s="183"/>
      <c r="G166" s="183"/>
      <c r="H166" s="183"/>
      <c r="I166" s="184" t="s">
        <v>3360</v>
      </c>
      <c r="J166" s="183"/>
      <c r="K166" s="183" t="s">
        <v>3429</v>
      </c>
      <c r="L166" s="183" t="s">
        <v>75</v>
      </c>
      <c r="M166" s="184"/>
      <c r="N166" s="283"/>
      <c r="O166" s="282" t="s">
        <v>3102</v>
      </c>
      <c r="P166" s="283">
        <v>500</v>
      </c>
      <c r="Q166" s="283"/>
      <c r="R166" s="283"/>
      <c r="S166" s="108">
        <v>500</v>
      </c>
      <c r="T166" s="186"/>
      <c r="U166" s="186"/>
      <c r="V166" s="282" t="s">
        <v>3429</v>
      </c>
      <c r="W166" s="282" t="s">
        <v>3364</v>
      </c>
      <c r="X166" s="282" t="s">
        <v>3360</v>
      </c>
      <c r="Y166" s="283"/>
      <c r="Z166" s="283"/>
      <c r="AA166" s="283"/>
      <c r="AB166" s="283"/>
      <c r="AC166" s="186">
        <v>500</v>
      </c>
      <c r="AD166" s="283"/>
      <c r="AE166" s="283"/>
      <c r="AF166" s="186">
        <v>500</v>
      </c>
      <c r="AG166" s="283">
        <f t="shared" si="255"/>
        <v>0</v>
      </c>
      <c r="AH166" s="283"/>
      <c r="AI166" s="283"/>
      <c r="AJ166" s="283"/>
      <c r="AK166" s="108">
        <v>500</v>
      </c>
      <c r="AL166" s="186"/>
      <c r="AM166" s="283"/>
      <c r="AN166" s="283"/>
      <c r="AO166" s="283"/>
      <c r="AP166" s="283"/>
      <c r="AQ166" s="283"/>
      <c r="AR166" s="283"/>
      <c r="AS166" s="283"/>
      <c r="AT166" s="283"/>
      <c r="AU166" s="186"/>
      <c r="AV166" s="283"/>
      <c r="AW166" s="283"/>
      <c r="AX166" s="283"/>
      <c r="AY166" s="283"/>
      <c r="AZ166" s="283"/>
      <c r="BA166" s="283"/>
      <c r="BB166" s="283"/>
      <c r="BC166" s="283"/>
      <c r="BD166" s="186"/>
      <c r="BE166" s="186"/>
      <c r="BF166" s="283"/>
      <c r="BG166" s="283"/>
      <c r="BH166" s="283"/>
      <c r="BI166" s="283"/>
      <c r="BJ166" s="283">
        <f t="shared" si="256"/>
        <v>0</v>
      </c>
      <c r="BK166" s="283"/>
      <c r="BL166" s="283"/>
      <c r="BM166" s="283"/>
      <c r="BN166" s="283"/>
      <c r="BO166" s="186"/>
      <c r="BP166" s="283"/>
      <c r="BQ166" s="283"/>
      <c r="BR166" s="283"/>
      <c r="BS166" s="283"/>
      <c r="BT166" s="283"/>
      <c r="BU166" s="283"/>
      <c r="BV166" s="283"/>
      <c r="BW166" s="283"/>
      <c r="BX166" s="186"/>
      <c r="BY166" s="186"/>
      <c r="BZ166" s="287"/>
      <c r="CA166" s="287"/>
      <c r="CB166" s="287"/>
      <c r="CC166" s="287"/>
      <c r="CD166" s="187"/>
      <c r="CE166" s="287"/>
      <c r="CF166" s="287"/>
      <c r="CG166" s="287"/>
      <c r="CH166" s="287"/>
      <c r="CI166" s="187"/>
      <c r="CJ166" s="187"/>
      <c r="CK166" s="187"/>
      <c r="CL166" s="187"/>
      <c r="CM166" s="187"/>
      <c r="CN166" s="187"/>
      <c r="CO166" s="187"/>
      <c r="CP166" s="187"/>
      <c r="CQ166" s="187"/>
      <c r="CR166" s="281"/>
      <c r="CS166" s="281"/>
      <c r="CT166" s="291"/>
      <c r="CU166" s="160"/>
    </row>
    <row r="167" spans="1:99" ht="52.5" customHeight="1" outlineLevel="1">
      <c r="A167" s="183">
        <v>11</v>
      </c>
      <c r="B167" s="293" t="s">
        <v>3430</v>
      </c>
      <c r="C167" s="280" t="s">
        <v>3042</v>
      </c>
      <c r="D167" s="183"/>
      <c r="E167" s="183"/>
      <c r="F167" s="183"/>
      <c r="G167" s="183"/>
      <c r="H167" s="183"/>
      <c r="I167" s="184" t="s">
        <v>3360</v>
      </c>
      <c r="J167" s="183"/>
      <c r="K167" s="183" t="s">
        <v>3429</v>
      </c>
      <c r="L167" s="183" t="s">
        <v>75</v>
      </c>
      <c r="M167" s="184"/>
      <c r="N167" s="283"/>
      <c r="O167" s="282" t="s">
        <v>3663</v>
      </c>
      <c r="P167" s="283">
        <v>1100</v>
      </c>
      <c r="Q167" s="283"/>
      <c r="R167" s="283"/>
      <c r="S167" s="283">
        <v>1100</v>
      </c>
      <c r="T167" s="186"/>
      <c r="U167" s="186"/>
      <c r="V167" s="282" t="s">
        <v>3429</v>
      </c>
      <c r="W167" s="282" t="s">
        <v>3364</v>
      </c>
      <c r="X167" s="282" t="s">
        <v>3360</v>
      </c>
      <c r="Y167" s="283"/>
      <c r="Z167" s="283"/>
      <c r="AA167" s="283"/>
      <c r="AB167" s="283"/>
      <c r="AC167" s="186">
        <f t="shared" ref="AC167" si="260">AD167+AE167+AF167</f>
        <v>1000</v>
      </c>
      <c r="AD167" s="283"/>
      <c r="AE167" s="283"/>
      <c r="AF167" s="186">
        <f>SUM(AH167:AK167)</f>
        <v>1000</v>
      </c>
      <c r="AG167" s="283">
        <f t="shared" si="255"/>
        <v>0</v>
      </c>
      <c r="AH167" s="283"/>
      <c r="AI167" s="283"/>
      <c r="AJ167" s="283"/>
      <c r="AK167" s="283">
        <v>1000</v>
      </c>
      <c r="AL167" s="186"/>
      <c r="AM167" s="283"/>
      <c r="AN167" s="283"/>
      <c r="AO167" s="283"/>
      <c r="AP167" s="283"/>
      <c r="AQ167" s="283"/>
      <c r="AR167" s="283"/>
      <c r="AS167" s="283"/>
      <c r="AT167" s="283"/>
      <c r="AU167" s="186"/>
      <c r="AV167" s="283"/>
      <c r="AW167" s="283"/>
      <c r="AX167" s="283"/>
      <c r="AY167" s="283"/>
      <c r="AZ167" s="283"/>
      <c r="BA167" s="283"/>
      <c r="BB167" s="283"/>
      <c r="BC167" s="283"/>
      <c r="BD167" s="186"/>
      <c r="BE167" s="186"/>
      <c r="BF167" s="283"/>
      <c r="BG167" s="283"/>
      <c r="BH167" s="283"/>
      <c r="BI167" s="283"/>
      <c r="BJ167" s="283">
        <f t="shared" si="256"/>
        <v>0</v>
      </c>
      <c r="BK167" s="283"/>
      <c r="BL167" s="283"/>
      <c r="BM167" s="283"/>
      <c r="BN167" s="283"/>
      <c r="BO167" s="186"/>
      <c r="BP167" s="283"/>
      <c r="BQ167" s="283"/>
      <c r="BR167" s="283"/>
      <c r="BS167" s="283"/>
      <c r="BT167" s="283"/>
      <c r="BU167" s="283"/>
      <c r="BV167" s="283"/>
      <c r="BW167" s="283"/>
      <c r="BX167" s="186"/>
      <c r="BY167" s="186"/>
      <c r="BZ167" s="287"/>
      <c r="CA167" s="287"/>
      <c r="CB167" s="287"/>
      <c r="CC167" s="287"/>
      <c r="CD167" s="187"/>
      <c r="CE167" s="287"/>
      <c r="CF167" s="287"/>
      <c r="CG167" s="287"/>
      <c r="CH167" s="287"/>
      <c r="CI167" s="187"/>
      <c r="CJ167" s="187"/>
      <c r="CK167" s="187"/>
      <c r="CL167" s="187"/>
      <c r="CM167" s="187"/>
      <c r="CN167" s="187"/>
      <c r="CO167" s="187"/>
      <c r="CP167" s="187"/>
      <c r="CQ167" s="187"/>
      <c r="CR167" s="281"/>
      <c r="CS167" s="281"/>
      <c r="CT167" s="487"/>
      <c r="CU167" s="167"/>
    </row>
    <row r="168" spans="1:99" ht="33.75" customHeight="1">
      <c r="A168" s="418" t="s">
        <v>59</v>
      </c>
      <c r="B168" s="418" t="s">
        <v>3431</v>
      </c>
      <c r="C168" s="482"/>
      <c r="D168" s="482"/>
      <c r="E168" s="482"/>
      <c r="F168" s="482"/>
      <c r="G168" s="482"/>
      <c r="H168" s="482"/>
      <c r="I168" s="483"/>
      <c r="J168" s="482"/>
      <c r="K168" s="483"/>
      <c r="L168" s="482"/>
      <c r="M168" s="482"/>
      <c r="N168" s="484"/>
      <c r="O168" s="484"/>
      <c r="P168" s="99">
        <f>P169+P175</f>
        <v>18242.647000000001</v>
      </c>
      <c r="Q168" s="99">
        <f t="shared" ref="Q168:BN168" si="261">Q169+Q175</f>
        <v>0</v>
      </c>
      <c r="R168" s="99">
        <f t="shared" si="261"/>
        <v>0</v>
      </c>
      <c r="S168" s="99">
        <f t="shared" si="261"/>
        <v>18142.647000000001</v>
      </c>
      <c r="T168" s="99">
        <f t="shared" si="261"/>
        <v>100</v>
      </c>
      <c r="U168" s="99">
        <f t="shared" si="261"/>
        <v>0</v>
      </c>
      <c r="V168" s="67">
        <f t="shared" si="261"/>
        <v>0</v>
      </c>
      <c r="W168" s="67">
        <f t="shared" si="261"/>
        <v>0</v>
      </c>
      <c r="X168" s="67">
        <f t="shared" si="261"/>
        <v>0</v>
      </c>
      <c r="Y168" s="99">
        <f t="shared" si="261"/>
        <v>0</v>
      </c>
      <c r="Z168" s="99">
        <f t="shared" si="261"/>
        <v>0</v>
      </c>
      <c r="AA168" s="99">
        <f t="shared" si="261"/>
        <v>0</v>
      </c>
      <c r="AB168" s="99">
        <f t="shared" si="261"/>
        <v>0</v>
      </c>
      <c r="AC168" s="99">
        <f t="shared" si="261"/>
        <v>18642.169999999998</v>
      </c>
      <c r="AD168" s="99">
        <f t="shared" si="261"/>
        <v>0</v>
      </c>
      <c r="AE168" s="99">
        <f t="shared" si="261"/>
        <v>0</v>
      </c>
      <c r="AF168" s="99">
        <f t="shared" si="261"/>
        <v>18642.169999999998</v>
      </c>
      <c r="AG168" s="99">
        <f t="shared" si="261"/>
        <v>5723</v>
      </c>
      <c r="AH168" s="99">
        <f t="shared" si="261"/>
        <v>5723</v>
      </c>
      <c r="AI168" s="99">
        <f t="shared" si="261"/>
        <v>0</v>
      </c>
      <c r="AJ168" s="99">
        <f t="shared" si="261"/>
        <v>6419.17</v>
      </c>
      <c r="AK168" s="99">
        <f t="shared" si="261"/>
        <v>6500</v>
      </c>
      <c r="AL168" s="99">
        <f t="shared" si="261"/>
        <v>100</v>
      </c>
      <c r="AM168" s="99">
        <f t="shared" si="261"/>
        <v>7933.3780000000006</v>
      </c>
      <c r="AN168" s="99">
        <f t="shared" si="261"/>
        <v>0</v>
      </c>
      <c r="AO168" s="99">
        <f t="shared" si="261"/>
        <v>0</v>
      </c>
      <c r="AP168" s="99">
        <f t="shared" si="261"/>
        <v>7933.3780000000006</v>
      </c>
      <c r="AQ168" s="99">
        <f t="shared" si="261"/>
        <v>3543</v>
      </c>
      <c r="AR168" s="99">
        <f t="shared" si="261"/>
        <v>0</v>
      </c>
      <c r="AS168" s="99">
        <f t="shared" si="261"/>
        <v>3390.3780000000002</v>
      </c>
      <c r="AT168" s="99">
        <f t="shared" si="261"/>
        <v>1000</v>
      </c>
      <c r="AU168" s="99">
        <f t="shared" si="261"/>
        <v>100</v>
      </c>
      <c r="AV168" s="99">
        <f t="shared" si="261"/>
        <v>6900.4929740000007</v>
      </c>
      <c r="AW168" s="99">
        <f t="shared" si="261"/>
        <v>0</v>
      </c>
      <c r="AX168" s="99">
        <f t="shared" si="261"/>
        <v>0</v>
      </c>
      <c r="AY168" s="99">
        <f t="shared" si="261"/>
        <v>6900.4929740000007</v>
      </c>
      <c r="AZ168" s="99">
        <f t="shared" si="261"/>
        <v>2539.7258310000002</v>
      </c>
      <c r="BA168" s="99">
        <f t="shared" si="261"/>
        <v>0</v>
      </c>
      <c r="BB168" s="99">
        <f t="shared" si="261"/>
        <v>3360.767143</v>
      </c>
      <c r="BC168" s="99">
        <f t="shared" si="261"/>
        <v>1000</v>
      </c>
      <c r="BD168" s="99">
        <f t="shared" si="261"/>
        <v>100</v>
      </c>
      <c r="BE168" s="99">
        <f t="shared" si="261"/>
        <v>394.72917954923344</v>
      </c>
      <c r="BF168" s="99">
        <f t="shared" si="261"/>
        <v>1318.855</v>
      </c>
      <c r="BG168" s="99">
        <f t="shared" si="261"/>
        <v>0</v>
      </c>
      <c r="BH168" s="99">
        <f t="shared" si="261"/>
        <v>0</v>
      </c>
      <c r="BI168" s="99">
        <f t="shared" si="261"/>
        <v>1318.855</v>
      </c>
      <c r="BJ168" s="99">
        <f t="shared" si="261"/>
        <v>1043</v>
      </c>
      <c r="BK168" s="99">
        <f t="shared" si="261"/>
        <v>1043</v>
      </c>
      <c r="BL168" s="99">
        <f t="shared" si="261"/>
        <v>0</v>
      </c>
      <c r="BM168" s="99">
        <f t="shared" si="261"/>
        <v>275.85500000000002</v>
      </c>
      <c r="BN168" s="99">
        <f t="shared" si="261"/>
        <v>0</v>
      </c>
      <c r="BO168" s="484">
        <f t="shared" ref="BO168:CN168" si="262">BO169</f>
        <v>0</v>
      </c>
      <c r="BP168" s="484">
        <f t="shared" si="262"/>
        <v>285.96997399999998</v>
      </c>
      <c r="BQ168" s="484">
        <f t="shared" si="262"/>
        <v>0</v>
      </c>
      <c r="BR168" s="484">
        <f t="shared" si="262"/>
        <v>0</v>
      </c>
      <c r="BS168" s="484">
        <f t="shared" si="262"/>
        <v>285.96997399999998</v>
      </c>
      <c r="BT168" s="484">
        <f t="shared" si="262"/>
        <v>39.725830999999999</v>
      </c>
      <c r="BU168" s="484">
        <f t="shared" si="262"/>
        <v>0</v>
      </c>
      <c r="BV168" s="484">
        <f t="shared" si="262"/>
        <v>246.24414300000001</v>
      </c>
      <c r="BW168" s="484">
        <f t="shared" si="262"/>
        <v>0</v>
      </c>
      <c r="BX168" s="484">
        <f t="shared" si="262"/>
        <v>0</v>
      </c>
      <c r="BY168" s="484">
        <f t="shared" si="262"/>
        <v>181.65144276172219</v>
      </c>
      <c r="BZ168" s="483">
        <f t="shared" si="262"/>
        <v>0</v>
      </c>
      <c r="CA168" s="483">
        <f t="shared" si="262"/>
        <v>0</v>
      </c>
      <c r="CB168" s="483">
        <f t="shared" si="262"/>
        <v>0</v>
      </c>
      <c r="CC168" s="483">
        <f t="shared" si="262"/>
        <v>0</v>
      </c>
      <c r="CD168" s="483">
        <f t="shared" si="262"/>
        <v>0</v>
      </c>
      <c r="CE168" s="483">
        <f t="shared" si="262"/>
        <v>0</v>
      </c>
      <c r="CF168" s="483">
        <f t="shared" si="262"/>
        <v>0</v>
      </c>
      <c r="CG168" s="483">
        <f t="shared" si="262"/>
        <v>0</v>
      </c>
      <c r="CH168" s="483">
        <f t="shared" si="262"/>
        <v>0</v>
      </c>
      <c r="CI168" s="483">
        <f t="shared" si="262"/>
        <v>0</v>
      </c>
      <c r="CJ168" s="483">
        <f t="shared" si="262"/>
        <v>0</v>
      </c>
      <c r="CK168" s="483">
        <f t="shared" si="262"/>
        <v>0</v>
      </c>
      <c r="CL168" s="483">
        <f t="shared" si="262"/>
        <v>0</v>
      </c>
      <c r="CM168" s="483">
        <f t="shared" si="262"/>
        <v>0</v>
      </c>
      <c r="CN168" s="483">
        <f t="shared" si="262"/>
        <v>0</v>
      </c>
      <c r="CO168" s="482"/>
      <c r="CP168" s="482"/>
      <c r="CQ168" s="482"/>
      <c r="CR168" s="482"/>
      <c r="CS168" s="482"/>
      <c r="CT168" s="482"/>
      <c r="CU168" s="165"/>
    </row>
    <row r="169" spans="1:99" ht="34.9" customHeight="1" outlineLevel="1">
      <c r="A169" s="430" t="s">
        <v>45</v>
      </c>
      <c r="B169" s="456" t="s">
        <v>3065</v>
      </c>
      <c r="C169" s="191"/>
      <c r="D169" s="192"/>
      <c r="E169" s="191"/>
      <c r="F169" s="191"/>
      <c r="G169" s="191"/>
      <c r="H169" s="486"/>
      <c r="I169" s="196"/>
      <c r="J169" s="191"/>
      <c r="K169" s="196"/>
      <c r="L169" s="191"/>
      <c r="M169" s="191"/>
      <c r="N169" s="298"/>
      <c r="O169" s="298"/>
      <c r="P169" s="194">
        <f>SUM(P170:P174)</f>
        <v>9742.6470000000008</v>
      </c>
      <c r="Q169" s="194">
        <f t="shared" ref="Q169:BN169" si="263">SUM(Q170:Q174)</f>
        <v>0</v>
      </c>
      <c r="R169" s="194">
        <f t="shared" si="263"/>
        <v>0</v>
      </c>
      <c r="S169" s="194">
        <f t="shared" si="263"/>
        <v>9642.6470000000008</v>
      </c>
      <c r="T169" s="194">
        <f t="shared" si="263"/>
        <v>100</v>
      </c>
      <c r="U169" s="194">
        <f t="shared" si="263"/>
        <v>0</v>
      </c>
      <c r="V169" s="299">
        <f t="shared" si="263"/>
        <v>0</v>
      </c>
      <c r="W169" s="299">
        <f t="shared" si="263"/>
        <v>0</v>
      </c>
      <c r="X169" s="299">
        <f t="shared" si="263"/>
        <v>0</v>
      </c>
      <c r="Y169" s="194">
        <f t="shared" si="263"/>
        <v>0</v>
      </c>
      <c r="Z169" s="194">
        <f t="shared" si="263"/>
        <v>0</v>
      </c>
      <c r="AA169" s="194">
        <f t="shared" si="263"/>
        <v>0</v>
      </c>
      <c r="AB169" s="194">
        <f t="shared" si="263"/>
        <v>0</v>
      </c>
      <c r="AC169" s="194">
        <f t="shared" si="263"/>
        <v>10142.17</v>
      </c>
      <c r="AD169" s="194">
        <f t="shared" si="263"/>
        <v>0</v>
      </c>
      <c r="AE169" s="194">
        <f t="shared" si="263"/>
        <v>0</v>
      </c>
      <c r="AF169" s="194">
        <f t="shared" si="263"/>
        <v>10142.17</v>
      </c>
      <c r="AG169" s="194">
        <f t="shared" si="263"/>
        <v>5723</v>
      </c>
      <c r="AH169" s="194">
        <f t="shared" si="263"/>
        <v>5723</v>
      </c>
      <c r="AI169" s="194">
        <f t="shared" si="263"/>
        <v>0</v>
      </c>
      <c r="AJ169" s="194">
        <f t="shared" si="263"/>
        <v>3419.17</v>
      </c>
      <c r="AK169" s="194">
        <f t="shared" si="263"/>
        <v>1000</v>
      </c>
      <c r="AL169" s="194">
        <f t="shared" si="263"/>
        <v>100</v>
      </c>
      <c r="AM169" s="194">
        <f t="shared" si="263"/>
        <v>7933.3780000000006</v>
      </c>
      <c r="AN169" s="194">
        <f t="shared" si="263"/>
        <v>0</v>
      </c>
      <c r="AO169" s="194">
        <f t="shared" si="263"/>
        <v>0</v>
      </c>
      <c r="AP169" s="194">
        <f t="shared" si="263"/>
        <v>7933.3780000000006</v>
      </c>
      <c r="AQ169" s="194">
        <f t="shared" si="263"/>
        <v>3543</v>
      </c>
      <c r="AR169" s="194">
        <f t="shared" si="263"/>
        <v>0</v>
      </c>
      <c r="AS169" s="194">
        <f t="shared" si="263"/>
        <v>3390.3780000000002</v>
      </c>
      <c r="AT169" s="194">
        <f t="shared" si="263"/>
        <v>1000</v>
      </c>
      <c r="AU169" s="194">
        <f t="shared" si="263"/>
        <v>100</v>
      </c>
      <c r="AV169" s="194">
        <f t="shared" si="263"/>
        <v>6900.4929740000007</v>
      </c>
      <c r="AW169" s="194">
        <f t="shared" si="263"/>
        <v>0</v>
      </c>
      <c r="AX169" s="194">
        <f t="shared" si="263"/>
        <v>0</v>
      </c>
      <c r="AY169" s="194">
        <f t="shared" si="263"/>
        <v>6900.4929740000007</v>
      </c>
      <c r="AZ169" s="194">
        <f t="shared" si="263"/>
        <v>2539.7258310000002</v>
      </c>
      <c r="BA169" s="194">
        <f t="shared" si="263"/>
        <v>0</v>
      </c>
      <c r="BB169" s="194">
        <f t="shared" si="263"/>
        <v>3360.767143</v>
      </c>
      <c r="BC169" s="194">
        <f t="shared" si="263"/>
        <v>1000</v>
      </c>
      <c r="BD169" s="194">
        <f t="shared" si="263"/>
        <v>100</v>
      </c>
      <c r="BE169" s="194">
        <f t="shared" si="263"/>
        <v>394.72917954923344</v>
      </c>
      <c r="BF169" s="194">
        <f t="shared" si="263"/>
        <v>1318.855</v>
      </c>
      <c r="BG169" s="194">
        <f t="shared" si="263"/>
        <v>0</v>
      </c>
      <c r="BH169" s="194">
        <f t="shared" si="263"/>
        <v>0</v>
      </c>
      <c r="BI169" s="194">
        <f t="shared" si="263"/>
        <v>1318.855</v>
      </c>
      <c r="BJ169" s="194">
        <f t="shared" si="263"/>
        <v>1043</v>
      </c>
      <c r="BK169" s="194">
        <f t="shared" si="263"/>
        <v>1043</v>
      </c>
      <c r="BL169" s="194">
        <f t="shared" si="263"/>
        <v>0</v>
      </c>
      <c r="BM169" s="194">
        <f t="shared" si="263"/>
        <v>275.85500000000002</v>
      </c>
      <c r="BN169" s="194">
        <f t="shared" si="263"/>
        <v>0</v>
      </c>
      <c r="BO169" s="311">
        <f t="shared" ref="BO169:CN169" si="264">SUM(BO170:BO178)</f>
        <v>0</v>
      </c>
      <c r="BP169" s="311">
        <f t="shared" si="264"/>
        <v>285.96997399999998</v>
      </c>
      <c r="BQ169" s="311">
        <f t="shared" si="264"/>
        <v>0</v>
      </c>
      <c r="BR169" s="311">
        <f t="shared" si="264"/>
        <v>0</v>
      </c>
      <c r="BS169" s="311">
        <f t="shared" si="264"/>
        <v>285.96997399999998</v>
      </c>
      <c r="BT169" s="311">
        <f t="shared" si="264"/>
        <v>39.725830999999999</v>
      </c>
      <c r="BU169" s="311">
        <f t="shared" si="264"/>
        <v>0</v>
      </c>
      <c r="BV169" s="311">
        <f t="shared" si="264"/>
        <v>246.24414300000001</v>
      </c>
      <c r="BW169" s="311">
        <f t="shared" si="264"/>
        <v>0</v>
      </c>
      <c r="BX169" s="311">
        <f t="shared" si="264"/>
        <v>0</v>
      </c>
      <c r="BY169" s="311">
        <f t="shared" si="264"/>
        <v>181.65144276172219</v>
      </c>
      <c r="BZ169" s="196">
        <f t="shared" si="264"/>
        <v>0</v>
      </c>
      <c r="CA169" s="196">
        <f t="shared" si="264"/>
        <v>0</v>
      </c>
      <c r="CB169" s="196">
        <f t="shared" si="264"/>
        <v>0</v>
      </c>
      <c r="CC169" s="196">
        <f t="shared" si="264"/>
        <v>0</v>
      </c>
      <c r="CD169" s="196">
        <f t="shared" si="264"/>
        <v>0</v>
      </c>
      <c r="CE169" s="196">
        <f t="shared" si="264"/>
        <v>0</v>
      </c>
      <c r="CF169" s="196">
        <f t="shared" si="264"/>
        <v>0</v>
      </c>
      <c r="CG169" s="196">
        <f t="shared" si="264"/>
        <v>0</v>
      </c>
      <c r="CH169" s="196">
        <f t="shared" si="264"/>
        <v>0</v>
      </c>
      <c r="CI169" s="196">
        <f t="shared" si="264"/>
        <v>0</v>
      </c>
      <c r="CJ169" s="196">
        <f t="shared" si="264"/>
        <v>0</v>
      </c>
      <c r="CK169" s="196">
        <f t="shared" si="264"/>
        <v>0</v>
      </c>
      <c r="CL169" s="196">
        <f t="shared" si="264"/>
        <v>0</v>
      </c>
      <c r="CM169" s="196">
        <f t="shared" si="264"/>
        <v>0</v>
      </c>
      <c r="CN169" s="196">
        <f t="shared" si="264"/>
        <v>0</v>
      </c>
      <c r="CO169" s="195"/>
      <c r="CP169" s="192"/>
      <c r="CQ169" s="192"/>
      <c r="CR169" s="312"/>
      <c r="CS169" s="312"/>
      <c r="CT169" s="301"/>
      <c r="CU169" s="161"/>
    </row>
    <row r="170" spans="1:99" ht="50.25" customHeight="1" outlineLevel="1">
      <c r="A170" s="183">
        <v>1</v>
      </c>
      <c r="B170" s="279" t="s">
        <v>3432</v>
      </c>
      <c r="C170" s="183" t="s">
        <v>304</v>
      </c>
      <c r="D170" s="302" t="s">
        <v>3685</v>
      </c>
      <c r="E170" s="183" t="s">
        <v>3061</v>
      </c>
      <c r="F170" s="183" t="s">
        <v>49</v>
      </c>
      <c r="G170" s="183" t="s">
        <v>55</v>
      </c>
      <c r="H170" s="183"/>
      <c r="I170" s="184" t="s">
        <v>3433</v>
      </c>
      <c r="J170" s="183" t="s">
        <v>49</v>
      </c>
      <c r="K170" s="281" t="s">
        <v>3434</v>
      </c>
      <c r="L170" s="183">
        <v>2022</v>
      </c>
      <c r="M170" s="183">
        <v>2022</v>
      </c>
      <c r="N170" s="282"/>
      <c r="O170" s="282" t="s">
        <v>3435</v>
      </c>
      <c r="P170" s="283">
        <v>4495</v>
      </c>
      <c r="Q170" s="283"/>
      <c r="R170" s="283"/>
      <c r="S170" s="283">
        <v>4495</v>
      </c>
      <c r="T170" s="186"/>
      <c r="U170" s="186"/>
      <c r="V170" s="285" t="s">
        <v>3434</v>
      </c>
      <c r="W170" s="285" t="s">
        <v>3434</v>
      </c>
      <c r="X170" s="282" t="s">
        <v>3433</v>
      </c>
      <c r="Y170" s="186"/>
      <c r="Z170" s="186"/>
      <c r="AA170" s="186"/>
      <c r="AB170" s="186"/>
      <c r="AC170" s="186">
        <v>4994.5230000000001</v>
      </c>
      <c r="AD170" s="283"/>
      <c r="AE170" s="283"/>
      <c r="AF170" s="186">
        <v>4994.5230000000001</v>
      </c>
      <c r="AG170" s="283">
        <f t="shared" si="255"/>
        <v>2180</v>
      </c>
      <c r="AH170" s="186">
        <v>2180</v>
      </c>
      <c r="AI170" s="283"/>
      <c r="AJ170" s="186">
        <v>2814.5230000000001</v>
      </c>
      <c r="AK170" s="283"/>
      <c r="AL170" s="186"/>
      <c r="AM170" s="186">
        <v>2814.5230000000001</v>
      </c>
      <c r="AN170" s="283"/>
      <c r="AO170" s="283"/>
      <c r="AP170" s="186">
        <v>2814.5230000000001</v>
      </c>
      <c r="AQ170" s="283"/>
      <c r="AR170" s="283"/>
      <c r="AS170" s="283">
        <v>2814.5230000000001</v>
      </c>
      <c r="AT170" s="283"/>
      <c r="AU170" s="186"/>
      <c r="AV170" s="186">
        <v>2814.5230000000001</v>
      </c>
      <c r="AW170" s="283"/>
      <c r="AX170" s="283"/>
      <c r="AY170" s="186">
        <v>2814.5230000000001</v>
      </c>
      <c r="AZ170" s="283"/>
      <c r="BA170" s="283"/>
      <c r="BB170" s="283">
        <v>2814.5230000000001</v>
      </c>
      <c r="BC170" s="283"/>
      <c r="BD170" s="186"/>
      <c r="BE170" s="186">
        <v>100</v>
      </c>
      <c r="BF170" s="186">
        <v>0</v>
      </c>
      <c r="BG170" s="283"/>
      <c r="BH170" s="283"/>
      <c r="BI170" s="186">
        <v>0</v>
      </c>
      <c r="BJ170" s="283">
        <f t="shared" si="256"/>
        <v>0</v>
      </c>
      <c r="BK170" s="283"/>
      <c r="BL170" s="283"/>
      <c r="BM170" s="283"/>
      <c r="BN170" s="283"/>
      <c r="BO170" s="186"/>
      <c r="BP170" s="284">
        <v>0</v>
      </c>
      <c r="BQ170" s="283"/>
      <c r="BR170" s="283"/>
      <c r="BS170" s="283"/>
      <c r="BT170" s="283"/>
      <c r="BU170" s="283"/>
      <c r="BV170" s="283"/>
      <c r="BW170" s="283"/>
      <c r="BX170" s="186"/>
      <c r="BY170" s="285"/>
      <c r="BZ170" s="286">
        <v>0</v>
      </c>
      <c r="CA170" s="287"/>
      <c r="CB170" s="287"/>
      <c r="CC170" s="287"/>
      <c r="CD170" s="187"/>
      <c r="CE170" s="286">
        <v>0</v>
      </c>
      <c r="CF170" s="287"/>
      <c r="CG170" s="287"/>
      <c r="CH170" s="287"/>
      <c r="CI170" s="187"/>
      <c r="CJ170" s="288"/>
      <c r="CK170" s="288"/>
      <c r="CL170" s="288"/>
      <c r="CM170" s="288"/>
      <c r="CN170" s="288"/>
      <c r="CO170" s="187">
        <v>0</v>
      </c>
      <c r="CP170" s="184"/>
      <c r="CQ170" s="184" t="s">
        <v>488</v>
      </c>
      <c r="CR170" s="280"/>
      <c r="CS170" s="280"/>
      <c r="CT170" s="291"/>
      <c r="CU170" s="160"/>
    </row>
    <row r="171" spans="1:99" ht="66.75" customHeight="1" outlineLevel="1">
      <c r="A171" s="183">
        <v>2</v>
      </c>
      <c r="B171" s="279" t="s">
        <v>3436</v>
      </c>
      <c r="C171" s="183" t="s">
        <v>304</v>
      </c>
      <c r="D171" s="183" t="s">
        <v>3403</v>
      </c>
      <c r="E171" s="183" t="s">
        <v>3061</v>
      </c>
      <c r="F171" s="183" t="s">
        <v>49</v>
      </c>
      <c r="G171" s="183" t="s">
        <v>3142</v>
      </c>
      <c r="H171" s="183">
        <v>8118767</v>
      </c>
      <c r="I171" s="184" t="s">
        <v>3433</v>
      </c>
      <c r="J171" s="183" t="s">
        <v>49</v>
      </c>
      <c r="K171" s="183" t="s">
        <v>3437</v>
      </c>
      <c r="L171" s="183" t="s">
        <v>84</v>
      </c>
      <c r="M171" s="183">
        <v>2024</v>
      </c>
      <c r="N171" s="282"/>
      <c r="O171" s="282" t="s">
        <v>3438</v>
      </c>
      <c r="P171" s="283">
        <v>604.64700000000005</v>
      </c>
      <c r="Q171" s="283"/>
      <c r="R171" s="283"/>
      <c r="S171" s="283">
        <v>604.64700000000005</v>
      </c>
      <c r="T171" s="186">
        <v>0</v>
      </c>
      <c r="U171" s="186"/>
      <c r="V171" s="282" t="s">
        <v>3437</v>
      </c>
      <c r="W171" s="282" t="s">
        <v>3434</v>
      </c>
      <c r="X171" s="282" t="s">
        <v>3433</v>
      </c>
      <c r="Y171" s="283"/>
      <c r="Z171" s="283"/>
      <c r="AA171" s="283"/>
      <c r="AB171" s="283"/>
      <c r="AC171" s="186">
        <v>604.64700000000005</v>
      </c>
      <c r="AD171" s="283"/>
      <c r="AE171" s="283"/>
      <c r="AF171" s="186">
        <v>604.64700000000005</v>
      </c>
      <c r="AG171" s="283">
        <f t="shared" si="255"/>
        <v>0</v>
      </c>
      <c r="AH171" s="283"/>
      <c r="AI171" s="283"/>
      <c r="AJ171" s="283">
        <v>604.64700000000005</v>
      </c>
      <c r="AK171" s="283"/>
      <c r="AL171" s="186">
        <v>0</v>
      </c>
      <c r="AM171" s="186">
        <v>575.85500000000002</v>
      </c>
      <c r="AN171" s="283"/>
      <c r="AO171" s="283"/>
      <c r="AP171" s="186">
        <v>575.85500000000002</v>
      </c>
      <c r="AQ171" s="283"/>
      <c r="AR171" s="283"/>
      <c r="AS171" s="283">
        <v>575.85500000000002</v>
      </c>
      <c r="AT171" s="283"/>
      <c r="AU171" s="186">
        <v>0</v>
      </c>
      <c r="AV171" s="186">
        <v>546.24414300000001</v>
      </c>
      <c r="AW171" s="283"/>
      <c r="AX171" s="283"/>
      <c r="AY171" s="186">
        <v>546.24414300000001</v>
      </c>
      <c r="AZ171" s="283"/>
      <c r="BA171" s="283"/>
      <c r="BB171" s="283">
        <v>546.24414300000001</v>
      </c>
      <c r="BC171" s="283"/>
      <c r="BD171" s="186">
        <v>0</v>
      </c>
      <c r="BE171" s="186">
        <v>94.857931771018741</v>
      </c>
      <c r="BF171" s="186">
        <v>275.85500000000002</v>
      </c>
      <c r="BG171" s="283"/>
      <c r="BH171" s="283"/>
      <c r="BI171" s="186">
        <v>275.85500000000002</v>
      </c>
      <c r="BJ171" s="283">
        <f t="shared" si="256"/>
        <v>0</v>
      </c>
      <c r="BK171" s="283"/>
      <c r="BL171" s="283"/>
      <c r="BM171" s="283">
        <v>275.85500000000002</v>
      </c>
      <c r="BN171" s="283"/>
      <c r="BO171" s="186">
        <v>0</v>
      </c>
      <c r="BP171" s="284">
        <v>246.24414300000001</v>
      </c>
      <c r="BQ171" s="283"/>
      <c r="BR171" s="283"/>
      <c r="BS171" s="284">
        <v>246.24414300000001</v>
      </c>
      <c r="BT171" s="283"/>
      <c r="BU171" s="283"/>
      <c r="BV171" s="283">
        <v>246.24414300000001</v>
      </c>
      <c r="BW171" s="283"/>
      <c r="BX171" s="186">
        <v>0</v>
      </c>
      <c r="BY171" s="285">
        <v>89.265789273350123</v>
      </c>
      <c r="BZ171" s="286">
        <v>0</v>
      </c>
      <c r="CA171" s="287"/>
      <c r="CB171" s="287"/>
      <c r="CC171" s="287"/>
      <c r="CD171" s="187"/>
      <c r="CE171" s="286">
        <v>0</v>
      </c>
      <c r="CF171" s="287"/>
      <c r="CG171" s="287"/>
      <c r="CH171" s="287"/>
      <c r="CI171" s="187"/>
      <c r="CJ171" s="288"/>
      <c r="CK171" s="288"/>
      <c r="CL171" s="288"/>
      <c r="CM171" s="288"/>
      <c r="CN171" s="288"/>
      <c r="CO171" s="187">
        <v>29.61085700000001</v>
      </c>
      <c r="CP171" s="184"/>
      <c r="CQ171" s="184"/>
      <c r="CR171" s="289" t="s">
        <v>3087</v>
      </c>
      <c r="CS171" s="289"/>
      <c r="CT171" s="291"/>
      <c r="CU171" s="160"/>
    </row>
    <row r="172" spans="1:99" ht="69" customHeight="1" outlineLevel="1">
      <c r="A172" s="183">
        <v>3</v>
      </c>
      <c r="B172" s="313" t="s">
        <v>3439</v>
      </c>
      <c r="C172" s="280" t="s">
        <v>3042</v>
      </c>
      <c r="D172" s="183" t="s">
        <v>3440</v>
      </c>
      <c r="E172" s="280" t="s">
        <v>3433</v>
      </c>
      <c r="F172" s="183" t="s">
        <v>49</v>
      </c>
      <c r="G172" s="280" t="s">
        <v>3142</v>
      </c>
      <c r="H172" s="280"/>
      <c r="I172" s="184" t="s">
        <v>3433</v>
      </c>
      <c r="J172" s="183" t="s">
        <v>49</v>
      </c>
      <c r="K172" s="280" t="s">
        <v>3441</v>
      </c>
      <c r="L172" s="183">
        <v>2021</v>
      </c>
      <c r="M172" s="183">
        <v>2021</v>
      </c>
      <c r="N172" s="282"/>
      <c r="O172" s="282" t="s">
        <v>3442</v>
      </c>
      <c r="P172" s="186">
        <v>1100</v>
      </c>
      <c r="Q172" s="186"/>
      <c r="R172" s="186"/>
      <c r="S172" s="186">
        <v>1000</v>
      </c>
      <c r="T172" s="186">
        <v>100</v>
      </c>
      <c r="U172" s="186"/>
      <c r="V172" s="282" t="s">
        <v>3441</v>
      </c>
      <c r="W172" s="282" t="s">
        <v>3441</v>
      </c>
      <c r="X172" s="282" t="s">
        <v>3433</v>
      </c>
      <c r="Y172" s="303"/>
      <c r="Z172" s="303"/>
      <c r="AA172" s="303"/>
      <c r="AB172" s="303"/>
      <c r="AC172" s="186">
        <v>1000</v>
      </c>
      <c r="AD172" s="186"/>
      <c r="AE172" s="186"/>
      <c r="AF172" s="186">
        <v>1000</v>
      </c>
      <c r="AG172" s="283">
        <f t="shared" si="255"/>
        <v>0</v>
      </c>
      <c r="AH172" s="186"/>
      <c r="AI172" s="186"/>
      <c r="AJ172" s="186"/>
      <c r="AK172" s="186">
        <v>1000</v>
      </c>
      <c r="AL172" s="186">
        <v>100</v>
      </c>
      <c r="AM172" s="186">
        <v>1000</v>
      </c>
      <c r="AN172" s="186"/>
      <c r="AO172" s="186"/>
      <c r="AP172" s="186">
        <v>1000</v>
      </c>
      <c r="AQ172" s="186"/>
      <c r="AR172" s="186"/>
      <c r="AS172" s="186"/>
      <c r="AT172" s="186">
        <v>1000</v>
      </c>
      <c r="AU172" s="186">
        <v>100</v>
      </c>
      <c r="AV172" s="186">
        <v>1000</v>
      </c>
      <c r="AW172" s="186"/>
      <c r="AX172" s="186"/>
      <c r="AY172" s="186">
        <v>1000</v>
      </c>
      <c r="AZ172" s="186"/>
      <c r="BA172" s="186"/>
      <c r="BB172" s="186"/>
      <c r="BC172" s="186">
        <v>1000</v>
      </c>
      <c r="BD172" s="186">
        <v>100</v>
      </c>
      <c r="BE172" s="186">
        <v>100</v>
      </c>
      <c r="BF172" s="186">
        <v>0</v>
      </c>
      <c r="BG172" s="186"/>
      <c r="BH172" s="186"/>
      <c r="BI172" s="186">
        <v>0</v>
      </c>
      <c r="BJ172" s="283">
        <f t="shared" si="256"/>
        <v>0</v>
      </c>
      <c r="BK172" s="186"/>
      <c r="BL172" s="186"/>
      <c r="BM172" s="186"/>
      <c r="BN172" s="186"/>
      <c r="BO172" s="186"/>
      <c r="BP172" s="284">
        <v>0</v>
      </c>
      <c r="BQ172" s="186"/>
      <c r="BR172" s="186"/>
      <c r="BS172" s="186"/>
      <c r="BT172" s="186"/>
      <c r="BU172" s="186"/>
      <c r="BV172" s="186"/>
      <c r="BW172" s="186"/>
      <c r="BX172" s="186"/>
      <c r="BY172" s="285"/>
      <c r="BZ172" s="286">
        <v>0</v>
      </c>
      <c r="CA172" s="187"/>
      <c r="CB172" s="187"/>
      <c r="CC172" s="187"/>
      <c r="CD172" s="187"/>
      <c r="CE172" s="286">
        <v>0</v>
      </c>
      <c r="CF172" s="187"/>
      <c r="CG172" s="187"/>
      <c r="CH172" s="187"/>
      <c r="CI172" s="187"/>
      <c r="CJ172" s="288"/>
      <c r="CK172" s="288"/>
      <c r="CL172" s="288"/>
      <c r="CM172" s="288"/>
      <c r="CN172" s="288"/>
      <c r="CO172" s="187">
        <v>0</v>
      </c>
      <c r="CP172" s="184"/>
      <c r="CQ172" s="184" t="s">
        <v>488</v>
      </c>
      <c r="CR172" s="310"/>
      <c r="CS172" s="310"/>
      <c r="CT172" s="301"/>
      <c r="CU172" s="161"/>
    </row>
    <row r="173" spans="1:99" ht="68.25" customHeight="1" outlineLevel="1">
      <c r="A173" s="183">
        <v>4</v>
      </c>
      <c r="B173" s="279" t="s">
        <v>3443</v>
      </c>
      <c r="C173" s="280" t="s">
        <v>3082</v>
      </c>
      <c r="D173" s="281" t="s">
        <v>3083</v>
      </c>
      <c r="E173" s="183" t="s">
        <v>3061</v>
      </c>
      <c r="F173" s="183" t="s">
        <v>49</v>
      </c>
      <c r="G173" s="183" t="s">
        <v>55</v>
      </c>
      <c r="H173" s="183"/>
      <c r="I173" s="184" t="s">
        <v>3433</v>
      </c>
      <c r="J173" s="183" t="s">
        <v>49</v>
      </c>
      <c r="K173" s="183" t="s">
        <v>3444</v>
      </c>
      <c r="L173" s="183">
        <v>2025</v>
      </c>
      <c r="M173" s="183">
        <v>2025</v>
      </c>
      <c r="N173" s="282"/>
      <c r="O173" s="282" t="s">
        <v>3445</v>
      </c>
      <c r="P173" s="186">
        <v>1000</v>
      </c>
      <c r="Q173" s="186"/>
      <c r="R173" s="186"/>
      <c r="S173" s="186">
        <v>1000</v>
      </c>
      <c r="T173" s="186">
        <v>0</v>
      </c>
      <c r="U173" s="186"/>
      <c r="V173" s="282" t="s">
        <v>3444</v>
      </c>
      <c r="W173" s="282" t="s">
        <v>3434</v>
      </c>
      <c r="X173" s="282" t="s">
        <v>3433</v>
      </c>
      <c r="Y173" s="186"/>
      <c r="Z173" s="186"/>
      <c r="AA173" s="186"/>
      <c r="AB173" s="186"/>
      <c r="AC173" s="186">
        <v>1000</v>
      </c>
      <c r="AD173" s="186"/>
      <c r="AE173" s="186"/>
      <c r="AF173" s="186">
        <v>1000</v>
      </c>
      <c r="AG173" s="283">
        <f t="shared" si="255"/>
        <v>1000</v>
      </c>
      <c r="AH173" s="186">
        <v>1000</v>
      </c>
      <c r="AI173" s="186"/>
      <c r="AJ173" s="186"/>
      <c r="AK173" s="186"/>
      <c r="AL173" s="186">
        <v>0</v>
      </c>
      <c r="AM173" s="186">
        <v>1000</v>
      </c>
      <c r="AN173" s="186"/>
      <c r="AO173" s="186"/>
      <c r="AP173" s="186">
        <v>1000</v>
      </c>
      <c r="AQ173" s="186">
        <v>1000</v>
      </c>
      <c r="AR173" s="186"/>
      <c r="AS173" s="186"/>
      <c r="AT173" s="186"/>
      <c r="AU173" s="186">
        <v>0</v>
      </c>
      <c r="AV173" s="186">
        <v>0</v>
      </c>
      <c r="AW173" s="186"/>
      <c r="AX173" s="186"/>
      <c r="AY173" s="186">
        <v>0</v>
      </c>
      <c r="AZ173" s="186"/>
      <c r="BA173" s="186"/>
      <c r="BB173" s="186"/>
      <c r="BC173" s="186"/>
      <c r="BD173" s="186">
        <v>0</v>
      </c>
      <c r="BE173" s="186">
        <v>0</v>
      </c>
      <c r="BF173" s="186">
        <v>1000</v>
      </c>
      <c r="BG173" s="186"/>
      <c r="BH173" s="186"/>
      <c r="BI173" s="186">
        <v>1000</v>
      </c>
      <c r="BJ173" s="283">
        <f t="shared" si="256"/>
        <v>1000</v>
      </c>
      <c r="BK173" s="186">
        <v>1000</v>
      </c>
      <c r="BL173" s="186"/>
      <c r="BM173" s="186"/>
      <c r="BN173" s="186"/>
      <c r="BO173" s="186">
        <v>0</v>
      </c>
      <c r="BP173" s="284">
        <v>0</v>
      </c>
      <c r="BQ173" s="186"/>
      <c r="BR173" s="186"/>
      <c r="BS173" s="186"/>
      <c r="BT173" s="186"/>
      <c r="BU173" s="186"/>
      <c r="BV173" s="186"/>
      <c r="BW173" s="186"/>
      <c r="BX173" s="186">
        <v>0</v>
      </c>
      <c r="BY173" s="285">
        <v>0</v>
      </c>
      <c r="BZ173" s="286">
        <v>0</v>
      </c>
      <c r="CA173" s="187"/>
      <c r="CB173" s="187"/>
      <c r="CC173" s="187"/>
      <c r="CD173" s="187">
        <v>0</v>
      </c>
      <c r="CE173" s="286">
        <v>0</v>
      </c>
      <c r="CF173" s="187"/>
      <c r="CG173" s="187"/>
      <c r="CH173" s="187"/>
      <c r="CI173" s="187"/>
      <c r="CJ173" s="288"/>
      <c r="CK173" s="288"/>
      <c r="CL173" s="288"/>
      <c r="CM173" s="288"/>
      <c r="CN173" s="288"/>
      <c r="CO173" s="187">
        <v>1000</v>
      </c>
      <c r="CP173" s="184" t="s">
        <v>3446</v>
      </c>
      <c r="CQ173" s="184"/>
      <c r="CR173" s="304"/>
      <c r="CS173" s="304"/>
      <c r="CT173" s="291"/>
      <c r="CU173" s="160"/>
    </row>
    <row r="174" spans="1:99" ht="75" customHeight="1" outlineLevel="1">
      <c r="A174" s="183">
        <v>5</v>
      </c>
      <c r="B174" s="292" t="s">
        <v>3447</v>
      </c>
      <c r="C174" s="280" t="s">
        <v>3082</v>
      </c>
      <c r="D174" s="183" t="s">
        <v>3448</v>
      </c>
      <c r="E174" s="183" t="s">
        <v>3061</v>
      </c>
      <c r="F174" s="183" t="s">
        <v>49</v>
      </c>
      <c r="G174" s="183" t="s">
        <v>55</v>
      </c>
      <c r="H174" s="183">
        <v>8068805</v>
      </c>
      <c r="I174" s="184" t="s">
        <v>3433</v>
      </c>
      <c r="J174" s="183" t="s">
        <v>49</v>
      </c>
      <c r="K174" s="183" t="s">
        <v>3437</v>
      </c>
      <c r="L174" s="183" t="s">
        <v>56</v>
      </c>
      <c r="M174" s="183">
        <v>2023</v>
      </c>
      <c r="N174" s="284"/>
      <c r="O174" s="282" t="s">
        <v>3449</v>
      </c>
      <c r="P174" s="186">
        <v>2543</v>
      </c>
      <c r="Q174" s="283"/>
      <c r="R174" s="283"/>
      <c r="S174" s="186">
        <v>2543</v>
      </c>
      <c r="T174" s="186">
        <v>0</v>
      </c>
      <c r="U174" s="186"/>
      <c r="V174" s="282" t="s">
        <v>3437</v>
      </c>
      <c r="W174" s="282" t="s">
        <v>3434</v>
      </c>
      <c r="X174" s="282" t="s">
        <v>3433</v>
      </c>
      <c r="Y174" s="186"/>
      <c r="Z174" s="186"/>
      <c r="AA174" s="186"/>
      <c r="AB174" s="186"/>
      <c r="AC174" s="186">
        <v>2543</v>
      </c>
      <c r="AD174" s="283"/>
      <c r="AE174" s="283"/>
      <c r="AF174" s="186">
        <v>2543</v>
      </c>
      <c r="AG174" s="283">
        <f t="shared" si="255"/>
        <v>2543</v>
      </c>
      <c r="AH174" s="283">
        <v>2543</v>
      </c>
      <c r="AI174" s="283"/>
      <c r="AJ174" s="283"/>
      <c r="AK174" s="283"/>
      <c r="AL174" s="186">
        <v>0</v>
      </c>
      <c r="AM174" s="186">
        <v>2543</v>
      </c>
      <c r="AN174" s="283"/>
      <c r="AO174" s="283"/>
      <c r="AP174" s="186">
        <v>2543</v>
      </c>
      <c r="AQ174" s="283">
        <v>2543</v>
      </c>
      <c r="AR174" s="283"/>
      <c r="AS174" s="283"/>
      <c r="AT174" s="283"/>
      <c r="AU174" s="186">
        <v>0</v>
      </c>
      <c r="AV174" s="186">
        <v>2539.7258310000002</v>
      </c>
      <c r="AW174" s="283"/>
      <c r="AX174" s="283"/>
      <c r="AY174" s="186">
        <v>2539.7258310000002</v>
      </c>
      <c r="AZ174" s="283">
        <v>2539.7258310000002</v>
      </c>
      <c r="BA174" s="283"/>
      <c r="BB174" s="283"/>
      <c r="BC174" s="283"/>
      <c r="BD174" s="186">
        <v>0</v>
      </c>
      <c r="BE174" s="186">
        <v>99.871247778214709</v>
      </c>
      <c r="BF174" s="186">
        <v>43</v>
      </c>
      <c r="BG174" s="283"/>
      <c r="BH174" s="283"/>
      <c r="BI174" s="186">
        <v>43</v>
      </c>
      <c r="BJ174" s="283">
        <f t="shared" si="256"/>
        <v>43</v>
      </c>
      <c r="BK174" s="283">
        <v>43</v>
      </c>
      <c r="BL174" s="283"/>
      <c r="BM174" s="283"/>
      <c r="BN174" s="283"/>
      <c r="BO174" s="186">
        <v>0</v>
      </c>
      <c r="BP174" s="284">
        <v>39.725830999999999</v>
      </c>
      <c r="BQ174" s="283"/>
      <c r="BR174" s="283"/>
      <c r="BS174" s="283">
        <v>39.725830999999999</v>
      </c>
      <c r="BT174" s="283">
        <v>39.725830999999999</v>
      </c>
      <c r="BU174" s="283"/>
      <c r="BV174" s="283"/>
      <c r="BW174" s="283"/>
      <c r="BX174" s="186">
        <v>0</v>
      </c>
      <c r="BY174" s="285">
        <v>92.385653488372085</v>
      </c>
      <c r="BZ174" s="286">
        <v>0</v>
      </c>
      <c r="CA174" s="287"/>
      <c r="CB174" s="287"/>
      <c r="CC174" s="287"/>
      <c r="CD174" s="187">
        <v>0</v>
      </c>
      <c r="CE174" s="286">
        <v>0</v>
      </c>
      <c r="CF174" s="287"/>
      <c r="CG174" s="287"/>
      <c r="CH174" s="287"/>
      <c r="CI174" s="187"/>
      <c r="CJ174" s="288"/>
      <c r="CK174" s="288"/>
      <c r="CL174" s="288"/>
      <c r="CM174" s="288"/>
      <c r="CN174" s="288"/>
      <c r="CO174" s="187">
        <v>3.2741690000000006</v>
      </c>
      <c r="CP174" s="184"/>
      <c r="CQ174" s="184" t="s">
        <v>488</v>
      </c>
      <c r="CR174" s="289"/>
      <c r="CS174" s="289"/>
      <c r="CT174" s="291"/>
      <c r="CU174" s="160"/>
    </row>
    <row r="175" spans="1:99" ht="15.4" outlineLevel="1">
      <c r="A175" s="430" t="s">
        <v>45</v>
      </c>
      <c r="B175" s="495" t="s">
        <v>913</v>
      </c>
      <c r="C175" s="183"/>
      <c r="D175" s="183"/>
      <c r="E175" s="183"/>
      <c r="F175" s="183"/>
      <c r="G175" s="183"/>
      <c r="H175" s="183"/>
      <c r="I175" s="184"/>
      <c r="J175" s="183"/>
      <c r="K175" s="183"/>
      <c r="L175" s="183"/>
      <c r="M175" s="183"/>
      <c r="N175" s="282"/>
      <c r="O175" s="282"/>
      <c r="P175" s="186">
        <f>SUM(P176:P178)</f>
        <v>8500</v>
      </c>
      <c r="Q175" s="186">
        <f t="shared" ref="Q175:BN175" si="265">SUM(Q176:Q178)</f>
        <v>0</v>
      </c>
      <c r="R175" s="186">
        <f t="shared" si="265"/>
        <v>0</v>
      </c>
      <c r="S175" s="186">
        <f>SUM(S176:S178)</f>
        <v>8500</v>
      </c>
      <c r="T175" s="186">
        <f t="shared" si="265"/>
        <v>0</v>
      </c>
      <c r="U175" s="186">
        <f t="shared" si="265"/>
        <v>0</v>
      </c>
      <c r="V175" s="285">
        <f t="shared" si="265"/>
        <v>0</v>
      </c>
      <c r="W175" s="285">
        <f t="shared" si="265"/>
        <v>0</v>
      </c>
      <c r="X175" s="285">
        <f t="shared" si="265"/>
        <v>0</v>
      </c>
      <c r="Y175" s="186">
        <f t="shared" si="265"/>
        <v>0</v>
      </c>
      <c r="Z175" s="186">
        <f t="shared" si="265"/>
        <v>0</v>
      </c>
      <c r="AA175" s="186">
        <f t="shared" si="265"/>
        <v>0</v>
      </c>
      <c r="AB175" s="186">
        <f t="shared" si="265"/>
        <v>0</v>
      </c>
      <c r="AC175" s="186">
        <f t="shared" si="265"/>
        <v>8500</v>
      </c>
      <c r="AD175" s="186">
        <f t="shared" si="265"/>
        <v>0</v>
      </c>
      <c r="AE175" s="186">
        <f t="shared" si="265"/>
        <v>0</v>
      </c>
      <c r="AF175" s="186">
        <f t="shared" si="265"/>
        <v>8500</v>
      </c>
      <c r="AG175" s="186">
        <f t="shared" si="265"/>
        <v>0</v>
      </c>
      <c r="AH175" s="186">
        <f t="shared" si="265"/>
        <v>0</v>
      </c>
      <c r="AI175" s="186">
        <f t="shared" si="265"/>
        <v>0</v>
      </c>
      <c r="AJ175" s="186">
        <f t="shared" si="265"/>
        <v>3000</v>
      </c>
      <c r="AK175" s="186">
        <f t="shared" si="265"/>
        <v>5500</v>
      </c>
      <c r="AL175" s="186">
        <f t="shared" si="265"/>
        <v>0</v>
      </c>
      <c r="AM175" s="186">
        <f t="shared" si="265"/>
        <v>0</v>
      </c>
      <c r="AN175" s="186">
        <f t="shared" si="265"/>
        <v>0</v>
      </c>
      <c r="AO175" s="186">
        <f t="shared" si="265"/>
        <v>0</v>
      </c>
      <c r="AP175" s="186">
        <f t="shared" si="265"/>
        <v>0</v>
      </c>
      <c r="AQ175" s="186">
        <f t="shared" si="265"/>
        <v>0</v>
      </c>
      <c r="AR175" s="186">
        <f t="shared" si="265"/>
        <v>0</v>
      </c>
      <c r="AS175" s="186">
        <f t="shared" si="265"/>
        <v>0</v>
      </c>
      <c r="AT175" s="186">
        <f t="shared" si="265"/>
        <v>0</v>
      </c>
      <c r="AU175" s="186">
        <f t="shared" si="265"/>
        <v>0</v>
      </c>
      <c r="AV175" s="186">
        <f t="shared" si="265"/>
        <v>0</v>
      </c>
      <c r="AW175" s="186">
        <f t="shared" si="265"/>
        <v>0</v>
      </c>
      <c r="AX175" s="186">
        <f t="shared" si="265"/>
        <v>0</v>
      </c>
      <c r="AY175" s="186">
        <f t="shared" si="265"/>
        <v>0</v>
      </c>
      <c r="AZ175" s="186">
        <f t="shared" si="265"/>
        <v>0</v>
      </c>
      <c r="BA175" s="186">
        <f t="shared" si="265"/>
        <v>0</v>
      </c>
      <c r="BB175" s="186">
        <f t="shared" si="265"/>
        <v>0</v>
      </c>
      <c r="BC175" s="186">
        <f t="shared" si="265"/>
        <v>0</v>
      </c>
      <c r="BD175" s="186">
        <f t="shared" si="265"/>
        <v>0</v>
      </c>
      <c r="BE175" s="186">
        <f t="shared" si="265"/>
        <v>0</v>
      </c>
      <c r="BF175" s="186">
        <f t="shared" si="265"/>
        <v>0</v>
      </c>
      <c r="BG175" s="186">
        <f t="shared" si="265"/>
        <v>0</v>
      </c>
      <c r="BH175" s="186">
        <f t="shared" si="265"/>
        <v>0</v>
      </c>
      <c r="BI175" s="186">
        <f t="shared" si="265"/>
        <v>0</v>
      </c>
      <c r="BJ175" s="186">
        <f t="shared" si="265"/>
        <v>0</v>
      </c>
      <c r="BK175" s="186">
        <f t="shared" si="265"/>
        <v>0</v>
      </c>
      <c r="BL175" s="186">
        <f t="shared" si="265"/>
        <v>0</v>
      </c>
      <c r="BM175" s="186">
        <f t="shared" si="265"/>
        <v>0</v>
      </c>
      <c r="BN175" s="186">
        <f t="shared" si="265"/>
        <v>0</v>
      </c>
      <c r="BO175" s="186"/>
      <c r="BP175" s="284"/>
      <c r="BQ175" s="186"/>
      <c r="BR175" s="186"/>
      <c r="BS175" s="186"/>
      <c r="BT175" s="186"/>
      <c r="BU175" s="186"/>
      <c r="BV175" s="186"/>
      <c r="BW175" s="186"/>
      <c r="BX175" s="186"/>
      <c r="BY175" s="285"/>
      <c r="BZ175" s="286"/>
      <c r="CA175" s="187"/>
      <c r="CB175" s="187"/>
      <c r="CC175" s="187"/>
      <c r="CD175" s="187"/>
      <c r="CE175" s="286"/>
      <c r="CF175" s="187"/>
      <c r="CG175" s="187"/>
      <c r="CH175" s="187"/>
      <c r="CI175" s="187"/>
      <c r="CJ175" s="288"/>
      <c r="CK175" s="288"/>
      <c r="CL175" s="307"/>
      <c r="CM175" s="288"/>
      <c r="CN175" s="288"/>
      <c r="CO175" s="187"/>
      <c r="CP175" s="184"/>
      <c r="CQ175" s="184"/>
      <c r="CR175" s="280"/>
      <c r="CS175" s="280"/>
      <c r="CT175" s="291"/>
      <c r="CU175" s="160"/>
    </row>
    <row r="176" spans="1:99" ht="49.5" customHeight="1" outlineLevel="1">
      <c r="A176" s="183">
        <v>1</v>
      </c>
      <c r="B176" s="279" t="s">
        <v>3450</v>
      </c>
      <c r="C176" s="183" t="s">
        <v>304</v>
      </c>
      <c r="D176" s="183" t="s">
        <v>3451</v>
      </c>
      <c r="E176" s="183"/>
      <c r="F176" s="183" t="s">
        <v>49</v>
      </c>
      <c r="G176" s="183"/>
      <c r="H176" s="183"/>
      <c r="I176" s="184" t="s">
        <v>3433</v>
      </c>
      <c r="J176" s="183" t="s">
        <v>49</v>
      </c>
      <c r="K176" s="183" t="s">
        <v>3437</v>
      </c>
      <c r="L176" s="183" t="s">
        <v>75</v>
      </c>
      <c r="M176" s="183"/>
      <c r="N176" s="284"/>
      <c r="O176" s="282" t="s">
        <v>3102</v>
      </c>
      <c r="P176" s="283">
        <v>3000</v>
      </c>
      <c r="Q176" s="283"/>
      <c r="R176" s="283"/>
      <c r="S176" s="283">
        <v>3000</v>
      </c>
      <c r="T176" s="186">
        <v>0</v>
      </c>
      <c r="U176" s="186"/>
      <c r="V176" s="282" t="s">
        <v>3437</v>
      </c>
      <c r="W176" s="282" t="s">
        <v>3434</v>
      </c>
      <c r="X176" s="282" t="s">
        <v>3433</v>
      </c>
      <c r="Y176" s="186">
        <v>0</v>
      </c>
      <c r="Z176" s="186"/>
      <c r="AA176" s="186"/>
      <c r="AB176" s="186"/>
      <c r="AC176" s="186">
        <v>3000</v>
      </c>
      <c r="AD176" s="283"/>
      <c r="AE176" s="283"/>
      <c r="AF176" s="186">
        <v>3000</v>
      </c>
      <c r="AG176" s="283">
        <f t="shared" si="255"/>
        <v>0</v>
      </c>
      <c r="AH176" s="283"/>
      <c r="AI176" s="283"/>
      <c r="AJ176" s="283">
        <v>3000</v>
      </c>
      <c r="AK176" s="283"/>
      <c r="AL176" s="186">
        <v>0</v>
      </c>
      <c r="AM176" s="283"/>
      <c r="AN176" s="283"/>
      <c r="AO176" s="283"/>
      <c r="AP176" s="283"/>
      <c r="AQ176" s="283"/>
      <c r="AR176" s="283"/>
      <c r="AS176" s="283"/>
      <c r="AT176" s="283"/>
      <c r="AU176" s="186"/>
      <c r="AV176" s="283"/>
      <c r="AW176" s="283"/>
      <c r="AX176" s="283"/>
      <c r="AY176" s="283"/>
      <c r="AZ176" s="283"/>
      <c r="BA176" s="283"/>
      <c r="BB176" s="283"/>
      <c r="BC176" s="283"/>
      <c r="BD176" s="186"/>
      <c r="BE176" s="186"/>
      <c r="BF176" s="283"/>
      <c r="BG176" s="283"/>
      <c r="BH176" s="283"/>
      <c r="BI176" s="283"/>
      <c r="BJ176" s="283">
        <f t="shared" si="256"/>
        <v>0</v>
      </c>
      <c r="BK176" s="283"/>
      <c r="BL176" s="283"/>
      <c r="BM176" s="283"/>
      <c r="BN176" s="283"/>
      <c r="BO176" s="186"/>
      <c r="BP176" s="283"/>
      <c r="BQ176" s="283"/>
      <c r="BR176" s="283"/>
      <c r="BS176" s="283"/>
      <c r="BT176" s="283"/>
      <c r="BU176" s="283"/>
      <c r="BV176" s="283"/>
      <c r="BW176" s="283"/>
      <c r="BX176" s="186"/>
      <c r="BY176" s="186"/>
      <c r="BZ176" s="287"/>
      <c r="CA176" s="287"/>
      <c r="CB176" s="287"/>
      <c r="CC176" s="287"/>
      <c r="CD176" s="187"/>
      <c r="CE176" s="287"/>
      <c r="CF176" s="287"/>
      <c r="CG176" s="287"/>
      <c r="CH176" s="287"/>
      <c r="CI176" s="187"/>
      <c r="CJ176" s="187"/>
      <c r="CK176" s="187"/>
      <c r="CL176" s="187"/>
      <c r="CM176" s="187"/>
      <c r="CN176" s="187"/>
      <c r="CO176" s="187"/>
      <c r="CP176" s="187"/>
      <c r="CQ176" s="187"/>
      <c r="CR176" s="304"/>
      <c r="CS176" s="304"/>
      <c r="CT176" s="291"/>
      <c r="CU176" s="160"/>
    </row>
    <row r="177" spans="1:99" ht="66" customHeight="1" outlineLevel="1">
      <c r="A177" s="183">
        <v>2</v>
      </c>
      <c r="B177" s="292" t="s">
        <v>3452</v>
      </c>
      <c r="C177" s="183" t="s">
        <v>3108</v>
      </c>
      <c r="D177" s="183" t="s">
        <v>3453</v>
      </c>
      <c r="E177" s="183"/>
      <c r="F177" s="183" t="s">
        <v>49</v>
      </c>
      <c r="G177" s="183"/>
      <c r="H177" s="183"/>
      <c r="I177" s="184" t="s">
        <v>3433</v>
      </c>
      <c r="J177" s="183" t="s">
        <v>49</v>
      </c>
      <c r="K177" s="183" t="s">
        <v>3454</v>
      </c>
      <c r="L177" s="183" t="s">
        <v>75</v>
      </c>
      <c r="M177" s="183"/>
      <c r="N177" s="282"/>
      <c r="O177" s="282" t="s">
        <v>3594</v>
      </c>
      <c r="P177" s="283">
        <v>1500</v>
      </c>
      <c r="Q177" s="283"/>
      <c r="R177" s="283"/>
      <c r="S177" s="283">
        <v>1500</v>
      </c>
      <c r="T177" s="186">
        <v>0</v>
      </c>
      <c r="U177" s="186"/>
      <c r="V177" s="282" t="s">
        <v>3454</v>
      </c>
      <c r="W177" s="282" t="s">
        <v>3434</v>
      </c>
      <c r="X177" s="282" t="s">
        <v>3433</v>
      </c>
      <c r="Y177" s="283"/>
      <c r="Z177" s="283"/>
      <c r="AA177" s="283"/>
      <c r="AB177" s="283"/>
      <c r="AC177" s="186">
        <v>1500</v>
      </c>
      <c r="AD177" s="283"/>
      <c r="AE177" s="283"/>
      <c r="AF177" s="186">
        <v>1500</v>
      </c>
      <c r="AG177" s="283">
        <f t="shared" si="255"/>
        <v>0</v>
      </c>
      <c r="AH177" s="283"/>
      <c r="AI177" s="283"/>
      <c r="AJ177" s="283"/>
      <c r="AK177" s="186">
        <v>1500</v>
      </c>
      <c r="AL177" s="186">
        <v>0</v>
      </c>
      <c r="AM177" s="283"/>
      <c r="AN177" s="283"/>
      <c r="AO177" s="283"/>
      <c r="AP177" s="283"/>
      <c r="AQ177" s="283"/>
      <c r="AR177" s="283"/>
      <c r="AS177" s="283"/>
      <c r="AT177" s="283"/>
      <c r="AU177" s="186"/>
      <c r="AV177" s="283"/>
      <c r="AW177" s="283"/>
      <c r="AX177" s="283"/>
      <c r="AY177" s="283"/>
      <c r="AZ177" s="283"/>
      <c r="BA177" s="283"/>
      <c r="BB177" s="283"/>
      <c r="BC177" s="283"/>
      <c r="BD177" s="186"/>
      <c r="BE177" s="186"/>
      <c r="BF177" s="283"/>
      <c r="BG177" s="283"/>
      <c r="BH177" s="283"/>
      <c r="BI177" s="283"/>
      <c r="BJ177" s="283">
        <f t="shared" si="256"/>
        <v>0</v>
      </c>
      <c r="BK177" s="283"/>
      <c r="BL177" s="283"/>
      <c r="BM177" s="283"/>
      <c r="BN177" s="283"/>
      <c r="BO177" s="186"/>
      <c r="BP177" s="283"/>
      <c r="BQ177" s="283"/>
      <c r="BR177" s="283"/>
      <c r="BS177" s="283"/>
      <c r="BT177" s="283"/>
      <c r="BU177" s="283"/>
      <c r="BV177" s="283"/>
      <c r="BW177" s="283"/>
      <c r="BX177" s="186"/>
      <c r="BY177" s="186"/>
      <c r="BZ177" s="287"/>
      <c r="CA177" s="287"/>
      <c r="CB177" s="287"/>
      <c r="CC177" s="287"/>
      <c r="CD177" s="187"/>
      <c r="CE177" s="287"/>
      <c r="CF177" s="287"/>
      <c r="CG177" s="287"/>
      <c r="CH177" s="287"/>
      <c r="CI177" s="187"/>
      <c r="CJ177" s="187"/>
      <c r="CK177" s="187"/>
      <c r="CL177" s="187"/>
      <c r="CM177" s="187"/>
      <c r="CN177" s="187"/>
      <c r="CO177" s="187"/>
      <c r="CP177" s="187"/>
      <c r="CQ177" s="187"/>
      <c r="CR177" s="304"/>
      <c r="CS177" s="304"/>
      <c r="CT177" s="291"/>
      <c r="CU177" s="160"/>
    </row>
    <row r="178" spans="1:99" ht="57.75" customHeight="1" outlineLevel="1">
      <c r="A178" s="183">
        <v>3</v>
      </c>
      <c r="B178" s="292" t="s">
        <v>3455</v>
      </c>
      <c r="C178" s="183" t="s">
        <v>3108</v>
      </c>
      <c r="D178" s="183" t="s">
        <v>3456</v>
      </c>
      <c r="E178" s="183"/>
      <c r="F178" s="183" t="s">
        <v>49</v>
      </c>
      <c r="G178" s="183"/>
      <c r="H178" s="183"/>
      <c r="I178" s="184" t="s">
        <v>3433</v>
      </c>
      <c r="J178" s="183" t="s">
        <v>49</v>
      </c>
      <c r="K178" s="183" t="s">
        <v>3457</v>
      </c>
      <c r="L178" s="183" t="s">
        <v>75</v>
      </c>
      <c r="M178" s="183"/>
      <c r="N178" s="282"/>
      <c r="O178" s="282" t="s">
        <v>3593</v>
      </c>
      <c r="P178" s="283">
        <v>4000</v>
      </c>
      <c r="Q178" s="283"/>
      <c r="R178" s="283"/>
      <c r="S178" s="283">
        <v>4000</v>
      </c>
      <c r="T178" s="186">
        <v>0</v>
      </c>
      <c r="U178" s="186"/>
      <c r="V178" s="282" t="s">
        <v>3457</v>
      </c>
      <c r="W178" s="282" t="s">
        <v>3434</v>
      </c>
      <c r="X178" s="282" t="s">
        <v>3433</v>
      </c>
      <c r="Y178" s="283"/>
      <c r="Z178" s="283"/>
      <c r="AA178" s="283"/>
      <c r="AB178" s="283"/>
      <c r="AC178" s="186">
        <v>4000</v>
      </c>
      <c r="AD178" s="283"/>
      <c r="AE178" s="283"/>
      <c r="AF178" s="186">
        <v>4000</v>
      </c>
      <c r="AG178" s="283">
        <f t="shared" si="255"/>
        <v>0</v>
      </c>
      <c r="AH178" s="283"/>
      <c r="AI178" s="283"/>
      <c r="AJ178" s="283"/>
      <c r="AK178" s="283">
        <v>4000</v>
      </c>
      <c r="AL178" s="186">
        <v>0</v>
      </c>
      <c r="AM178" s="283"/>
      <c r="AN178" s="283"/>
      <c r="AO178" s="283"/>
      <c r="AP178" s="283"/>
      <c r="AQ178" s="283"/>
      <c r="AR178" s="283"/>
      <c r="AS178" s="283"/>
      <c r="AT178" s="283"/>
      <c r="AU178" s="186"/>
      <c r="AV178" s="283"/>
      <c r="AW178" s="283"/>
      <c r="AX178" s="283"/>
      <c r="AY178" s="283"/>
      <c r="AZ178" s="283"/>
      <c r="BA178" s="283"/>
      <c r="BB178" s="283"/>
      <c r="BC178" s="283"/>
      <c r="BD178" s="186"/>
      <c r="BE178" s="186"/>
      <c r="BF178" s="283"/>
      <c r="BG178" s="283"/>
      <c r="BH178" s="283"/>
      <c r="BI178" s="283"/>
      <c r="BJ178" s="283">
        <f t="shared" si="256"/>
        <v>0</v>
      </c>
      <c r="BK178" s="283"/>
      <c r="BL178" s="283"/>
      <c r="BM178" s="283"/>
      <c r="BN178" s="283"/>
      <c r="BO178" s="186"/>
      <c r="BP178" s="283"/>
      <c r="BQ178" s="283"/>
      <c r="BR178" s="283"/>
      <c r="BS178" s="283"/>
      <c r="BT178" s="283"/>
      <c r="BU178" s="283"/>
      <c r="BV178" s="283"/>
      <c r="BW178" s="283"/>
      <c r="BX178" s="186"/>
      <c r="BY178" s="186"/>
      <c r="BZ178" s="287"/>
      <c r="CA178" s="287"/>
      <c r="CB178" s="287"/>
      <c r="CC178" s="287"/>
      <c r="CD178" s="187"/>
      <c r="CE178" s="287"/>
      <c r="CF178" s="287"/>
      <c r="CG178" s="287"/>
      <c r="CH178" s="287"/>
      <c r="CI178" s="187"/>
      <c r="CJ178" s="187"/>
      <c r="CK178" s="187"/>
      <c r="CL178" s="187"/>
      <c r="CM178" s="187"/>
      <c r="CN178" s="187"/>
      <c r="CO178" s="187"/>
      <c r="CP178" s="187"/>
      <c r="CQ178" s="187"/>
      <c r="CR178" s="281"/>
      <c r="CS178" s="281"/>
      <c r="CT178" s="291"/>
      <c r="CU178" s="160"/>
    </row>
    <row r="179" spans="1:99" ht="38.25" customHeight="1">
      <c r="A179" s="418" t="s">
        <v>59</v>
      </c>
      <c r="B179" s="418" t="s">
        <v>3458</v>
      </c>
      <c r="C179" s="482"/>
      <c r="D179" s="482"/>
      <c r="E179" s="482"/>
      <c r="F179" s="482"/>
      <c r="G179" s="482"/>
      <c r="H179" s="482"/>
      <c r="I179" s="482"/>
      <c r="J179" s="482"/>
      <c r="K179" s="482"/>
      <c r="L179" s="482"/>
      <c r="M179" s="482"/>
      <c r="N179" s="484"/>
      <c r="O179" s="484"/>
      <c r="P179" s="99">
        <f>P180+P188</f>
        <v>39369.887000000002</v>
      </c>
      <c r="Q179" s="99">
        <f t="shared" ref="Q179:CB179" si="266">Q180+Q188</f>
        <v>0</v>
      </c>
      <c r="R179" s="99">
        <f t="shared" si="266"/>
        <v>0</v>
      </c>
      <c r="S179" s="99">
        <f t="shared" si="266"/>
        <v>39249.887000000002</v>
      </c>
      <c r="T179" s="99">
        <f t="shared" si="266"/>
        <v>120</v>
      </c>
      <c r="U179" s="99">
        <f t="shared" si="266"/>
        <v>0</v>
      </c>
      <c r="V179" s="67">
        <f t="shared" si="266"/>
        <v>0</v>
      </c>
      <c r="W179" s="67">
        <f t="shared" si="266"/>
        <v>0</v>
      </c>
      <c r="X179" s="67">
        <f t="shared" si="266"/>
        <v>0</v>
      </c>
      <c r="Y179" s="99">
        <f t="shared" si="266"/>
        <v>0</v>
      </c>
      <c r="Z179" s="99">
        <f t="shared" si="266"/>
        <v>0</v>
      </c>
      <c r="AA179" s="99">
        <f t="shared" si="266"/>
        <v>0</v>
      </c>
      <c r="AB179" s="99">
        <f t="shared" si="266"/>
        <v>0</v>
      </c>
      <c r="AC179" s="99">
        <f t="shared" si="266"/>
        <v>39251</v>
      </c>
      <c r="AD179" s="99">
        <f t="shared" si="266"/>
        <v>0</v>
      </c>
      <c r="AE179" s="99">
        <f t="shared" si="266"/>
        <v>0</v>
      </c>
      <c r="AF179" s="99">
        <f t="shared" si="266"/>
        <v>39251</v>
      </c>
      <c r="AG179" s="99">
        <f t="shared" si="266"/>
        <v>15059</v>
      </c>
      <c r="AH179" s="99">
        <f t="shared" si="266"/>
        <v>9304</v>
      </c>
      <c r="AI179" s="99">
        <f t="shared" si="266"/>
        <v>5755</v>
      </c>
      <c r="AJ179" s="99">
        <f t="shared" si="266"/>
        <v>22192</v>
      </c>
      <c r="AK179" s="99">
        <f t="shared" si="266"/>
        <v>2000</v>
      </c>
      <c r="AL179" s="99">
        <f t="shared" si="266"/>
        <v>120</v>
      </c>
      <c r="AM179" s="99">
        <f t="shared" si="266"/>
        <v>16430.654999999999</v>
      </c>
      <c r="AN179" s="99">
        <f t="shared" si="266"/>
        <v>0</v>
      </c>
      <c r="AO179" s="99">
        <f t="shared" si="266"/>
        <v>0</v>
      </c>
      <c r="AP179" s="99">
        <f t="shared" si="266"/>
        <v>16430.654999999999</v>
      </c>
      <c r="AQ179" s="99">
        <f t="shared" si="266"/>
        <v>5360</v>
      </c>
      <c r="AR179" s="99">
        <f t="shared" si="266"/>
        <v>2108</v>
      </c>
      <c r="AS179" s="99">
        <f t="shared" si="266"/>
        <v>6962.6549999999997</v>
      </c>
      <c r="AT179" s="99">
        <f t="shared" si="266"/>
        <v>2000</v>
      </c>
      <c r="AU179" s="99">
        <f t="shared" si="266"/>
        <v>120</v>
      </c>
      <c r="AV179" s="99">
        <f t="shared" si="266"/>
        <v>16410.405649</v>
      </c>
      <c r="AW179" s="99">
        <f t="shared" si="266"/>
        <v>0</v>
      </c>
      <c r="AX179" s="99">
        <f t="shared" si="266"/>
        <v>0</v>
      </c>
      <c r="AY179" s="99">
        <f t="shared" si="266"/>
        <v>16410.405649</v>
      </c>
      <c r="AZ179" s="99">
        <f t="shared" si="266"/>
        <v>5360</v>
      </c>
      <c r="BA179" s="99">
        <f t="shared" si="266"/>
        <v>2108</v>
      </c>
      <c r="BB179" s="99">
        <f t="shared" si="266"/>
        <v>6942.4056490000003</v>
      </c>
      <c r="BC179" s="99">
        <f t="shared" si="266"/>
        <v>2000</v>
      </c>
      <c r="BD179" s="99">
        <f t="shared" si="266"/>
        <v>120</v>
      </c>
      <c r="BE179" s="99">
        <f t="shared" si="266"/>
        <v>696.4138543004135</v>
      </c>
      <c r="BF179" s="99">
        <f t="shared" si="266"/>
        <v>2028.655</v>
      </c>
      <c r="BG179" s="99">
        <f t="shared" si="266"/>
        <v>0</v>
      </c>
      <c r="BH179" s="99">
        <f t="shared" si="266"/>
        <v>0</v>
      </c>
      <c r="BI179" s="99">
        <f t="shared" si="266"/>
        <v>2028.655</v>
      </c>
      <c r="BJ179" s="99">
        <f t="shared" si="266"/>
        <v>1764</v>
      </c>
      <c r="BK179" s="99">
        <f t="shared" si="266"/>
        <v>1764</v>
      </c>
      <c r="BL179" s="99">
        <f t="shared" si="266"/>
        <v>0</v>
      </c>
      <c r="BM179" s="99">
        <f t="shared" si="266"/>
        <v>264.65499999999997</v>
      </c>
      <c r="BN179" s="99">
        <f t="shared" si="266"/>
        <v>0</v>
      </c>
      <c r="BO179" s="484">
        <f t="shared" si="266"/>
        <v>0</v>
      </c>
      <c r="BP179" s="484">
        <f t="shared" si="266"/>
        <v>244.40564899999998</v>
      </c>
      <c r="BQ179" s="484">
        <f t="shared" si="266"/>
        <v>0</v>
      </c>
      <c r="BR179" s="484">
        <f t="shared" si="266"/>
        <v>0</v>
      </c>
      <c r="BS179" s="484">
        <f t="shared" si="266"/>
        <v>244.40564899999998</v>
      </c>
      <c r="BT179" s="484">
        <f t="shared" si="266"/>
        <v>0</v>
      </c>
      <c r="BU179" s="484">
        <f t="shared" si="266"/>
        <v>0</v>
      </c>
      <c r="BV179" s="484">
        <f t="shared" si="266"/>
        <v>244.40564899999998</v>
      </c>
      <c r="BW179" s="484">
        <f t="shared" si="266"/>
        <v>0</v>
      </c>
      <c r="BX179" s="484">
        <f t="shared" si="266"/>
        <v>0</v>
      </c>
      <c r="BY179" s="484">
        <f t="shared" si="266"/>
        <v>92.348774442198334</v>
      </c>
      <c r="BZ179" s="483">
        <f t="shared" si="266"/>
        <v>0</v>
      </c>
      <c r="CA179" s="483">
        <f t="shared" si="266"/>
        <v>0</v>
      </c>
      <c r="CB179" s="483">
        <f t="shared" si="266"/>
        <v>0</v>
      </c>
      <c r="CC179" s="483">
        <f t="shared" ref="CC179:CR179" si="267">CC180+CC188</f>
        <v>0</v>
      </c>
      <c r="CD179" s="483">
        <f t="shared" si="267"/>
        <v>0</v>
      </c>
      <c r="CE179" s="483">
        <f t="shared" si="267"/>
        <v>0</v>
      </c>
      <c r="CF179" s="483">
        <f t="shared" si="267"/>
        <v>0</v>
      </c>
      <c r="CG179" s="483">
        <f t="shared" si="267"/>
        <v>0</v>
      </c>
      <c r="CH179" s="483">
        <f t="shared" si="267"/>
        <v>0</v>
      </c>
      <c r="CI179" s="483">
        <f t="shared" si="267"/>
        <v>0</v>
      </c>
      <c r="CJ179" s="483">
        <f t="shared" si="267"/>
        <v>0</v>
      </c>
      <c r="CK179" s="483">
        <f t="shared" si="267"/>
        <v>0</v>
      </c>
      <c r="CL179" s="483">
        <f t="shared" si="267"/>
        <v>0</v>
      </c>
      <c r="CM179" s="483">
        <f t="shared" si="267"/>
        <v>0</v>
      </c>
      <c r="CN179" s="483">
        <f t="shared" si="267"/>
        <v>0</v>
      </c>
      <c r="CO179" s="483">
        <f t="shared" si="267"/>
        <v>0</v>
      </c>
      <c r="CP179" s="483">
        <f t="shared" si="267"/>
        <v>0</v>
      </c>
      <c r="CQ179" s="483">
        <f t="shared" si="267"/>
        <v>0</v>
      </c>
      <c r="CR179" s="483">
        <f t="shared" si="267"/>
        <v>0</v>
      </c>
      <c r="CS179" s="483"/>
      <c r="CT179" s="482"/>
      <c r="CU179" s="165"/>
    </row>
    <row r="180" spans="1:99" ht="34.9" customHeight="1" outlineLevel="1">
      <c r="A180" s="488" t="s">
        <v>45</v>
      </c>
      <c r="B180" s="456" t="s">
        <v>3065</v>
      </c>
      <c r="C180" s="191"/>
      <c r="D180" s="192"/>
      <c r="E180" s="191"/>
      <c r="F180" s="191"/>
      <c r="G180" s="191"/>
      <c r="H180" s="486"/>
      <c r="I180" s="192"/>
      <c r="J180" s="191"/>
      <c r="K180" s="191"/>
      <c r="L180" s="191"/>
      <c r="M180" s="191"/>
      <c r="N180" s="298"/>
      <c r="O180" s="298"/>
      <c r="P180" s="194">
        <f>SUM(P181:P187)</f>
        <v>25558.886999999999</v>
      </c>
      <c r="Q180" s="194">
        <f t="shared" ref="Q180:BN180" si="268">SUM(Q181:Q187)</f>
        <v>0</v>
      </c>
      <c r="R180" s="194">
        <f t="shared" si="268"/>
        <v>0</v>
      </c>
      <c r="S180" s="194">
        <f>SUM(S181:S187)</f>
        <v>25438.886999999999</v>
      </c>
      <c r="T180" s="194">
        <f t="shared" si="268"/>
        <v>120</v>
      </c>
      <c r="U180" s="194">
        <f t="shared" si="268"/>
        <v>0</v>
      </c>
      <c r="V180" s="299">
        <f t="shared" si="268"/>
        <v>0</v>
      </c>
      <c r="W180" s="299">
        <f t="shared" si="268"/>
        <v>0</v>
      </c>
      <c r="X180" s="299">
        <f t="shared" si="268"/>
        <v>0</v>
      </c>
      <c r="Y180" s="194">
        <f t="shared" si="268"/>
        <v>0</v>
      </c>
      <c r="Z180" s="194">
        <f t="shared" si="268"/>
        <v>0</v>
      </c>
      <c r="AA180" s="194">
        <f t="shared" si="268"/>
        <v>0</v>
      </c>
      <c r="AB180" s="194">
        <f t="shared" si="268"/>
        <v>0</v>
      </c>
      <c r="AC180" s="194">
        <f t="shared" si="268"/>
        <v>25440</v>
      </c>
      <c r="AD180" s="194">
        <f t="shared" si="268"/>
        <v>0</v>
      </c>
      <c r="AE180" s="194">
        <f t="shared" si="268"/>
        <v>0</v>
      </c>
      <c r="AF180" s="194">
        <f t="shared" si="268"/>
        <v>25440</v>
      </c>
      <c r="AG180" s="194">
        <f t="shared" si="268"/>
        <v>15059</v>
      </c>
      <c r="AH180" s="194">
        <f t="shared" si="268"/>
        <v>9304</v>
      </c>
      <c r="AI180" s="194">
        <f t="shared" si="268"/>
        <v>5755</v>
      </c>
      <c r="AJ180" s="194">
        <f t="shared" si="268"/>
        <v>8381</v>
      </c>
      <c r="AK180" s="194">
        <f t="shared" si="268"/>
        <v>2000</v>
      </c>
      <c r="AL180" s="194">
        <f t="shared" si="268"/>
        <v>120</v>
      </c>
      <c r="AM180" s="194">
        <f t="shared" si="268"/>
        <v>16430.654999999999</v>
      </c>
      <c r="AN180" s="194">
        <f t="shared" si="268"/>
        <v>0</v>
      </c>
      <c r="AO180" s="194">
        <f t="shared" si="268"/>
        <v>0</v>
      </c>
      <c r="AP180" s="194">
        <f t="shared" si="268"/>
        <v>16430.654999999999</v>
      </c>
      <c r="AQ180" s="194">
        <f t="shared" si="268"/>
        <v>5360</v>
      </c>
      <c r="AR180" s="194">
        <f t="shared" si="268"/>
        <v>2108</v>
      </c>
      <c r="AS180" s="194">
        <f t="shared" si="268"/>
        <v>6962.6549999999997</v>
      </c>
      <c r="AT180" s="194">
        <f t="shared" si="268"/>
        <v>2000</v>
      </c>
      <c r="AU180" s="194">
        <f t="shared" si="268"/>
        <v>120</v>
      </c>
      <c r="AV180" s="194">
        <f t="shared" si="268"/>
        <v>16410.405649</v>
      </c>
      <c r="AW180" s="194">
        <f t="shared" si="268"/>
        <v>0</v>
      </c>
      <c r="AX180" s="194">
        <f t="shared" si="268"/>
        <v>0</v>
      </c>
      <c r="AY180" s="194">
        <f t="shared" si="268"/>
        <v>16410.405649</v>
      </c>
      <c r="AZ180" s="194">
        <f t="shared" si="268"/>
        <v>5360</v>
      </c>
      <c r="BA180" s="194">
        <f t="shared" si="268"/>
        <v>2108</v>
      </c>
      <c r="BB180" s="194">
        <f t="shared" si="268"/>
        <v>6942.4056490000003</v>
      </c>
      <c r="BC180" s="194">
        <f t="shared" si="268"/>
        <v>2000</v>
      </c>
      <c r="BD180" s="194">
        <f t="shared" si="268"/>
        <v>120</v>
      </c>
      <c r="BE180" s="194">
        <f t="shared" si="268"/>
        <v>696.4138543004135</v>
      </c>
      <c r="BF180" s="194">
        <f t="shared" si="268"/>
        <v>2028.655</v>
      </c>
      <c r="BG180" s="194">
        <f t="shared" si="268"/>
        <v>0</v>
      </c>
      <c r="BH180" s="194">
        <f t="shared" si="268"/>
        <v>0</v>
      </c>
      <c r="BI180" s="194">
        <f t="shared" si="268"/>
        <v>2028.655</v>
      </c>
      <c r="BJ180" s="194">
        <f t="shared" si="268"/>
        <v>1764</v>
      </c>
      <c r="BK180" s="194">
        <f t="shared" si="268"/>
        <v>1764</v>
      </c>
      <c r="BL180" s="194">
        <f t="shared" si="268"/>
        <v>0</v>
      </c>
      <c r="BM180" s="194">
        <f t="shared" si="268"/>
        <v>264.65499999999997</v>
      </c>
      <c r="BN180" s="194">
        <f t="shared" si="268"/>
        <v>0</v>
      </c>
      <c r="BO180" s="311">
        <f t="shared" ref="BO180:CN180" si="269">SUM(BO181:BO191)</f>
        <v>0</v>
      </c>
      <c r="BP180" s="311">
        <f t="shared" si="269"/>
        <v>244.40564899999998</v>
      </c>
      <c r="BQ180" s="311">
        <f t="shared" si="269"/>
        <v>0</v>
      </c>
      <c r="BR180" s="311">
        <f t="shared" si="269"/>
        <v>0</v>
      </c>
      <c r="BS180" s="311">
        <f t="shared" si="269"/>
        <v>244.40564899999998</v>
      </c>
      <c r="BT180" s="311">
        <f t="shared" si="269"/>
        <v>0</v>
      </c>
      <c r="BU180" s="311">
        <f t="shared" si="269"/>
        <v>0</v>
      </c>
      <c r="BV180" s="311">
        <f t="shared" si="269"/>
        <v>244.40564899999998</v>
      </c>
      <c r="BW180" s="311">
        <f t="shared" si="269"/>
        <v>0</v>
      </c>
      <c r="BX180" s="311">
        <f t="shared" si="269"/>
        <v>0</v>
      </c>
      <c r="BY180" s="311">
        <f t="shared" si="269"/>
        <v>92.348774442198334</v>
      </c>
      <c r="BZ180" s="196">
        <f t="shared" si="269"/>
        <v>0</v>
      </c>
      <c r="CA180" s="196">
        <f t="shared" si="269"/>
        <v>0</v>
      </c>
      <c r="CB180" s="196">
        <f t="shared" si="269"/>
        <v>0</v>
      </c>
      <c r="CC180" s="196">
        <f t="shared" si="269"/>
        <v>0</v>
      </c>
      <c r="CD180" s="196">
        <f t="shared" si="269"/>
        <v>0</v>
      </c>
      <c r="CE180" s="196">
        <f t="shared" si="269"/>
        <v>0</v>
      </c>
      <c r="CF180" s="196">
        <f t="shared" si="269"/>
        <v>0</v>
      </c>
      <c r="CG180" s="196">
        <f t="shared" si="269"/>
        <v>0</v>
      </c>
      <c r="CH180" s="196">
        <f t="shared" si="269"/>
        <v>0</v>
      </c>
      <c r="CI180" s="196">
        <f t="shared" si="269"/>
        <v>0</v>
      </c>
      <c r="CJ180" s="196">
        <f t="shared" si="269"/>
        <v>0</v>
      </c>
      <c r="CK180" s="196">
        <f t="shared" si="269"/>
        <v>0</v>
      </c>
      <c r="CL180" s="196">
        <f t="shared" si="269"/>
        <v>0</v>
      </c>
      <c r="CM180" s="196">
        <f t="shared" si="269"/>
        <v>0</v>
      </c>
      <c r="CN180" s="196">
        <f t="shared" si="269"/>
        <v>0</v>
      </c>
      <c r="CO180" s="195"/>
      <c r="CP180" s="192"/>
      <c r="CQ180" s="192"/>
      <c r="CR180" s="312"/>
      <c r="CS180" s="312"/>
      <c r="CT180" s="301"/>
      <c r="CU180" s="161"/>
    </row>
    <row r="181" spans="1:99" ht="57" customHeight="1" outlineLevel="1">
      <c r="A181" s="183">
        <v>1</v>
      </c>
      <c r="B181" s="279" t="s">
        <v>3459</v>
      </c>
      <c r="C181" s="183" t="s">
        <v>3059</v>
      </c>
      <c r="D181" s="183" t="s">
        <v>3460</v>
      </c>
      <c r="E181" s="183" t="s">
        <v>3061</v>
      </c>
      <c r="F181" s="183" t="s">
        <v>49</v>
      </c>
      <c r="G181" s="183" t="s">
        <v>55</v>
      </c>
      <c r="H181" s="183">
        <v>8033199</v>
      </c>
      <c r="I181" s="184" t="s">
        <v>3461</v>
      </c>
      <c r="J181" s="183" t="s">
        <v>49</v>
      </c>
      <c r="K181" s="183" t="s">
        <v>3462</v>
      </c>
      <c r="L181" s="183" t="s">
        <v>54</v>
      </c>
      <c r="M181" s="183">
        <v>2023</v>
      </c>
      <c r="N181" s="282"/>
      <c r="O181" s="282" t="s">
        <v>3463</v>
      </c>
      <c r="P181" s="283">
        <v>9800</v>
      </c>
      <c r="Q181" s="283"/>
      <c r="R181" s="283"/>
      <c r="S181" s="283">
        <v>9800</v>
      </c>
      <c r="T181" s="186">
        <v>0</v>
      </c>
      <c r="U181" s="186"/>
      <c r="V181" s="282" t="s">
        <v>3462</v>
      </c>
      <c r="W181" s="282" t="s">
        <v>3462</v>
      </c>
      <c r="X181" s="282" t="s">
        <v>3461</v>
      </c>
      <c r="Y181" s="186"/>
      <c r="Z181" s="186"/>
      <c r="AA181" s="186"/>
      <c r="AB181" s="186"/>
      <c r="AC181" s="186">
        <f t="shared" ref="AC181" si="270">AD181+AE181+AF181</f>
        <v>9800</v>
      </c>
      <c r="AD181" s="283"/>
      <c r="AE181" s="283"/>
      <c r="AF181" s="186">
        <f t="shared" ref="AF181" si="271">SUM(AH181:AK181)</f>
        <v>9800</v>
      </c>
      <c r="AG181" s="283">
        <f t="shared" si="255"/>
        <v>8411</v>
      </c>
      <c r="AH181" s="283">
        <f>3000+1764</f>
        <v>4764</v>
      </c>
      <c r="AI181" s="186">
        <v>3647</v>
      </c>
      <c r="AJ181" s="186">
        <v>1389</v>
      </c>
      <c r="AK181" s="283"/>
      <c r="AL181" s="186">
        <v>0</v>
      </c>
      <c r="AM181" s="186">
        <f t="shared" ref="AM181" si="272">AN181+AO181+AP181</f>
        <v>3000</v>
      </c>
      <c r="AN181" s="283"/>
      <c r="AO181" s="283"/>
      <c r="AP181" s="186">
        <f t="shared" ref="AP181" si="273">SUM(AQ181:AT181)</f>
        <v>3000</v>
      </c>
      <c r="AQ181" s="283">
        <v>3000</v>
      </c>
      <c r="AR181" s="283"/>
      <c r="AS181" s="283"/>
      <c r="AT181" s="283"/>
      <c r="AU181" s="186">
        <v>0</v>
      </c>
      <c r="AV181" s="186">
        <f t="shared" ref="AV181" si="274">AW181+AX181+AY181</f>
        <v>3000</v>
      </c>
      <c r="AW181" s="283"/>
      <c r="AX181" s="283"/>
      <c r="AY181" s="186">
        <f t="shared" ref="AY181" si="275">SUM(AZ181:BC181)</f>
        <v>3000</v>
      </c>
      <c r="AZ181" s="283">
        <v>3000</v>
      </c>
      <c r="BA181" s="283"/>
      <c r="BB181" s="283"/>
      <c r="BC181" s="283"/>
      <c r="BD181" s="186">
        <v>0</v>
      </c>
      <c r="BE181" s="186">
        <f t="shared" ref="BE181" si="276">AV181/AM181*100</f>
        <v>100</v>
      </c>
      <c r="BF181" s="186">
        <f t="shared" ref="BF181" si="277">BG181+BH181+BI181</f>
        <v>1764</v>
      </c>
      <c r="BG181" s="283"/>
      <c r="BH181" s="283"/>
      <c r="BI181" s="186">
        <f t="shared" ref="BI181" si="278">SUM(BK181:BN181)</f>
        <v>1764</v>
      </c>
      <c r="BJ181" s="283">
        <f t="shared" si="256"/>
        <v>1764</v>
      </c>
      <c r="BK181" s="283">
        <v>1764</v>
      </c>
      <c r="BL181" s="283"/>
      <c r="BM181" s="283"/>
      <c r="BN181" s="283"/>
      <c r="BO181" s="186">
        <v>0</v>
      </c>
      <c r="BP181" s="284">
        <f t="shared" ref="BP181" si="279">BQ181+BR181+BS181</f>
        <v>0</v>
      </c>
      <c r="BQ181" s="283"/>
      <c r="BR181" s="283"/>
      <c r="BS181" s="283"/>
      <c r="BT181" s="283"/>
      <c r="BU181" s="283"/>
      <c r="BV181" s="283"/>
      <c r="BW181" s="283"/>
      <c r="BX181" s="186">
        <v>0</v>
      </c>
      <c r="BY181" s="285"/>
      <c r="BZ181" s="286">
        <f t="shared" ref="BZ181" si="280">CA181+CC181+CD181</f>
        <v>0</v>
      </c>
      <c r="CA181" s="287"/>
      <c r="CB181" s="287"/>
      <c r="CC181" s="287"/>
      <c r="CD181" s="187">
        <v>0</v>
      </c>
      <c r="CE181" s="286">
        <f t="shared" ref="CE181" si="281">CF181+CH181+CI181</f>
        <v>0</v>
      </c>
      <c r="CF181" s="287"/>
      <c r="CG181" s="287"/>
      <c r="CH181" s="287"/>
      <c r="CI181" s="187"/>
      <c r="CJ181" s="288"/>
      <c r="CK181" s="288"/>
      <c r="CL181" s="288"/>
      <c r="CM181" s="288"/>
      <c r="CN181" s="288"/>
      <c r="CO181" s="187">
        <f>BF181-BP181</f>
        <v>1764</v>
      </c>
      <c r="CP181" s="184"/>
      <c r="CQ181" s="184" t="s">
        <v>488</v>
      </c>
      <c r="CR181" s="280"/>
      <c r="CS181" s="280"/>
      <c r="CT181" s="487"/>
      <c r="CU181" s="167"/>
    </row>
    <row r="182" spans="1:99" ht="53.25" customHeight="1" outlineLevel="1">
      <c r="A182" s="183">
        <v>2</v>
      </c>
      <c r="B182" s="279" t="s">
        <v>3464</v>
      </c>
      <c r="C182" s="183" t="s">
        <v>304</v>
      </c>
      <c r="D182" s="302" t="s">
        <v>3686</v>
      </c>
      <c r="E182" s="183" t="s">
        <v>3061</v>
      </c>
      <c r="F182" s="183" t="s">
        <v>49</v>
      </c>
      <c r="G182" s="183" t="s">
        <v>55</v>
      </c>
      <c r="H182" s="183"/>
      <c r="I182" s="184" t="s">
        <v>3461</v>
      </c>
      <c r="J182" s="183" t="s">
        <v>49</v>
      </c>
      <c r="K182" s="291" t="s">
        <v>3465</v>
      </c>
      <c r="L182" s="183">
        <v>2022</v>
      </c>
      <c r="M182" s="183">
        <v>2022</v>
      </c>
      <c r="N182" s="282"/>
      <c r="O182" s="282" t="s">
        <v>3466</v>
      </c>
      <c r="P182" s="186">
        <v>7578</v>
      </c>
      <c r="Q182" s="283"/>
      <c r="R182" s="283"/>
      <c r="S182" s="186">
        <v>7578</v>
      </c>
      <c r="T182" s="186"/>
      <c r="U182" s="186"/>
      <c r="V182" s="285" t="s">
        <v>3465</v>
      </c>
      <c r="W182" s="282" t="s">
        <v>3462</v>
      </c>
      <c r="X182" s="282" t="s">
        <v>3461</v>
      </c>
      <c r="Y182" s="186"/>
      <c r="Z182" s="186"/>
      <c r="AA182" s="186"/>
      <c r="AB182" s="186"/>
      <c r="AC182" s="186">
        <v>7578</v>
      </c>
      <c r="AD182" s="283"/>
      <c r="AE182" s="283"/>
      <c r="AF182" s="186">
        <v>7578</v>
      </c>
      <c r="AG182" s="283">
        <f t="shared" si="255"/>
        <v>2180</v>
      </c>
      <c r="AH182" s="186">
        <v>2180</v>
      </c>
      <c r="AI182" s="186"/>
      <c r="AJ182" s="186">
        <v>5398</v>
      </c>
      <c r="AK182" s="186"/>
      <c r="AL182" s="186"/>
      <c r="AM182" s="186">
        <v>5398</v>
      </c>
      <c r="AN182" s="283"/>
      <c r="AO182" s="283"/>
      <c r="AP182" s="186">
        <v>5398</v>
      </c>
      <c r="AQ182" s="186"/>
      <c r="AR182" s="186"/>
      <c r="AS182" s="186">
        <v>5398</v>
      </c>
      <c r="AT182" s="186"/>
      <c r="AU182" s="186"/>
      <c r="AV182" s="186">
        <v>5398</v>
      </c>
      <c r="AW182" s="283"/>
      <c r="AX182" s="283"/>
      <c r="AY182" s="186">
        <v>5398</v>
      </c>
      <c r="AZ182" s="186"/>
      <c r="BA182" s="186"/>
      <c r="BB182" s="186">
        <v>5398</v>
      </c>
      <c r="BC182" s="186"/>
      <c r="BD182" s="186"/>
      <c r="BE182" s="186">
        <v>100</v>
      </c>
      <c r="BF182" s="186">
        <v>0</v>
      </c>
      <c r="BG182" s="283"/>
      <c r="BH182" s="283"/>
      <c r="BI182" s="186">
        <v>0</v>
      </c>
      <c r="BJ182" s="283">
        <f t="shared" si="256"/>
        <v>0</v>
      </c>
      <c r="BK182" s="186"/>
      <c r="BL182" s="186"/>
      <c r="BM182" s="186"/>
      <c r="BN182" s="186"/>
      <c r="BO182" s="186"/>
      <c r="BP182" s="284">
        <v>0</v>
      </c>
      <c r="BQ182" s="283"/>
      <c r="BR182" s="283"/>
      <c r="BS182" s="186"/>
      <c r="BT182" s="186"/>
      <c r="BU182" s="186"/>
      <c r="BV182" s="186"/>
      <c r="BW182" s="186"/>
      <c r="BX182" s="186"/>
      <c r="BY182" s="285"/>
      <c r="BZ182" s="286">
        <v>0</v>
      </c>
      <c r="CA182" s="287"/>
      <c r="CB182" s="287"/>
      <c r="CC182" s="187"/>
      <c r="CD182" s="187"/>
      <c r="CE182" s="286">
        <v>0</v>
      </c>
      <c r="CF182" s="287"/>
      <c r="CG182" s="287"/>
      <c r="CH182" s="187"/>
      <c r="CI182" s="187"/>
      <c r="CJ182" s="288"/>
      <c r="CK182" s="288"/>
      <c r="CL182" s="288"/>
      <c r="CM182" s="288"/>
      <c r="CN182" s="288"/>
      <c r="CO182" s="187">
        <v>0</v>
      </c>
      <c r="CP182" s="184"/>
      <c r="CQ182" s="184" t="s">
        <v>488</v>
      </c>
      <c r="CR182" s="280"/>
      <c r="CS182" s="280"/>
      <c r="CT182" s="291"/>
      <c r="CU182" s="160"/>
    </row>
    <row r="183" spans="1:99" ht="53.25" customHeight="1" outlineLevel="1">
      <c r="A183" s="183">
        <v>3</v>
      </c>
      <c r="B183" s="292" t="s">
        <v>3467</v>
      </c>
      <c r="C183" s="183" t="s">
        <v>304</v>
      </c>
      <c r="D183" s="302" t="s">
        <v>3186</v>
      </c>
      <c r="E183" s="183" t="s">
        <v>3061</v>
      </c>
      <c r="F183" s="183" t="s">
        <v>49</v>
      </c>
      <c r="G183" s="183" t="s">
        <v>3142</v>
      </c>
      <c r="H183" s="183"/>
      <c r="I183" s="184" t="s">
        <v>3461</v>
      </c>
      <c r="J183" s="183" t="s">
        <v>49</v>
      </c>
      <c r="K183" s="183" t="s">
        <v>3465</v>
      </c>
      <c r="L183" s="183">
        <v>2023</v>
      </c>
      <c r="M183" s="183">
        <v>2022</v>
      </c>
      <c r="N183" s="282"/>
      <c r="O183" s="282" t="s">
        <v>3468</v>
      </c>
      <c r="P183" s="283">
        <v>1100</v>
      </c>
      <c r="Q183" s="283"/>
      <c r="R183" s="283"/>
      <c r="S183" s="283">
        <v>1000</v>
      </c>
      <c r="T183" s="186">
        <v>100</v>
      </c>
      <c r="U183" s="186"/>
      <c r="V183" s="282" t="s">
        <v>3465</v>
      </c>
      <c r="W183" s="282" t="s">
        <v>3462</v>
      </c>
      <c r="X183" s="282" t="s">
        <v>3461</v>
      </c>
      <c r="Y183" s="283"/>
      <c r="Z183" s="283"/>
      <c r="AA183" s="283"/>
      <c r="AB183" s="283"/>
      <c r="AC183" s="186">
        <v>1000</v>
      </c>
      <c r="AD183" s="283"/>
      <c r="AE183" s="283"/>
      <c r="AF183" s="186">
        <v>1000</v>
      </c>
      <c r="AG183" s="283">
        <f t="shared" si="255"/>
        <v>0</v>
      </c>
      <c r="AH183" s="283"/>
      <c r="AI183" s="283"/>
      <c r="AJ183" s="283">
        <v>1000</v>
      </c>
      <c r="AK183" s="283"/>
      <c r="AL183" s="186">
        <v>100</v>
      </c>
      <c r="AM183" s="186">
        <v>1000</v>
      </c>
      <c r="AN183" s="283"/>
      <c r="AO183" s="283"/>
      <c r="AP183" s="186">
        <v>1000</v>
      </c>
      <c r="AQ183" s="283"/>
      <c r="AR183" s="283"/>
      <c r="AS183" s="283">
        <v>1000</v>
      </c>
      <c r="AT183" s="283"/>
      <c r="AU183" s="186">
        <v>100</v>
      </c>
      <c r="AV183" s="186">
        <v>1000</v>
      </c>
      <c r="AW183" s="283"/>
      <c r="AX183" s="283"/>
      <c r="AY183" s="186">
        <v>1000</v>
      </c>
      <c r="AZ183" s="283"/>
      <c r="BA183" s="283"/>
      <c r="BB183" s="283">
        <v>1000</v>
      </c>
      <c r="BC183" s="283"/>
      <c r="BD183" s="186">
        <v>100</v>
      </c>
      <c r="BE183" s="186">
        <v>100</v>
      </c>
      <c r="BF183" s="186">
        <v>0</v>
      </c>
      <c r="BG183" s="283"/>
      <c r="BH183" s="283"/>
      <c r="BI183" s="186">
        <v>0</v>
      </c>
      <c r="BJ183" s="283">
        <f t="shared" si="256"/>
        <v>0</v>
      </c>
      <c r="BK183" s="283"/>
      <c r="BL183" s="283"/>
      <c r="BM183" s="283"/>
      <c r="BN183" s="283"/>
      <c r="BO183" s="186"/>
      <c r="BP183" s="284">
        <v>0</v>
      </c>
      <c r="BQ183" s="283"/>
      <c r="BR183" s="283"/>
      <c r="BS183" s="283"/>
      <c r="BT183" s="283"/>
      <c r="BU183" s="283"/>
      <c r="BV183" s="283"/>
      <c r="BW183" s="283"/>
      <c r="BX183" s="186"/>
      <c r="BY183" s="285"/>
      <c r="BZ183" s="286">
        <v>0</v>
      </c>
      <c r="CA183" s="287"/>
      <c r="CB183" s="287"/>
      <c r="CC183" s="287"/>
      <c r="CD183" s="187"/>
      <c r="CE183" s="286">
        <v>0</v>
      </c>
      <c r="CF183" s="287"/>
      <c r="CG183" s="287"/>
      <c r="CH183" s="287"/>
      <c r="CI183" s="187"/>
      <c r="CJ183" s="288"/>
      <c r="CK183" s="288"/>
      <c r="CL183" s="288"/>
      <c r="CM183" s="288"/>
      <c r="CN183" s="288"/>
      <c r="CO183" s="187">
        <v>0</v>
      </c>
      <c r="CP183" s="184"/>
      <c r="CQ183" s="184" t="s">
        <v>488</v>
      </c>
      <c r="CR183" s="184"/>
      <c r="CS183" s="184"/>
      <c r="CT183" s="291"/>
      <c r="CU183" s="160"/>
    </row>
    <row r="184" spans="1:99" ht="30.75" customHeight="1" outlineLevel="1">
      <c r="A184" s="183">
        <v>4</v>
      </c>
      <c r="B184" s="279" t="s">
        <v>3469</v>
      </c>
      <c r="C184" s="183" t="s">
        <v>304</v>
      </c>
      <c r="D184" s="183" t="s">
        <v>3403</v>
      </c>
      <c r="E184" s="183" t="s">
        <v>3061</v>
      </c>
      <c r="F184" s="183" t="s">
        <v>49</v>
      </c>
      <c r="G184" s="183" t="s">
        <v>3142</v>
      </c>
      <c r="H184" s="183">
        <v>8118765</v>
      </c>
      <c r="I184" s="184" t="s">
        <v>3461</v>
      </c>
      <c r="J184" s="183" t="s">
        <v>49</v>
      </c>
      <c r="K184" s="183" t="s">
        <v>3462</v>
      </c>
      <c r="L184" s="183" t="s">
        <v>84</v>
      </c>
      <c r="M184" s="183">
        <v>2024</v>
      </c>
      <c r="N184" s="282"/>
      <c r="O184" s="282" t="s">
        <v>3470</v>
      </c>
      <c r="P184" s="283">
        <v>592.88699999999994</v>
      </c>
      <c r="Q184" s="283"/>
      <c r="R184" s="283"/>
      <c r="S184" s="283">
        <v>592.88699999999994</v>
      </c>
      <c r="T184" s="186">
        <v>0</v>
      </c>
      <c r="U184" s="186"/>
      <c r="V184" s="282" t="s">
        <v>3462</v>
      </c>
      <c r="W184" s="282" t="s">
        <v>3462</v>
      </c>
      <c r="X184" s="282" t="s">
        <v>3461</v>
      </c>
      <c r="Y184" s="283"/>
      <c r="Z184" s="283"/>
      <c r="AA184" s="283"/>
      <c r="AB184" s="283"/>
      <c r="AC184" s="186">
        <f t="shared" ref="AC184" si="282">AD184+AE184+AF184</f>
        <v>594</v>
      </c>
      <c r="AD184" s="283"/>
      <c r="AE184" s="283"/>
      <c r="AF184" s="186">
        <f t="shared" ref="AF184" si="283">SUM(AH184:AK184)</f>
        <v>594</v>
      </c>
      <c r="AG184" s="283">
        <f t="shared" si="255"/>
        <v>0</v>
      </c>
      <c r="AH184" s="283"/>
      <c r="AI184" s="283"/>
      <c r="AJ184" s="283">
        <v>594</v>
      </c>
      <c r="AK184" s="283"/>
      <c r="AL184" s="186">
        <v>0</v>
      </c>
      <c r="AM184" s="186">
        <f t="shared" ref="AM184" si="284">AN184+AO184+AP184</f>
        <v>564.65499999999997</v>
      </c>
      <c r="AN184" s="283"/>
      <c r="AO184" s="283"/>
      <c r="AP184" s="186">
        <f t="shared" ref="AP184" si="285">SUM(AQ184:AT184)</f>
        <v>564.65499999999997</v>
      </c>
      <c r="AQ184" s="283"/>
      <c r="AR184" s="283"/>
      <c r="AS184" s="283">
        <f>300+264.655</f>
        <v>564.65499999999997</v>
      </c>
      <c r="AT184" s="283"/>
      <c r="AU184" s="186">
        <v>0</v>
      </c>
      <c r="AV184" s="186">
        <f t="shared" ref="AV184" si="286">AW184+AX184+AY184</f>
        <v>544.40564899999993</v>
      </c>
      <c r="AW184" s="283"/>
      <c r="AX184" s="283"/>
      <c r="AY184" s="186">
        <f t="shared" ref="AY184" si="287">SUM(AZ184:BC184)</f>
        <v>544.40564899999993</v>
      </c>
      <c r="AZ184" s="283"/>
      <c r="BA184" s="283"/>
      <c r="BB184" s="283">
        <f>564.655-20.249351</f>
        <v>544.40564899999993</v>
      </c>
      <c r="BC184" s="283"/>
      <c r="BD184" s="186">
        <v>0</v>
      </c>
      <c r="BE184" s="186">
        <f t="shared" ref="BE184" si="288">AV184/AM184*100</f>
        <v>96.413854300413519</v>
      </c>
      <c r="BF184" s="186">
        <f t="shared" ref="BF184" si="289">BG184+BH184+BI184</f>
        <v>264.65499999999997</v>
      </c>
      <c r="BG184" s="283"/>
      <c r="BH184" s="283"/>
      <c r="BI184" s="186">
        <f t="shared" ref="BI184" si="290">SUM(BK184:BN184)</f>
        <v>264.65499999999997</v>
      </c>
      <c r="BJ184" s="283">
        <f t="shared" si="256"/>
        <v>0</v>
      </c>
      <c r="BK184" s="283"/>
      <c r="BL184" s="283"/>
      <c r="BM184" s="283">
        <f>264.655</f>
        <v>264.65499999999997</v>
      </c>
      <c r="BN184" s="283"/>
      <c r="BO184" s="186">
        <v>0</v>
      </c>
      <c r="BP184" s="284">
        <f t="shared" ref="BP184" si="291">BQ184+BR184+BS184</f>
        <v>244.40564899999998</v>
      </c>
      <c r="BQ184" s="283"/>
      <c r="BR184" s="283"/>
      <c r="BS184" s="284">
        <f t="shared" ref="BS184" si="292">SUM(BT184:BW184)</f>
        <v>244.40564899999998</v>
      </c>
      <c r="BT184" s="283"/>
      <c r="BU184" s="283"/>
      <c r="BV184" s="283">
        <f>BM184-20.249351</f>
        <v>244.40564899999998</v>
      </c>
      <c r="BW184" s="283"/>
      <c r="BX184" s="186">
        <v>0</v>
      </c>
      <c r="BY184" s="285">
        <f>BP184/BF184*100</f>
        <v>92.348774442198334</v>
      </c>
      <c r="BZ184" s="286">
        <f t="shared" ref="BZ184" si="293">CA184+CC184+CD184</f>
        <v>0</v>
      </c>
      <c r="CA184" s="287"/>
      <c r="CB184" s="287"/>
      <c r="CC184" s="287"/>
      <c r="CD184" s="187"/>
      <c r="CE184" s="286">
        <f t="shared" ref="CE184" si="294">CF184+CH184+CI184</f>
        <v>0</v>
      </c>
      <c r="CF184" s="287"/>
      <c r="CG184" s="287"/>
      <c r="CH184" s="287"/>
      <c r="CI184" s="187"/>
      <c r="CJ184" s="288"/>
      <c r="CK184" s="288"/>
      <c r="CL184" s="288"/>
      <c r="CM184" s="288"/>
      <c r="CN184" s="288"/>
      <c r="CO184" s="187">
        <f t="shared" ref="CO184" si="295">BF184-BP184</f>
        <v>20.24935099999999</v>
      </c>
      <c r="CP184" s="184"/>
      <c r="CQ184" s="184"/>
      <c r="CR184" s="289" t="s">
        <v>3087</v>
      </c>
      <c r="CS184" s="289"/>
      <c r="CT184" s="487"/>
      <c r="CU184" s="167"/>
    </row>
    <row r="185" spans="1:99" ht="57.75" customHeight="1" outlineLevel="1">
      <c r="A185" s="183">
        <v>5</v>
      </c>
      <c r="B185" s="279" t="s">
        <v>3471</v>
      </c>
      <c r="C185" s="280" t="s">
        <v>3042</v>
      </c>
      <c r="D185" s="183" t="s">
        <v>3472</v>
      </c>
      <c r="E185" s="183" t="s">
        <v>3061</v>
      </c>
      <c r="F185" s="183" t="s">
        <v>49</v>
      </c>
      <c r="G185" s="183" t="s">
        <v>55</v>
      </c>
      <c r="H185" s="183"/>
      <c r="I185" s="184" t="s">
        <v>3461</v>
      </c>
      <c r="J185" s="183" t="s">
        <v>49</v>
      </c>
      <c r="K185" s="183" t="s">
        <v>3462</v>
      </c>
      <c r="L185" s="183" t="s">
        <v>910</v>
      </c>
      <c r="M185" s="183">
        <v>2023</v>
      </c>
      <c r="N185" s="282"/>
      <c r="O185" s="282" t="s">
        <v>3473</v>
      </c>
      <c r="P185" s="283">
        <v>2000</v>
      </c>
      <c r="Q185" s="283"/>
      <c r="R185" s="283"/>
      <c r="S185" s="283">
        <v>2000</v>
      </c>
      <c r="T185" s="186">
        <v>0</v>
      </c>
      <c r="U185" s="186"/>
      <c r="V185" s="282" t="s">
        <v>3462</v>
      </c>
      <c r="W185" s="282" t="s">
        <v>3462</v>
      </c>
      <c r="X185" s="282" t="s">
        <v>3461</v>
      </c>
      <c r="Y185" s="283"/>
      <c r="Z185" s="283"/>
      <c r="AA185" s="283"/>
      <c r="AB185" s="283"/>
      <c r="AC185" s="186">
        <v>2000</v>
      </c>
      <c r="AD185" s="283"/>
      <c r="AE185" s="283"/>
      <c r="AF185" s="186">
        <v>2000</v>
      </c>
      <c r="AG185" s="283">
        <f t="shared" si="255"/>
        <v>0</v>
      </c>
      <c r="AH185" s="283"/>
      <c r="AI185" s="283"/>
      <c r="AJ185" s="283"/>
      <c r="AK185" s="283">
        <v>2000</v>
      </c>
      <c r="AL185" s="186">
        <v>0</v>
      </c>
      <c r="AM185" s="186">
        <v>2000</v>
      </c>
      <c r="AN185" s="283"/>
      <c r="AO185" s="283"/>
      <c r="AP185" s="186">
        <v>2000</v>
      </c>
      <c r="AQ185" s="283"/>
      <c r="AR185" s="283"/>
      <c r="AS185" s="283"/>
      <c r="AT185" s="283">
        <v>2000</v>
      </c>
      <c r="AU185" s="186">
        <v>0</v>
      </c>
      <c r="AV185" s="186">
        <v>2000</v>
      </c>
      <c r="AW185" s="283"/>
      <c r="AX185" s="283"/>
      <c r="AY185" s="186">
        <v>2000</v>
      </c>
      <c r="AZ185" s="283"/>
      <c r="BA185" s="283"/>
      <c r="BB185" s="283"/>
      <c r="BC185" s="283">
        <v>2000</v>
      </c>
      <c r="BD185" s="186">
        <v>0</v>
      </c>
      <c r="BE185" s="186">
        <v>100</v>
      </c>
      <c r="BF185" s="186">
        <v>0</v>
      </c>
      <c r="BG185" s="283"/>
      <c r="BH185" s="283"/>
      <c r="BI185" s="186">
        <v>0</v>
      </c>
      <c r="BJ185" s="283">
        <f t="shared" si="256"/>
        <v>0</v>
      </c>
      <c r="BK185" s="283"/>
      <c r="BL185" s="283"/>
      <c r="BM185" s="283"/>
      <c r="BN185" s="283"/>
      <c r="BO185" s="186">
        <v>0</v>
      </c>
      <c r="BP185" s="284">
        <v>0</v>
      </c>
      <c r="BQ185" s="283"/>
      <c r="BR185" s="283"/>
      <c r="BS185" s="283"/>
      <c r="BT185" s="283"/>
      <c r="BU185" s="283"/>
      <c r="BV185" s="283"/>
      <c r="BW185" s="283"/>
      <c r="BX185" s="186">
        <v>0</v>
      </c>
      <c r="BY185" s="285"/>
      <c r="BZ185" s="286">
        <v>0</v>
      </c>
      <c r="CA185" s="287"/>
      <c r="CB185" s="287"/>
      <c r="CC185" s="287"/>
      <c r="CD185" s="187">
        <v>0</v>
      </c>
      <c r="CE185" s="286">
        <v>0</v>
      </c>
      <c r="CF185" s="287"/>
      <c r="CG185" s="287"/>
      <c r="CH185" s="287"/>
      <c r="CI185" s="187"/>
      <c r="CJ185" s="288"/>
      <c r="CK185" s="288"/>
      <c r="CL185" s="288"/>
      <c r="CM185" s="288"/>
      <c r="CN185" s="288"/>
      <c r="CO185" s="187">
        <v>0</v>
      </c>
      <c r="CP185" s="184"/>
      <c r="CQ185" s="184" t="s">
        <v>488</v>
      </c>
      <c r="CR185" s="289"/>
      <c r="CS185" s="289"/>
      <c r="CT185" s="291"/>
      <c r="CU185" s="160"/>
    </row>
    <row r="186" spans="1:99" ht="55.5" customHeight="1" outlineLevel="1">
      <c r="A186" s="183">
        <v>6</v>
      </c>
      <c r="B186" s="279" t="s">
        <v>3474</v>
      </c>
      <c r="C186" s="280" t="s">
        <v>3082</v>
      </c>
      <c r="D186" s="183" t="s">
        <v>3475</v>
      </c>
      <c r="E186" s="183" t="s">
        <v>3061</v>
      </c>
      <c r="F186" s="183" t="s">
        <v>49</v>
      </c>
      <c r="G186" s="183" t="s">
        <v>55</v>
      </c>
      <c r="H186" s="183"/>
      <c r="I186" s="184" t="s">
        <v>3461</v>
      </c>
      <c r="J186" s="183" t="s">
        <v>49</v>
      </c>
      <c r="K186" s="183" t="s">
        <v>3476</v>
      </c>
      <c r="L186" s="183" t="s">
        <v>56</v>
      </c>
      <c r="M186" s="183">
        <v>2023</v>
      </c>
      <c r="N186" s="282"/>
      <c r="O186" s="282" t="s">
        <v>3477</v>
      </c>
      <c r="P186" s="186">
        <v>2360</v>
      </c>
      <c r="Q186" s="186"/>
      <c r="R186" s="186"/>
      <c r="S186" s="186">
        <v>2360</v>
      </c>
      <c r="T186" s="186">
        <v>0</v>
      </c>
      <c r="U186" s="186"/>
      <c r="V186" s="282" t="s">
        <v>3476</v>
      </c>
      <c r="W186" s="282" t="s">
        <v>3462</v>
      </c>
      <c r="X186" s="282" t="s">
        <v>3461</v>
      </c>
      <c r="Y186" s="186"/>
      <c r="Z186" s="186"/>
      <c r="AA186" s="186"/>
      <c r="AB186" s="186"/>
      <c r="AC186" s="186">
        <v>2360</v>
      </c>
      <c r="AD186" s="186"/>
      <c r="AE186" s="186"/>
      <c r="AF186" s="186">
        <v>2360</v>
      </c>
      <c r="AG186" s="283">
        <f t="shared" si="255"/>
        <v>2360</v>
      </c>
      <c r="AH186" s="186">
        <v>2360</v>
      </c>
      <c r="AI186" s="186"/>
      <c r="AJ186" s="186"/>
      <c r="AK186" s="186"/>
      <c r="AL186" s="186">
        <v>0</v>
      </c>
      <c r="AM186" s="186">
        <v>2360</v>
      </c>
      <c r="AN186" s="186"/>
      <c r="AO186" s="186"/>
      <c r="AP186" s="186">
        <v>2360</v>
      </c>
      <c r="AQ186" s="186">
        <v>2360</v>
      </c>
      <c r="AR186" s="186"/>
      <c r="AS186" s="186"/>
      <c r="AT186" s="186"/>
      <c r="AU186" s="186">
        <v>0</v>
      </c>
      <c r="AV186" s="186">
        <v>2360</v>
      </c>
      <c r="AW186" s="186"/>
      <c r="AX186" s="186"/>
      <c r="AY186" s="186">
        <v>2360</v>
      </c>
      <c r="AZ186" s="186">
        <v>2360</v>
      </c>
      <c r="BA186" s="186"/>
      <c r="BB186" s="186"/>
      <c r="BC186" s="186"/>
      <c r="BD186" s="186">
        <v>0</v>
      </c>
      <c r="BE186" s="186">
        <v>100</v>
      </c>
      <c r="BF186" s="186">
        <v>0</v>
      </c>
      <c r="BG186" s="186"/>
      <c r="BH186" s="186"/>
      <c r="BI186" s="186">
        <v>0</v>
      </c>
      <c r="BJ186" s="283">
        <f t="shared" si="256"/>
        <v>0</v>
      </c>
      <c r="BK186" s="186"/>
      <c r="BL186" s="186"/>
      <c r="BM186" s="186"/>
      <c r="BN186" s="186"/>
      <c r="BO186" s="186">
        <v>0</v>
      </c>
      <c r="BP186" s="284">
        <v>0</v>
      </c>
      <c r="BQ186" s="186"/>
      <c r="BR186" s="186"/>
      <c r="BS186" s="186"/>
      <c r="BT186" s="186"/>
      <c r="BU186" s="186"/>
      <c r="BV186" s="186"/>
      <c r="BW186" s="186"/>
      <c r="BX186" s="186">
        <v>0</v>
      </c>
      <c r="BY186" s="285"/>
      <c r="BZ186" s="286">
        <v>0</v>
      </c>
      <c r="CA186" s="187"/>
      <c r="CB186" s="187"/>
      <c r="CC186" s="187"/>
      <c r="CD186" s="187">
        <v>0</v>
      </c>
      <c r="CE186" s="286">
        <v>0</v>
      </c>
      <c r="CF186" s="187"/>
      <c r="CG186" s="187"/>
      <c r="CH186" s="187"/>
      <c r="CI186" s="187"/>
      <c r="CJ186" s="288"/>
      <c r="CK186" s="288"/>
      <c r="CL186" s="288"/>
      <c r="CM186" s="288"/>
      <c r="CN186" s="288"/>
      <c r="CO186" s="187">
        <v>0</v>
      </c>
      <c r="CP186" s="184"/>
      <c r="CQ186" s="184" t="s">
        <v>488</v>
      </c>
      <c r="CR186" s="304"/>
      <c r="CS186" s="304"/>
      <c r="CT186" s="291"/>
      <c r="CU186" s="160"/>
    </row>
    <row r="187" spans="1:99" ht="57" customHeight="1" outlineLevel="1">
      <c r="A187" s="183">
        <v>7</v>
      </c>
      <c r="B187" s="279" t="s">
        <v>3478</v>
      </c>
      <c r="C187" s="280" t="s">
        <v>3412</v>
      </c>
      <c r="D187" s="183" t="s">
        <v>3479</v>
      </c>
      <c r="E187" s="183" t="s">
        <v>3061</v>
      </c>
      <c r="F187" s="183" t="s">
        <v>49</v>
      </c>
      <c r="G187" s="183" t="s">
        <v>55</v>
      </c>
      <c r="H187" s="183"/>
      <c r="I187" s="184" t="s">
        <v>3461</v>
      </c>
      <c r="J187" s="183" t="s">
        <v>49</v>
      </c>
      <c r="K187" s="183" t="s">
        <v>3465</v>
      </c>
      <c r="L187" s="183">
        <v>2022</v>
      </c>
      <c r="M187" s="183">
        <v>2022</v>
      </c>
      <c r="N187" s="282"/>
      <c r="O187" s="282" t="s">
        <v>3480</v>
      </c>
      <c r="P187" s="186">
        <v>2128</v>
      </c>
      <c r="Q187" s="186"/>
      <c r="R187" s="186"/>
      <c r="S187" s="186">
        <v>2108</v>
      </c>
      <c r="T187" s="186">
        <v>20</v>
      </c>
      <c r="U187" s="186"/>
      <c r="V187" s="282" t="s">
        <v>3465</v>
      </c>
      <c r="W187" s="282" t="s">
        <v>3462</v>
      </c>
      <c r="X187" s="282" t="s">
        <v>3461</v>
      </c>
      <c r="Y187" s="186"/>
      <c r="Z187" s="186"/>
      <c r="AA187" s="186"/>
      <c r="AB187" s="186"/>
      <c r="AC187" s="186">
        <v>2108</v>
      </c>
      <c r="AD187" s="186"/>
      <c r="AE187" s="186"/>
      <c r="AF187" s="186">
        <v>2108</v>
      </c>
      <c r="AG187" s="283">
        <f t="shared" si="255"/>
        <v>2108</v>
      </c>
      <c r="AH187" s="186"/>
      <c r="AI187" s="186">
        <v>2108</v>
      </c>
      <c r="AJ187" s="186"/>
      <c r="AK187" s="186"/>
      <c r="AL187" s="186">
        <v>20</v>
      </c>
      <c r="AM187" s="186">
        <v>2108</v>
      </c>
      <c r="AN187" s="186"/>
      <c r="AO187" s="186"/>
      <c r="AP187" s="186">
        <v>2108</v>
      </c>
      <c r="AQ187" s="186"/>
      <c r="AR187" s="186">
        <v>2108</v>
      </c>
      <c r="AS187" s="186"/>
      <c r="AT187" s="186"/>
      <c r="AU187" s="186">
        <v>20</v>
      </c>
      <c r="AV187" s="186">
        <v>2108</v>
      </c>
      <c r="AW187" s="186"/>
      <c r="AX187" s="186"/>
      <c r="AY187" s="186">
        <v>2108</v>
      </c>
      <c r="AZ187" s="186"/>
      <c r="BA187" s="186">
        <v>2108</v>
      </c>
      <c r="BB187" s="186"/>
      <c r="BC187" s="186"/>
      <c r="BD187" s="186">
        <v>20</v>
      </c>
      <c r="BE187" s="186">
        <v>100</v>
      </c>
      <c r="BF187" s="186">
        <v>0</v>
      </c>
      <c r="BG187" s="186"/>
      <c r="BH187" s="186"/>
      <c r="BI187" s="186">
        <v>0</v>
      </c>
      <c r="BJ187" s="283">
        <f t="shared" si="256"/>
        <v>0</v>
      </c>
      <c r="BK187" s="186"/>
      <c r="BL187" s="186"/>
      <c r="BM187" s="186"/>
      <c r="BN187" s="186"/>
      <c r="BO187" s="186"/>
      <c r="BP187" s="284">
        <v>0</v>
      </c>
      <c r="BQ187" s="186"/>
      <c r="BR187" s="186"/>
      <c r="BS187" s="186"/>
      <c r="BT187" s="186"/>
      <c r="BU187" s="186"/>
      <c r="BV187" s="186"/>
      <c r="BW187" s="186"/>
      <c r="BX187" s="186"/>
      <c r="BY187" s="285"/>
      <c r="BZ187" s="286">
        <v>0</v>
      </c>
      <c r="CA187" s="187"/>
      <c r="CB187" s="187"/>
      <c r="CC187" s="187"/>
      <c r="CD187" s="187"/>
      <c r="CE187" s="286">
        <v>0</v>
      </c>
      <c r="CF187" s="187"/>
      <c r="CG187" s="187"/>
      <c r="CH187" s="187"/>
      <c r="CI187" s="187"/>
      <c r="CJ187" s="288"/>
      <c r="CK187" s="288"/>
      <c r="CL187" s="288"/>
      <c r="CM187" s="288"/>
      <c r="CN187" s="288"/>
      <c r="CO187" s="187">
        <v>0</v>
      </c>
      <c r="CP187" s="184"/>
      <c r="CQ187" s="184" t="s">
        <v>488</v>
      </c>
      <c r="CR187" s="304"/>
      <c r="CS187" s="304"/>
      <c r="CT187" s="291"/>
      <c r="CU187" s="160"/>
    </row>
    <row r="188" spans="1:99" s="219" customFormat="1" ht="35.25" customHeight="1" outlineLevel="1">
      <c r="A188" s="488" t="s">
        <v>45</v>
      </c>
      <c r="B188" s="489" t="s">
        <v>913</v>
      </c>
      <c r="C188" s="191"/>
      <c r="D188" s="191"/>
      <c r="E188" s="191"/>
      <c r="F188" s="191"/>
      <c r="G188" s="191"/>
      <c r="H188" s="191"/>
      <c r="I188" s="192"/>
      <c r="J188" s="191"/>
      <c r="K188" s="191"/>
      <c r="L188" s="191"/>
      <c r="M188" s="191"/>
      <c r="N188" s="298"/>
      <c r="O188" s="298"/>
      <c r="P188" s="194">
        <f>SUM(P189:P191)</f>
        <v>13811</v>
      </c>
      <c r="Q188" s="194">
        <f t="shared" ref="Q188:R188" si="296">SUM(Q189:Q191)</f>
        <v>0</v>
      </c>
      <c r="R188" s="194">
        <f t="shared" si="296"/>
        <v>0</v>
      </c>
      <c r="S188" s="194">
        <f>SUM(S189:S191)</f>
        <v>13811</v>
      </c>
      <c r="T188" s="194">
        <f t="shared" ref="T188:BN188" si="297">SUM(T189:T191)</f>
        <v>0</v>
      </c>
      <c r="U188" s="194">
        <f t="shared" si="297"/>
        <v>0</v>
      </c>
      <c r="V188" s="299">
        <f t="shared" si="297"/>
        <v>0</v>
      </c>
      <c r="W188" s="299">
        <f t="shared" si="297"/>
        <v>0</v>
      </c>
      <c r="X188" s="299">
        <f t="shared" si="297"/>
        <v>0</v>
      </c>
      <c r="Y188" s="194">
        <f t="shared" si="297"/>
        <v>0</v>
      </c>
      <c r="Z188" s="194">
        <f t="shared" si="297"/>
        <v>0</v>
      </c>
      <c r="AA188" s="194">
        <f t="shared" si="297"/>
        <v>0</v>
      </c>
      <c r="AB188" s="194">
        <f t="shared" si="297"/>
        <v>0</v>
      </c>
      <c r="AC188" s="194">
        <f t="shared" si="297"/>
        <v>13811</v>
      </c>
      <c r="AD188" s="194">
        <f t="shared" si="297"/>
        <v>0</v>
      </c>
      <c r="AE188" s="194">
        <f t="shared" si="297"/>
        <v>0</v>
      </c>
      <c r="AF188" s="194">
        <f t="shared" si="297"/>
        <v>13811</v>
      </c>
      <c r="AG188" s="194">
        <f t="shared" si="297"/>
        <v>0</v>
      </c>
      <c r="AH188" s="194">
        <f t="shared" si="297"/>
        <v>0</v>
      </c>
      <c r="AI188" s="194">
        <f t="shared" si="297"/>
        <v>0</v>
      </c>
      <c r="AJ188" s="194">
        <f t="shared" si="297"/>
        <v>13811</v>
      </c>
      <c r="AK188" s="194">
        <f t="shared" si="297"/>
        <v>0</v>
      </c>
      <c r="AL188" s="194">
        <f t="shared" si="297"/>
        <v>0</v>
      </c>
      <c r="AM188" s="194">
        <f t="shared" si="297"/>
        <v>0</v>
      </c>
      <c r="AN188" s="194">
        <f t="shared" si="297"/>
        <v>0</v>
      </c>
      <c r="AO188" s="194">
        <f t="shared" si="297"/>
        <v>0</v>
      </c>
      <c r="AP188" s="194">
        <f t="shared" si="297"/>
        <v>0</v>
      </c>
      <c r="AQ188" s="194">
        <f t="shared" si="297"/>
        <v>0</v>
      </c>
      <c r="AR188" s="194">
        <f t="shared" si="297"/>
        <v>0</v>
      </c>
      <c r="AS188" s="194">
        <f t="shared" si="297"/>
        <v>0</v>
      </c>
      <c r="AT188" s="194">
        <f t="shared" si="297"/>
        <v>0</v>
      </c>
      <c r="AU188" s="194">
        <f t="shared" si="297"/>
        <v>0</v>
      </c>
      <c r="AV188" s="194">
        <f t="shared" si="297"/>
        <v>0</v>
      </c>
      <c r="AW188" s="194">
        <f t="shared" si="297"/>
        <v>0</v>
      </c>
      <c r="AX188" s="194">
        <f t="shared" si="297"/>
        <v>0</v>
      </c>
      <c r="AY188" s="194">
        <f t="shared" si="297"/>
        <v>0</v>
      </c>
      <c r="AZ188" s="194">
        <f t="shared" si="297"/>
        <v>0</v>
      </c>
      <c r="BA188" s="194">
        <f t="shared" si="297"/>
        <v>0</v>
      </c>
      <c r="BB188" s="194">
        <f t="shared" si="297"/>
        <v>0</v>
      </c>
      <c r="BC188" s="194">
        <f t="shared" si="297"/>
        <v>0</v>
      </c>
      <c r="BD188" s="194">
        <f t="shared" si="297"/>
        <v>0</v>
      </c>
      <c r="BE188" s="194">
        <f t="shared" si="297"/>
        <v>0</v>
      </c>
      <c r="BF188" s="194">
        <f t="shared" si="297"/>
        <v>0</v>
      </c>
      <c r="BG188" s="194">
        <f t="shared" si="297"/>
        <v>0</v>
      </c>
      <c r="BH188" s="194">
        <f t="shared" si="297"/>
        <v>0</v>
      </c>
      <c r="BI188" s="194">
        <f t="shared" si="297"/>
        <v>0</v>
      </c>
      <c r="BJ188" s="194">
        <f t="shared" si="297"/>
        <v>0</v>
      </c>
      <c r="BK188" s="194">
        <f t="shared" si="297"/>
        <v>0</v>
      </c>
      <c r="BL188" s="194">
        <f t="shared" si="297"/>
        <v>0</v>
      </c>
      <c r="BM188" s="194">
        <f t="shared" si="297"/>
        <v>0</v>
      </c>
      <c r="BN188" s="194">
        <f t="shared" si="297"/>
        <v>0</v>
      </c>
      <c r="BO188" s="194"/>
      <c r="BP188" s="311"/>
      <c r="BQ188" s="194"/>
      <c r="BR188" s="194"/>
      <c r="BS188" s="194"/>
      <c r="BT188" s="194"/>
      <c r="BU188" s="194"/>
      <c r="BV188" s="194"/>
      <c r="BW188" s="194"/>
      <c r="BX188" s="194"/>
      <c r="BY188" s="299"/>
      <c r="BZ188" s="196"/>
      <c r="CA188" s="195"/>
      <c r="CB188" s="195"/>
      <c r="CC188" s="195"/>
      <c r="CD188" s="195"/>
      <c r="CE188" s="196"/>
      <c r="CF188" s="195"/>
      <c r="CG188" s="195"/>
      <c r="CH188" s="195"/>
      <c r="CI188" s="195"/>
      <c r="CJ188" s="197"/>
      <c r="CK188" s="197"/>
      <c r="CL188" s="318"/>
      <c r="CM188" s="197"/>
      <c r="CN188" s="197"/>
      <c r="CO188" s="195"/>
      <c r="CP188" s="192"/>
      <c r="CQ188" s="192"/>
      <c r="CR188" s="309"/>
      <c r="CS188" s="309"/>
      <c r="CT188" s="301"/>
      <c r="CU188" s="218"/>
    </row>
    <row r="189" spans="1:99" ht="61.5" outlineLevel="1">
      <c r="A189" s="183">
        <v>1</v>
      </c>
      <c r="B189" s="308" t="s">
        <v>3481</v>
      </c>
      <c r="C189" s="183" t="s">
        <v>304</v>
      </c>
      <c r="D189" s="183"/>
      <c r="E189" s="183"/>
      <c r="F189" s="183" t="s">
        <v>49</v>
      </c>
      <c r="G189" s="183"/>
      <c r="H189" s="183"/>
      <c r="I189" s="184" t="s">
        <v>3461</v>
      </c>
      <c r="J189" s="183" t="s">
        <v>49</v>
      </c>
      <c r="K189" s="183" t="s">
        <v>3482</v>
      </c>
      <c r="L189" s="183" t="s">
        <v>75</v>
      </c>
      <c r="M189" s="183"/>
      <c r="N189" s="282"/>
      <c r="O189" s="282" t="s">
        <v>3102</v>
      </c>
      <c r="P189" s="283">
        <v>5500</v>
      </c>
      <c r="Q189" s="283"/>
      <c r="R189" s="283"/>
      <c r="S189" s="283">
        <v>5500</v>
      </c>
      <c r="T189" s="186"/>
      <c r="U189" s="186"/>
      <c r="V189" s="282" t="s">
        <v>3482</v>
      </c>
      <c r="W189" s="282" t="s">
        <v>3462</v>
      </c>
      <c r="X189" s="282" t="s">
        <v>3461</v>
      </c>
      <c r="Y189" s="283"/>
      <c r="Z189" s="283"/>
      <c r="AA189" s="283"/>
      <c r="AB189" s="283"/>
      <c r="AC189" s="186">
        <v>5500</v>
      </c>
      <c r="AD189" s="283"/>
      <c r="AE189" s="283"/>
      <c r="AF189" s="186">
        <v>5500</v>
      </c>
      <c r="AG189" s="283">
        <f t="shared" si="255"/>
        <v>0</v>
      </c>
      <c r="AH189" s="283"/>
      <c r="AI189" s="283"/>
      <c r="AJ189" s="283">
        <v>5500</v>
      </c>
      <c r="AK189" s="283"/>
      <c r="AL189" s="186"/>
      <c r="AM189" s="283"/>
      <c r="AN189" s="283"/>
      <c r="AO189" s="283"/>
      <c r="AP189" s="283"/>
      <c r="AQ189" s="283"/>
      <c r="AR189" s="283"/>
      <c r="AS189" s="283"/>
      <c r="AT189" s="283"/>
      <c r="AU189" s="186"/>
      <c r="AV189" s="283"/>
      <c r="AW189" s="283"/>
      <c r="AX189" s="283"/>
      <c r="AY189" s="283"/>
      <c r="AZ189" s="283"/>
      <c r="BA189" s="283"/>
      <c r="BB189" s="283"/>
      <c r="BC189" s="283"/>
      <c r="BD189" s="186"/>
      <c r="BE189" s="186"/>
      <c r="BF189" s="283"/>
      <c r="BG189" s="283"/>
      <c r="BH189" s="283"/>
      <c r="BI189" s="283"/>
      <c r="BJ189" s="283">
        <f t="shared" si="256"/>
        <v>0</v>
      </c>
      <c r="BK189" s="283"/>
      <c r="BL189" s="283"/>
      <c r="BM189" s="283"/>
      <c r="BN189" s="283"/>
      <c r="BO189" s="186"/>
      <c r="BP189" s="283"/>
      <c r="BQ189" s="283"/>
      <c r="BR189" s="283"/>
      <c r="BS189" s="283"/>
      <c r="BT189" s="283"/>
      <c r="BU189" s="283"/>
      <c r="BV189" s="283"/>
      <c r="BW189" s="283"/>
      <c r="BX189" s="186"/>
      <c r="BY189" s="186"/>
      <c r="BZ189" s="287"/>
      <c r="CA189" s="287"/>
      <c r="CB189" s="287"/>
      <c r="CC189" s="287"/>
      <c r="CD189" s="187"/>
      <c r="CE189" s="287"/>
      <c r="CF189" s="287"/>
      <c r="CG189" s="287"/>
      <c r="CH189" s="287"/>
      <c r="CI189" s="187"/>
      <c r="CJ189" s="187"/>
      <c r="CK189" s="187"/>
      <c r="CL189" s="187"/>
      <c r="CM189" s="187"/>
      <c r="CN189" s="187"/>
      <c r="CO189" s="187"/>
      <c r="CP189" s="187"/>
      <c r="CQ189" s="187"/>
      <c r="CR189" s="304"/>
      <c r="CS189" s="304"/>
      <c r="CT189" s="291"/>
      <c r="CU189" s="160"/>
    </row>
    <row r="190" spans="1:99" ht="61.5" outlineLevel="1">
      <c r="A190" s="183">
        <v>2</v>
      </c>
      <c r="B190" s="293" t="s">
        <v>3483</v>
      </c>
      <c r="C190" s="183" t="s">
        <v>304</v>
      </c>
      <c r="D190" s="183"/>
      <c r="E190" s="183"/>
      <c r="F190" s="183" t="s">
        <v>49</v>
      </c>
      <c r="G190" s="183"/>
      <c r="H190" s="183"/>
      <c r="I190" s="184" t="s">
        <v>3461</v>
      </c>
      <c r="J190" s="183" t="s">
        <v>49</v>
      </c>
      <c r="K190" s="183" t="s">
        <v>3462</v>
      </c>
      <c r="L190" s="183" t="s">
        <v>75</v>
      </c>
      <c r="M190" s="183"/>
      <c r="N190" s="282"/>
      <c r="O190" s="282" t="s">
        <v>3102</v>
      </c>
      <c r="P190" s="283">
        <v>5500</v>
      </c>
      <c r="Q190" s="283"/>
      <c r="R190" s="283"/>
      <c r="S190" s="283">
        <v>5500</v>
      </c>
      <c r="T190" s="186"/>
      <c r="U190" s="186"/>
      <c r="V190" s="282" t="s">
        <v>3462</v>
      </c>
      <c r="W190" s="282" t="s">
        <v>3462</v>
      </c>
      <c r="X190" s="282" t="s">
        <v>3461</v>
      </c>
      <c r="Y190" s="283"/>
      <c r="Z190" s="283"/>
      <c r="AA190" s="283"/>
      <c r="AB190" s="283"/>
      <c r="AC190" s="186">
        <v>5500</v>
      </c>
      <c r="AD190" s="283"/>
      <c r="AE190" s="283"/>
      <c r="AF190" s="186">
        <v>5500</v>
      </c>
      <c r="AG190" s="283">
        <f t="shared" si="255"/>
        <v>0</v>
      </c>
      <c r="AH190" s="283"/>
      <c r="AI190" s="283"/>
      <c r="AJ190" s="283">
        <v>5500</v>
      </c>
      <c r="AK190" s="283"/>
      <c r="AL190" s="186"/>
      <c r="AM190" s="283"/>
      <c r="AN190" s="283"/>
      <c r="AO190" s="283"/>
      <c r="AP190" s="283"/>
      <c r="AQ190" s="283"/>
      <c r="AR190" s="283"/>
      <c r="AS190" s="283"/>
      <c r="AT190" s="283"/>
      <c r="AU190" s="186"/>
      <c r="AV190" s="283"/>
      <c r="AW190" s="283"/>
      <c r="AX190" s="283"/>
      <c r="AY190" s="283"/>
      <c r="AZ190" s="283"/>
      <c r="BA190" s="283"/>
      <c r="BB190" s="283"/>
      <c r="BC190" s="283"/>
      <c r="BD190" s="186"/>
      <c r="BE190" s="186"/>
      <c r="BF190" s="283"/>
      <c r="BG190" s="283"/>
      <c r="BH190" s="283"/>
      <c r="BI190" s="283"/>
      <c r="BJ190" s="283">
        <f t="shared" si="256"/>
        <v>0</v>
      </c>
      <c r="BK190" s="283"/>
      <c r="BL190" s="283"/>
      <c r="BM190" s="283"/>
      <c r="BN190" s="283"/>
      <c r="BO190" s="186"/>
      <c r="BP190" s="283"/>
      <c r="BQ190" s="283"/>
      <c r="BR190" s="283"/>
      <c r="BS190" s="283"/>
      <c r="BT190" s="283"/>
      <c r="BU190" s="283"/>
      <c r="BV190" s="283"/>
      <c r="BW190" s="283"/>
      <c r="BX190" s="186"/>
      <c r="BY190" s="186"/>
      <c r="BZ190" s="287"/>
      <c r="CA190" s="287"/>
      <c r="CB190" s="287"/>
      <c r="CC190" s="287"/>
      <c r="CD190" s="187"/>
      <c r="CE190" s="287"/>
      <c r="CF190" s="287"/>
      <c r="CG190" s="287"/>
      <c r="CH190" s="287"/>
      <c r="CI190" s="187"/>
      <c r="CJ190" s="187"/>
      <c r="CK190" s="187"/>
      <c r="CL190" s="187"/>
      <c r="CM190" s="187"/>
      <c r="CN190" s="187"/>
      <c r="CO190" s="187"/>
      <c r="CP190" s="187"/>
      <c r="CQ190" s="187"/>
      <c r="CR190" s="304"/>
      <c r="CS190" s="304"/>
      <c r="CT190" s="291"/>
      <c r="CU190" s="160"/>
    </row>
    <row r="191" spans="1:99" ht="54" customHeight="1" outlineLevel="1">
      <c r="A191" s="183">
        <v>3</v>
      </c>
      <c r="B191" s="279" t="s">
        <v>3484</v>
      </c>
      <c r="C191" s="183" t="s">
        <v>304</v>
      </c>
      <c r="D191" s="183" t="s">
        <v>3485</v>
      </c>
      <c r="E191" s="183"/>
      <c r="F191" s="183" t="s">
        <v>49</v>
      </c>
      <c r="G191" s="183"/>
      <c r="H191" s="183"/>
      <c r="I191" s="183" t="s">
        <v>3461</v>
      </c>
      <c r="J191" s="183" t="s">
        <v>49</v>
      </c>
      <c r="K191" s="183" t="s">
        <v>3462</v>
      </c>
      <c r="L191" s="183" t="s">
        <v>84</v>
      </c>
      <c r="M191" s="183"/>
      <c r="N191" s="283"/>
      <c r="O191" s="282" t="s">
        <v>3664</v>
      </c>
      <c r="P191" s="283">
        <v>2811</v>
      </c>
      <c r="Q191" s="283"/>
      <c r="R191" s="283"/>
      <c r="S191" s="283">
        <v>2811</v>
      </c>
      <c r="T191" s="186">
        <v>0</v>
      </c>
      <c r="U191" s="186"/>
      <c r="V191" s="282" t="s">
        <v>3462</v>
      </c>
      <c r="W191" s="282" t="s">
        <v>3462</v>
      </c>
      <c r="X191" s="282" t="s">
        <v>3461</v>
      </c>
      <c r="Y191" s="283"/>
      <c r="Z191" s="283"/>
      <c r="AA191" s="283"/>
      <c r="AB191" s="283"/>
      <c r="AC191" s="186">
        <v>2811</v>
      </c>
      <c r="AD191" s="283"/>
      <c r="AE191" s="283"/>
      <c r="AF191" s="186">
        <v>2811</v>
      </c>
      <c r="AG191" s="283">
        <f t="shared" si="255"/>
        <v>0</v>
      </c>
      <c r="AH191" s="283"/>
      <c r="AI191" s="283"/>
      <c r="AJ191" s="283">
        <v>2811</v>
      </c>
      <c r="AK191" s="283"/>
      <c r="AL191" s="186">
        <v>0</v>
      </c>
      <c r="AM191" s="283"/>
      <c r="AN191" s="283"/>
      <c r="AO191" s="283"/>
      <c r="AP191" s="283"/>
      <c r="AQ191" s="283"/>
      <c r="AR191" s="283"/>
      <c r="AS191" s="283"/>
      <c r="AT191" s="283"/>
      <c r="AU191" s="186"/>
      <c r="AV191" s="283"/>
      <c r="AW191" s="283"/>
      <c r="AX191" s="283"/>
      <c r="AY191" s="283"/>
      <c r="AZ191" s="283"/>
      <c r="BA191" s="283"/>
      <c r="BB191" s="283"/>
      <c r="BC191" s="283"/>
      <c r="BD191" s="186"/>
      <c r="BE191" s="186"/>
      <c r="BF191" s="283"/>
      <c r="BG191" s="283"/>
      <c r="BH191" s="283"/>
      <c r="BI191" s="283"/>
      <c r="BJ191" s="283">
        <f t="shared" si="256"/>
        <v>0</v>
      </c>
      <c r="BK191" s="283"/>
      <c r="BL191" s="283"/>
      <c r="BM191" s="283"/>
      <c r="BN191" s="283"/>
      <c r="BO191" s="186"/>
      <c r="BP191" s="283"/>
      <c r="BQ191" s="283"/>
      <c r="BR191" s="283"/>
      <c r="BS191" s="283"/>
      <c r="BT191" s="283"/>
      <c r="BU191" s="283"/>
      <c r="BV191" s="283"/>
      <c r="BW191" s="283"/>
      <c r="BX191" s="186"/>
      <c r="BY191" s="186"/>
      <c r="BZ191" s="287"/>
      <c r="CA191" s="287"/>
      <c r="CB191" s="287"/>
      <c r="CC191" s="287"/>
      <c r="CD191" s="187"/>
      <c r="CE191" s="287"/>
      <c r="CF191" s="287"/>
      <c r="CG191" s="287"/>
      <c r="CH191" s="287"/>
      <c r="CI191" s="187"/>
      <c r="CJ191" s="187"/>
      <c r="CK191" s="187"/>
      <c r="CL191" s="187"/>
      <c r="CM191" s="187"/>
      <c r="CN191" s="187"/>
      <c r="CO191" s="187"/>
      <c r="CP191" s="187"/>
      <c r="CQ191" s="187"/>
      <c r="CR191" s="184"/>
      <c r="CS191" s="184"/>
      <c r="CT191" s="291"/>
      <c r="CU191" s="160"/>
    </row>
    <row r="192" spans="1:99" ht="57.6" customHeight="1">
      <c r="A192" s="191" t="s">
        <v>49</v>
      </c>
      <c r="B192" s="191" t="s">
        <v>3671</v>
      </c>
      <c r="C192" s="309"/>
      <c r="D192" s="191"/>
      <c r="E192" s="191"/>
      <c r="F192" s="191"/>
      <c r="G192" s="191"/>
      <c r="H192" s="191"/>
      <c r="I192" s="196"/>
      <c r="J192" s="191"/>
      <c r="K192" s="196"/>
      <c r="L192" s="191"/>
      <c r="M192" s="191"/>
      <c r="N192" s="298"/>
      <c r="O192" s="298"/>
      <c r="P192" s="194">
        <f>P193</f>
        <v>171725</v>
      </c>
      <c r="Q192" s="194">
        <f t="shared" ref="Q192:CB192" si="298">Q193</f>
        <v>149000</v>
      </c>
      <c r="R192" s="194">
        <f t="shared" si="298"/>
        <v>0</v>
      </c>
      <c r="S192" s="194">
        <f t="shared" si="298"/>
        <v>22725</v>
      </c>
      <c r="T192" s="194">
        <f t="shared" si="298"/>
        <v>0</v>
      </c>
      <c r="U192" s="194">
        <f t="shared" si="298"/>
        <v>0</v>
      </c>
      <c r="V192" s="299" t="str">
        <f t="shared" si="298"/>
        <v>huyện Tu Mơ Rông - huyện Đăk Tô- huyện Đăk Hà</v>
      </c>
      <c r="W192" s="299" t="str">
        <f t="shared" si="298"/>
        <v>xã Tu Mơ Rông, xã Đăk Tô, xã Đăk Pxi</v>
      </c>
      <c r="X192" s="299" t="str">
        <f t="shared" si="298"/>
        <v>UBND xã Đăk Pxi</v>
      </c>
      <c r="Y192" s="194">
        <f t="shared" si="298"/>
        <v>0</v>
      </c>
      <c r="Z192" s="194">
        <f t="shared" si="298"/>
        <v>0</v>
      </c>
      <c r="AA192" s="194">
        <f t="shared" si="298"/>
        <v>0</v>
      </c>
      <c r="AB192" s="194">
        <f t="shared" si="298"/>
        <v>0</v>
      </c>
      <c r="AC192" s="194">
        <f t="shared" si="298"/>
        <v>22725</v>
      </c>
      <c r="AD192" s="194">
        <f t="shared" si="298"/>
        <v>0</v>
      </c>
      <c r="AE192" s="194">
        <f t="shared" si="298"/>
        <v>0</v>
      </c>
      <c r="AF192" s="194">
        <f t="shared" si="298"/>
        <v>22725</v>
      </c>
      <c r="AG192" s="194">
        <f t="shared" si="298"/>
        <v>0</v>
      </c>
      <c r="AH192" s="194">
        <f t="shared" si="298"/>
        <v>0</v>
      </c>
      <c r="AI192" s="194">
        <f t="shared" si="298"/>
        <v>0</v>
      </c>
      <c r="AJ192" s="194">
        <f t="shared" si="298"/>
        <v>22725</v>
      </c>
      <c r="AK192" s="194">
        <f t="shared" si="298"/>
        <v>0</v>
      </c>
      <c r="AL192" s="194">
        <f t="shared" si="298"/>
        <v>0</v>
      </c>
      <c r="AM192" s="194">
        <f t="shared" si="298"/>
        <v>0</v>
      </c>
      <c r="AN192" s="194">
        <f t="shared" si="298"/>
        <v>0</v>
      </c>
      <c r="AO192" s="194">
        <f t="shared" si="298"/>
        <v>0</v>
      </c>
      <c r="AP192" s="194">
        <f t="shared" si="298"/>
        <v>0</v>
      </c>
      <c r="AQ192" s="194">
        <f t="shared" si="298"/>
        <v>0</v>
      </c>
      <c r="AR192" s="194">
        <f t="shared" si="298"/>
        <v>0</v>
      </c>
      <c r="AS192" s="194">
        <f t="shared" si="298"/>
        <v>0</v>
      </c>
      <c r="AT192" s="194">
        <f t="shared" si="298"/>
        <v>0</v>
      </c>
      <c r="AU192" s="194">
        <f t="shared" si="298"/>
        <v>0</v>
      </c>
      <c r="AV192" s="194">
        <f t="shared" si="298"/>
        <v>0</v>
      </c>
      <c r="AW192" s="194">
        <f t="shared" si="298"/>
        <v>0</v>
      </c>
      <c r="AX192" s="194">
        <f t="shared" si="298"/>
        <v>0</v>
      </c>
      <c r="AY192" s="194">
        <f t="shared" si="298"/>
        <v>0</v>
      </c>
      <c r="AZ192" s="194">
        <f t="shared" si="298"/>
        <v>0</v>
      </c>
      <c r="BA192" s="194">
        <f t="shared" si="298"/>
        <v>0</v>
      </c>
      <c r="BB192" s="194">
        <f t="shared" si="298"/>
        <v>0</v>
      </c>
      <c r="BC192" s="194">
        <f t="shared" si="298"/>
        <v>0</v>
      </c>
      <c r="BD192" s="194">
        <f t="shared" si="298"/>
        <v>0</v>
      </c>
      <c r="BE192" s="186">
        <f t="shared" si="298"/>
        <v>0</v>
      </c>
      <c r="BF192" s="194">
        <f t="shared" si="298"/>
        <v>0</v>
      </c>
      <c r="BG192" s="194">
        <f t="shared" si="298"/>
        <v>0</v>
      </c>
      <c r="BH192" s="194">
        <f t="shared" si="298"/>
        <v>0</v>
      </c>
      <c r="BI192" s="194">
        <f t="shared" si="298"/>
        <v>0</v>
      </c>
      <c r="BJ192" s="194">
        <f t="shared" si="298"/>
        <v>0</v>
      </c>
      <c r="BK192" s="194">
        <f t="shared" si="298"/>
        <v>0</v>
      </c>
      <c r="BL192" s="194">
        <f t="shared" si="298"/>
        <v>0</v>
      </c>
      <c r="BM192" s="194">
        <f t="shared" si="298"/>
        <v>0</v>
      </c>
      <c r="BN192" s="194">
        <f t="shared" si="298"/>
        <v>0</v>
      </c>
      <c r="BO192" s="311">
        <f t="shared" si="298"/>
        <v>0</v>
      </c>
      <c r="BP192" s="311">
        <f t="shared" si="298"/>
        <v>0</v>
      </c>
      <c r="BQ192" s="311">
        <f t="shared" si="298"/>
        <v>0</v>
      </c>
      <c r="BR192" s="311">
        <f t="shared" si="298"/>
        <v>0</v>
      </c>
      <c r="BS192" s="311">
        <f t="shared" si="298"/>
        <v>0</v>
      </c>
      <c r="BT192" s="311">
        <f t="shared" si="298"/>
        <v>0</v>
      </c>
      <c r="BU192" s="311">
        <f t="shared" si="298"/>
        <v>0</v>
      </c>
      <c r="BV192" s="311">
        <f t="shared" si="298"/>
        <v>0</v>
      </c>
      <c r="BW192" s="311">
        <f t="shared" si="298"/>
        <v>0</v>
      </c>
      <c r="BX192" s="311">
        <f t="shared" si="298"/>
        <v>0</v>
      </c>
      <c r="BY192" s="311">
        <f t="shared" si="298"/>
        <v>0</v>
      </c>
      <c r="BZ192" s="196">
        <f t="shared" si="298"/>
        <v>0</v>
      </c>
      <c r="CA192" s="196">
        <f t="shared" si="298"/>
        <v>0</v>
      </c>
      <c r="CB192" s="196">
        <f t="shared" si="298"/>
        <v>0</v>
      </c>
      <c r="CC192" s="196">
        <f t="shared" ref="CC192:CS192" si="299">CC193</f>
        <v>0</v>
      </c>
      <c r="CD192" s="196">
        <f t="shared" si="299"/>
        <v>0</v>
      </c>
      <c r="CE192" s="196">
        <f t="shared" si="299"/>
        <v>0</v>
      </c>
      <c r="CF192" s="196">
        <f t="shared" si="299"/>
        <v>0</v>
      </c>
      <c r="CG192" s="196">
        <f t="shared" si="299"/>
        <v>0</v>
      </c>
      <c r="CH192" s="196">
        <f t="shared" si="299"/>
        <v>0</v>
      </c>
      <c r="CI192" s="196">
        <f t="shared" si="299"/>
        <v>0</v>
      </c>
      <c r="CJ192" s="196">
        <f t="shared" si="299"/>
        <v>0</v>
      </c>
      <c r="CK192" s="196">
        <f t="shared" si="299"/>
        <v>0</v>
      </c>
      <c r="CL192" s="196">
        <f t="shared" si="299"/>
        <v>0</v>
      </c>
      <c r="CM192" s="196">
        <f t="shared" si="299"/>
        <v>0</v>
      </c>
      <c r="CN192" s="196">
        <f t="shared" si="299"/>
        <v>0</v>
      </c>
      <c r="CO192" s="196">
        <f t="shared" si="299"/>
        <v>0</v>
      </c>
      <c r="CP192" s="192">
        <f t="shared" si="299"/>
        <v>0</v>
      </c>
      <c r="CQ192" s="192">
        <f t="shared" si="299"/>
        <v>0</v>
      </c>
      <c r="CR192" s="496" t="str">
        <f t="shared" si="299"/>
        <v>BQLDA xã Đăk Hà đang làm chủ đầu tư</v>
      </c>
      <c r="CS192" s="496">
        <f t="shared" si="299"/>
        <v>0</v>
      </c>
      <c r="CT192" s="191"/>
      <c r="CU192" s="161"/>
    </row>
    <row r="193" spans="1:99" ht="139.5" customHeight="1" outlineLevel="1">
      <c r="A193" s="183">
        <v>1</v>
      </c>
      <c r="B193" s="279" t="s">
        <v>3095</v>
      </c>
      <c r="C193" s="183" t="s">
        <v>304</v>
      </c>
      <c r="D193" s="183" t="s">
        <v>3096</v>
      </c>
      <c r="E193" s="183" t="s">
        <v>3667</v>
      </c>
      <c r="F193" s="183" t="s">
        <v>10</v>
      </c>
      <c r="G193" s="183" t="s">
        <v>48</v>
      </c>
      <c r="H193" s="183"/>
      <c r="I193" s="184"/>
      <c r="J193" s="183" t="s">
        <v>10</v>
      </c>
      <c r="K193" s="183" t="s">
        <v>3648</v>
      </c>
      <c r="L193" s="183" t="s">
        <v>3669</v>
      </c>
      <c r="M193" s="183"/>
      <c r="N193" s="282"/>
      <c r="O193" s="282" t="s">
        <v>3098</v>
      </c>
      <c r="P193" s="186">
        <v>171725</v>
      </c>
      <c r="Q193" s="178">
        <v>149000</v>
      </c>
      <c r="R193" s="186"/>
      <c r="S193" s="186">
        <v>22725</v>
      </c>
      <c r="T193" s="186">
        <v>0</v>
      </c>
      <c r="U193" s="186"/>
      <c r="V193" s="282" t="s">
        <v>3097</v>
      </c>
      <c r="W193" s="282" t="s">
        <v>3099</v>
      </c>
      <c r="X193" s="282" t="s">
        <v>3062</v>
      </c>
      <c r="Y193" s="186"/>
      <c r="Z193" s="186"/>
      <c r="AA193" s="186"/>
      <c r="AB193" s="186"/>
      <c r="AC193" s="186">
        <v>22725</v>
      </c>
      <c r="AD193" s="186"/>
      <c r="AE193" s="186"/>
      <c r="AF193" s="186">
        <v>22725</v>
      </c>
      <c r="AG193" s="283">
        <f t="shared" ref="AG193" si="300">AH193+AI193</f>
        <v>0</v>
      </c>
      <c r="AH193" s="186"/>
      <c r="AI193" s="186"/>
      <c r="AJ193" s="186">
        <v>22725</v>
      </c>
      <c r="AK193" s="186"/>
      <c r="AL193" s="186">
        <v>0</v>
      </c>
      <c r="AM193" s="186"/>
      <c r="AN193" s="186"/>
      <c r="AO193" s="186"/>
      <c r="AP193" s="186"/>
      <c r="AQ193" s="186"/>
      <c r="AR193" s="186"/>
      <c r="AS193" s="186"/>
      <c r="AT193" s="186"/>
      <c r="AU193" s="186"/>
      <c r="AV193" s="186"/>
      <c r="AW193" s="186"/>
      <c r="AX193" s="186"/>
      <c r="AY193" s="186"/>
      <c r="AZ193" s="186"/>
      <c r="BA193" s="186"/>
      <c r="BB193" s="186"/>
      <c r="BC193" s="186"/>
      <c r="BD193" s="186"/>
      <c r="BE193" s="186"/>
      <c r="BF193" s="186"/>
      <c r="BG193" s="186"/>
      <c r="BH193" s="186"/>
      <c r="BI193" s="186"/>
      <c r="BJ193" s="283">
        <f t="shared" ref="BJ193" si="301">BK193+BL193</f>
        <v>0</v>
      </c>
      <c r="BK193" s="186"/>
      <c r="BL193" s="186"/>
      <c r="BM193" s="186"/>
      <c r="BN193" s="186"/>
      <c r="BO193" s="186"/>
      <c r="BP193" s="284"/>
      <c r="BQ193" s="186"/>
      <c r="BR193" s="186"/>
      <c r="BS193" s="186"/>
      <c r="BT193" s="186"/>
      <c r="BU193" s="186"/>
      <c r="BV193" s="186"/>
      <c r="BW193" s="186"/>
      <c r="BX193" s="186"/>
      <c r="BY193" s="285"/>
      <c r="BZ193" s="286"/>
      <c r="CA193" s="187"/>
      <c r="CB193" s="187"/>
      <c r="CC193" s="187"/>
      <c r="CD193" s="187"/>
      <c r="CE193" s="286"/>
      <c r="CF193" s="187"/>
      <c r="CG193" s="187"/>
      <c r="CH193" s="187"/>
      <c r="CI193" s="187"/>
      <c r="CJ193" s="288"/>
      <c r="CK193" s="288"/>
      <c r="CL193" s="307"/>
      <c r="CM193" s="288"/>
      <c r="CN193" s="288"/>
      <c r="CO193" s="187"/>
      <c r="CP193" s="184"/>
      <c r="CQ193" s="184"/>
      <c r="CR193" s="280" t="s">
        <v>3100</v>
      </c>
      <c r="CS193" s="280"/>
      <c r="CT193" s="183" t="s">
        <v>3672</v>
      </c>
      <c r="CU193" s="160"/>
    </row>
    <row r="194" spans="1:99" ht="107.25" customHeight="1">
      <c r="A194" s="191" t="s">
        <v>62</v>
      </c>
      <c r="B194" s="191" t="s">
        <v>3486</v>
      </c>
      <c r="C194" s="309"/>
      <c r="D194" s="191"/>
      <c r="E194" s="191"/>
      <c r="F194" s="191"/>
      <c r="G194" s="191"/>
      <c r="H194" s="191"/>
      <c r="I194" s="196"/>
      <c r="J194" s="191"/>
      <c r="K194" s="196"/>
      <c r="L194" s="191"/>
      <c r="M194" s="191"/>
      <c r="N194" s="298"/>
      <c r="O194" s="298"/>
      <c r="P194" s="194">
        <f>SUM(P195:P230)-P209-P217-P222</f>
        <v>98104.281980999993</v>
      </c>
      <c r="Q194" s="194">
        <f t="shared" ref="Q194:AG194" si="302">SUM(Q195:Q230)-Q209-Q217-Q222</f>
        <v>73373.159</v>
      </c>
      <c r="R194" s="194">
        <f t="shared" si="302"/>
        <v>0</v>
      </c>
      <c r="S194" s="194">
        <f t="shared" si="302"/>
        <v>24731.122981</v>
      </c>
      <c r="T194" s="194">
        <f t="shared" si="302"/>
        <v>0</v>
      </c>
      <c r="U194" s="194">
        <f t="shared" si="302"/>
        <v>0</v>
      </c>
      <c r="V194" s="299">
        <f t="shared" si="302"/>
        <v>0</v>
      </c>
      <c r="W194" s="299">
        <f t="shared" si="302"/>
        <v>0</v>
      </c>
      <c r="X194" s="299">
        <f t="shared" si="302"/>
        <v>0</v>
      </c>
      <c r="Y194" s="194">
        <f t="shared" si="302"/>
        <v>0</v>
      </c>
      <c r="Z194" s="194">
        <f t="shared" si="302"/>
        <v>0</v>
      </c>
      <c r="AA194" s="194">
        <f t="shared" si="302"/>
        <v>0</v>
      </c>
      <c r="AB194" s="194">
        <f t="shared" si="302"/>
        <v>0</v>
      </c>
      <c r="AC194" s="194">
        <f t="shared" si="302"/>
        <v>99450.853079000008</v>
      </c>
      <c r="AD194" s="194">
        <f t="shared" si="302"/>
        <v>76293.443499999994</v>
      </c>
      <c r="AE194" s="194">
        <f t="shared" si="302"/>
        <v>0</v>
      </c>
      <c r="AF194" s="194">
        <f t="shared" si="302"/>
        <v>23157.409578999999</v>
      </c>
      <c r="AG194" s="194">
        <f t="shared" si="302"/>
        <v>8204</v>
      </c>
      <c r="AH194" s="194">
        <f>SUM(AH195:AH230)-AH209-AH217-AH222</f>
        <v>8204</v>
      </c>
      <c r="AI194" s="194">
        <f t="shared" ref="AI194:BF194" si="303">SUM(AI195:AI230)-AI209-AI217-AI222</f>
        <v>0</v>
      </c>
      <c r="AJ194" s="194">
        <f t="shared" si="303"/>
        <v>14953.409578999999</v>
      </c>
      <c r="AK194" s="194">
        <f>SUM(AK195:AK230)-AK209-AK217-AK222</f>
        <v>0</v>
      </c>
      <c r="AL194" s="194">
        <f t="shared" si="303"/>
        <v>11201.877146999999</v>
      </c>
      <c r="AM194" s="194">
        <f t="shared" si="303"/>
        <v>95048.381500000003</v>
      </c>
      <c r="AN194" s="194">
        <f t="shared" si="303"/>
        <v>76293.443499999994</v>
      </c>
      <c r="AO194" s="194">
        <f t="shared" si="303"/>
        <v>0</v>
      </c>
      <c r="AP194" s="194">
        <f t="shared" si="303"/>
        <v>18754.937999999995</v>
      </c>
      <c r="AQ194" s="194">
        <f t="shared" si="303"/>
        <v>8195.9809999999998</v>
      </c>
      <c r="AR194" s="194">
        <f t="shared" si="303"/>
        <v>0</v>
      </c>
      <c r="AS194" s="194">
        <f t="shared" si="303"/>
        <v>10558.956999999999</v>
      </c>
      <c r="AT194" s="194">
        <f t="shared" si="303"/>
        <v>0</v>
      </c>
      <c r="AU194" s="194">
        <f t="shared" si="303"/>
        <v>16945.657064999999</v>
      </c>
      <c r="AV194" s="194">
        <f t="shared" si="303"/>
        <v>71891.310775999998</v>
      </c>
      <c r="AW194" s="194">
        <f t="shared" si="303"/>
        <v>58658.468463999998</v>
      </c>
      <c r="AX194" s="194">
        <f t="shared" si="303"/>
        <v>0</v>
      </c>
      <c r="AY194" s="194">
        <f t="shared" si="303"/>
        <v>13232.842311999999</v>
      </c>
      <c r="AZ194" s="194">
        <f t="shared" si="303"/>
        <v>4271.1696579999998</v>
      </c>
      <c r="BA194" s="194">
        <f t="shared" si="303"/>
        <v>0</v>
      </c>
      <c r="BB194" s="194">
        <f t="shared" si="303"/>
        <v>8961.672654</v>
      </c>
      <c r="BC194" s="194">
        <f>SUM(BC195:BC230)-BC209-BC217-BC222</f>
        <v>0</v>
      </c>
      <c r="BD194" s="194">
        <f t="shared" si="303"/>
        <v>16945.657064999999</v>
      </c>
      <c r="BE194" s="186">
        <f t="shared" ref="BE194:BE195" si="304">AV194/AM194*100</f>
        <v>75.636543875289448</v>
      </c>
      <c r="BF194" s="194">
        <f t="shared" si="303"/>
        <v>49772.465999999993</v>
      </c>
      <c r="BG194" s="194">
        <f t="shared" ref="BG194" si="305">SUM(BG195:BG230)-BG209-BG217-BG222</f>
        <v>40641</v>
      </c>
      <c r="BH194" s="194">
        <f t="shared" ref="BH194" si="306">SUM(BH195:BH230)-BH209-BH217-BH222</f>
        <v>0</v>
      </c>
      <c r="BI194" s="194">
        <f t="shared" ref="BI194" si="307">SUM(BI195:BI230)-BI209-BI217-BI222</f>
        <v>9131.4660000000003</v>
      </c>
      <c r="BJ194" s="194">
        <f>SUM(BJ195:BJ230)-BJ209-BJ217-BJ222</f>
        <v>4193.9809999999998</v>
      </c>
      <c r="BK194" s="194">
        <f>SUM(BK195:BK230)-BK209-BK217-BK222</f>
        <v>4193.9809999999998</v>
      </c>
      <c r="BL194" s="194">
        <f t="shared" ref="BL194" si="308">SUM(BL195:BL230)-BL209-BL217-BL222</f>
        <v>0</v>
      </c>
      <c r="BM194" s="194">
        <f t="shared" ref="BM194" si="309">SUM(BM195:BM230)-BM209-BM217-BM222</f>
        <v>4937.4850000000006</v>
      </c>
      <c r="BN194" s="194">
        <f t="shared" ref="BN194:BX194" si="310">SUM(BN195:BN230)-BN209-BN217-BN222</f>
        <v>0</v>
      </c>
      <c r="BO194" s="311">
        <f t="shared" si="310"/>
        <v>5743.7799180000002</v>
      </c>
      <c r="BP194" s="311">
        <f t="shared" si="310"/>
        <v>31226.486212</v>
      </c>
      <c r="BQ194" s="311">
        <f t="shared" si="310"/>
        <v>26471.481307999999</v>
      </c>
      <c r="BR194" s="311">
        <f t="shared" si="310"/>
        <v>0</v>
      </c>
      <c r="BS194" s="311">
        <f t="shared" si="310"/>
        <v>4755.0049040000004</v>
      </c>
      <c r="BT194" s="311">
        <f t="shared" si="310"/>
        <v>302.886143</v>
      </c>
      <c r="BU194" s="311">
        <f t="shared" si="310"/>
        <v>0</v>
      </c>
      <c r="BV194" s="311">
        <f t="shared" si="310"/>
        <v>4452.1187609999997</v>
      </c>
      <c r="BW194" s="311">
        <f t="shared" si="310"/>
        <v>0</v>
      </c>
      <c r="BX194" s="311">
        <f t="shared" si="310"/>
        <v>5743.7799180000002</v>
      </c>
      <c r="BY194" s="311"/>
      <c r="BZ194" s="196">
        <f t="shared" ref="BZ194:CJ194" si="311">SUM(BZ195:BZ234)</f>
        <v>0</v>
      </c>
      <c r="CA194" s="196">
        <f t="shared" si="311"/>
        <v>0</v>
      </c>
      <c r="CB194" s="196">
        <f t="shared" si="311"/>
        <v>0</v>
      </c>
      <c r="CC194" s="196">
        <f t="shared" si="311"/>
        <v>0</v>
      </c>
      <c r="CD194" s="196">
        <f t="shared" si="311"/>
        <v>0</v>
      </c>
      <c r="CE194" s="196">
        <f t="shared" si="311"/>
        <v>0</v>
      </c>
      <c r="CF194" s="196">
        <f t="shared" si="311"/>
        <v>0</v>
      </c>
      <c r="CG194" s="196">
        <f t="shared" si="311"/>
        <v>0</v>
      </c>
      <c r="CH194" s="196">
        <f t="shared" si="311"/>
        <v>0</v>
      </c>
      <c r="CI194" s="196">
        <f t="shared" si="311"/>
        <v>0</v>
      </c>
      <c r="CJ194" s="196">
        <f t="shared" si="311"/>
        <v>0</v>
      </c>
      <c r="CK194" s="196"/>
      <c r="CL194" s="196"/>
      <c r="CM194" s="196"/>
      <c r="CN194" s="196"/>
      <c r="CO194" s="196">
        <f>SUM(CO195:CO234)</f>
        <v>7747.7140130000016</v>
      </c>
      <c r="CP194" s="192"/>
      <c r="CQ194" s="192"/>
      <c r="CR194" s="496"/>
      <c r="CS194" s="496"/>
      <c r="CT194" s="191" t="s">
        <v>519</v>
      </c>
      <c r="CU194" s="161"/>
    </row>
    <row r="195" spans="1:99" ht="42" hidden="1" customHeight="1" outlineLevel="1">
      <c r="A195" s="183">
        <v>1</v>
      </c>
      <c r="B195" s="279" t="s">
        <v>3487</v>
      </c>
      <c r="C195" s="183" t="s">
        <v>3059</v>
      </c>
      <c r="D195" s="184" t="s">
        <v>3488</v>
      </c>
      <c r="E195" s="183" t="s">
        <v>3061</v>
      </c>
      <c r="F195" s="183" t="s">
        <v>49</v>
      </c>
      <c r="G195" s="183" t="s">
        <v>3489</v>
      </c>
      <c r="H195" s="183">
        <v>8156718</v>
      </c>
      <c r="I195" s="184" t="s">
        <v>311</v>
      </c>
      <c r="J195" s="183" t="s">
        <v>49</v>
      </c>
      <c r="K195" s="183" t="s">
        <v>3490</v>
      </c>
      <c r="L195" s="183">
        <v>2025</v>
      </c>
      <c r="M195" s="183">
        <v>2025</v>
      </c>
      <c r="N195" s="282"/>
      <c r="O195" s="282" t="s">
        <v>3491</v>
      </c>
      <c r="P195" s="283">
        <v>4592.9809999999998</v>
      </c>
      <c r="Q195" s="186">
        <v>950</v>
      </c>
      <c r="R195" s="186"/>
      <c r="S195" s="283">
        <v>3642.9809999999998</v>
      </c>
      <c r="T195" s="186">
        <v>0</v>
      </c>
      <c r="U195" s="186"/>
      <c r="V195" s="282" t="s">
        <v>3490</v>
      </c>
      <c r="W195" s="282" t="s">
        <v>3253</v>
      </c>
      <c r="X195" s="282" t="s">
        <v>311</v>
      </c>
      <c r="Y195" s="186"/>
      <c r="Z195" s="186"/>
      <c r="AA195" s="186"/>
      <c r="AB195" s="186"/>
      <c r="AC195" s="186">
        <f t="shared" ref="AC195:AC196" si="312">AD195+AE195+AF195</f>
        <v>4601</v>
      </c>
      <c r="AD195" s="186">
        <v>950</v>
      </c>
      <c r="AE195" s="283"/>
      <c r="AF195" s="186">
        <f>SUM(AH195:AK195)</f>
        <v>3651</v>
      </c>
      <c r="AG195" s="303">
        <f>AH195+AI195</f>
        <v>3651</v>
      </c>
      <c r="AH195" s="283">
        <v>3651</v>
      </c>
      <c r="AI195" s="283"/>
      <c r="AJ195" s="283"/>
      <c r="AK195" s="283"/>
      <c r="AL195" s="186">
        <v>0</v>
      </c>
      <c r="AM195" s="186">
        <f t="shared" ref="AM195:AM196" si="313">AN195+AO195+AP195</f>
        <v>4592.9809999999998</v>
      </c>
      <c r="AN195" s="186">
        <v>950</v>
      </c>
      <c r="AO195" s="283"/>
      <c r="AP195" s="186">
        <f t="shared" ref="AP195:AP196" si="314">SUM(AQ195:AT195)</f>
        <v>3642.9809999999998</v>
      </c>
      <c r="AQ195" s="283">
        <v>3642.9809999999998</v>
      </c>
      <c r="AR195" s="283"/>
      <c r="AS195" s="283"/>
      <c r="AT195" s="283"/>
      <c r="AU195" s="186">
        <v>0</v>
      </c>
      <c r="AV195" s="186">
        <f t="shared" ref="AV195:AV196" si="315">AW195+AX195+AY195</f>
        <v>0</v>
      </c>
      <c r="AW195" s="186"/>
      <c r="AX195" s="283"/>
      <c r="AY195" s="186">
        <f t="shared" ref="AY195" si="316">SUM(AZ195:BC195)</f>
        <v>0</v>
      </c>
      <c r="AZ195" s="283"/>
      <c r="BA195" s="283"/>
      <c r="BB195" s="283"/>
      <c r="BC195" s="283"/>
      <c r="BD195" s="186">
        <v>0</v>
      </c>
      <c r="BE195" s="186">
        <f t="shared" si="304"/>
        <v>0</v>
      </c>
      <c r="BF195" s="186">
        <f t="shared" ref="BF195:BF196" si="317">BG195+BH195+BI195</f>
        <v>4592.9809999999998</v>
      </c>
      <c r="BG195" s="186">
        <v>950</v>
      </c>
      <c r="BH195" s="283"/>
      <c r="BI195" s="186">
        <f t="shared" ref="BI195:BI196" si="318">SUM(BK195:BN195)</f>
        <v>3642.9809999999998</v>
      </c>
      <c r="BJ195" s="186">
        <f>BK195+BL195</f>
        <v>3642.9809999999998</v>
      </c>
      <c r="BK195" s="283">
        <v>3642.9809999999998</v>
      </c>
      <c r="BL195" s="283"/>
      <c r="BM195" s="283"/>
      <c r="BN195" s="283"/>
      <c r="BO195" s="186">
        <v>0</v>
      </c>
      <c r="BP195" s="284">
        <f t="shared" ref="BP195:BP196" si="319">BQ195+BR195+BS195</f>
        <v>206.18199999999999</v>
      </c>
      <c r="BQ195" s="284">
        <v>206.18199999999999</v>
      </c>
      <c r="BR195" s="283"/>
      <c r="BS195" s="283"/>
      <c r="BT195" s="283"/>
      <c r="BU195" s="283"/>
      <c r="BV195" s="283"/>
      <c r="BW195" s="283"/>
      <c r="BX195" s="186">
        <v>0</v>
      </c>
      <c r="BY195" s="285">
        <f>BP195/BF195*100</f>
        <v>4.4890671222023348</v>
      </c>
      <c r="BZ195" s="286">
        <f t="shared" ref="BZ195" si="320">CA195+CC195+CD195</f>
        <v>0</v>
      </c>
      <c r="CA195" s="286"/>
      <c r="CB195" s="287"/>
      <c r="CC195" s="287"/>
      <c r="CD195" s="187">
        <v>0</v>
      </c>
      <c r="CE195" s="286">
        <f t="shared" ref="CE195" si="321">CF195+CH195+CI195</f>
        <v>0</v>
      </c>
      <c r="CF195" s="286"/>
      <c r="CG195" s="287"/>
      <c r="CH195" s="287"/>
      <c r="CI195" s="187"/>
      <c r="CJ195" s="288"/>
      <c r="CK195" s="288"/>
      <c r="CL195" s="288"/>
      <c r="CM195" s="288"/>
      <c r="CN195" s="288"/>
      <c r="CO195" s="187">
        <f>BF195-BP195</f>
        <v>4386.799</v>
      </c>
      <c r="CP195" s="184"/>
      <c r="CQ195" s="184"/>
      <c r="CR195" s="280" t="s">
        <v>3040</v>
      </c>
      <c r="CS195" s="280"/>
      <c r="CT195" s="319"/>
      <c r="CU195" s="156"/>
    </row>
    <row r="196" spans="1:99" ht="51.75" hidden="1" customHeight="1" outlineLevel="1">
      <c r="A196" s="183">
        <v>2</v>
      </c>
      <c r="B196" s="279" t="s">
        <v>3492</v>
      </c>
      <c r="C196" s="183" t="s">
        <v>3493</v>
      </c>
      <c r="D196" s="184" t="s">
        <v>3494</v>
      </c>
      <c r="E196" s="183" t="s">
        <v>3061</v>
      </c>
      <c r="F196" s="183" t="s">
        <v>49</v>
      </c>
      <c r="G196" s="183"/>
      <c r="H196" s="183">
        <v>8114826</v>
      </c>
      <c r="I196" s="184" t="s">
        <v>3062</v>
      </c>
      <c r="J196" s="183" t="s">
        <v>49</v>
      </c>
      <c r="K196" s="183" t="s">
        <v>3069</v>
      </c>
      <c r="L196" s="183" t="s">
        <v>53</v>
      </c>
      <c r="M196" s="183">
        <v>2024</v>
      </c>
      <c r="N196" s="282"/>
      <c r="O196" s="282" t="s">
        <v>3495</v>
      </c>
      <c r="P196" s="283">
        <v>46787</v>
      </c>
      <c r="Q196" s="186">
        <v>42344</v>
      </c>
      <c r="R196" s="186"/>
      <c r="S196" s="283">
        <v>4443</v>
      </c>
      <c r="T196" s="186"/>
      <c r="U196" s="186"/>
      <c r="V196" s="282" t="s">
        <v>3069</v>
      </c>
      <c r="W196" s="282" t="s">
        <v>3069</v>
      </c>
      <c r="X196" s="282" t="s">
        <v>3062</v>
      </c>
      <c r="Y196" s="186"/>
      <c r="Z196" s="186"/>
      <c r="AA196" s="186"/>
      <c r="AB196" s="186"/>
      <c r="AC196" s="186">
        <f t="shared" si="312"/>
        <v>46587</v>
      </c>
      <c r="AD196" s="186">
        <v>42344</v>
      </c>
      <c r="AE196" s="283"/>
      <c r="AF196" s="186">
        <f t="shared" ref="AF196" si="322">SUM(AH196:AK196)</f>
        <v>4243</v>
      </c>
      <c r="AG196" s="303">
        <f t="shared" si="255"/>
        <v>0</v>
      </c>
      <c r="AH196" s="283"/>
      <c r="AI196" s="283"/>
      <c r="AJ196" s="283">
        <v>4243</v>
      </c>
      <c r="AK196" s="283"/>
      <c r="AL196" s="186"/>
      <c r="AM196" s="186">
        <f t="shared" si="313"/>
        <v>42344</v>
      </c>
      <c r="AN196" s="186">
        <v>42344</v>
      </c>
      <c r="AO196" s="283"/>
      <c r="AP196" s="186">
        <f t="shared" si="314"/>
        <v>0</v>
      </c>
      <c r="AQ196" s="283"/>
      <c r="AR196" s="283"/>
      <c r="AS196" s="283">
        <v>0</v>
      </c>
      <c r="AT196" s="283"/>
      <c r="AU196" s="186"/>
      <c r="AV196" s="186">
        <f t="shared" si="315"/>
        <v>29321.016642999999</v>
      </c>
      <c r="AW196" s="186">
        <v>29321.016642999999</v>
      </c>
      <c r="AX196" s="283"/>
      <c r="AY196" s="186"/>
      <c r="AZ196" s="283"/>
      <c r="BA196" s="283"/>
      <c r="BB196" s="283"/>
      <c r="BC196" s="283"/>
      <c r="BD196" s="186"/>
      <c r="BE196" s="186">
        <f>AV196/AM196*100</f>
        <v>69.244796530795384</v>
      </c>
      <c r="BF196" s="186">
        <f t="shared" si="317"/>
        <v>30843</v>
      </c>
      <c r="BG196" s="186">
        <v>30843</v>
      </c>
      <c r="BH196" s="283"/>
      <c r="BI196" s="186">
        <f t="shared" si="318"/>
        <v>0</v>
      </c>
      <c r="BJ196" s="186">
        <f t="shared" ref="BJ196:BJ209" si="323">BK196+BL196</f>
        <v>0</v>
      </c>
      <c r="BK196" s="283"/>
      <c r="BL196" s="283"/>
      <c r="BM196" s="283"/>
      <c r="BN196" s="283"/>
      <c r="BO196" s="186"/>
      <c r="BP196" s="284">
        <f t="shared" si="319"/>
        <v>20044.734225</v>
      </c>
      <c r="BQ196" s="284">
        <v>20044.734225</v>
      </c>
      <c r="BR196" s="283"/>
      <c r="BS196" s="283"/>
      <c r="BT196" s="283"/>
      <c r="BU196" s="283"/>
      <c r="BV196" s="283"/>
      <c r="BW196" s="283"/>
      <c r="BX196" s="186"/>
      <c r="BY196" s="285"/>
      <c r="BZ196" s="286"/>
      <c r="CA196" s="286"/>
      <c r="CB196" s="287"/>
      <c r="CC196" s="287"/>
      <c r="CD196" s="187"/>
      <c r="CE196" s="286"/>
      <c r="CF196" s="286"/>
      <c r="CG196" s="287"/>
      <c r="CH196" s="287"/>
      <c r="CI196" s="187"/>
      <c r="CJ196" s="288"/>
      <c r="CK196" s="288"/>
      <c r="CL196" s="288"/>
      <c r="CM196" s="288"/>
      <c r="CN196" s="187">
        <v>4443.4000000000015</v>
      </c>
      <c r="CO196" s="187"/>
      <c r="CP196" s="184"/>
      <c r="CQ196" s="184"/>
      <c r="CR196" s="289" t="s">
        <v>3496</v>
      </c>
      <c r="CS196" s="289"/>
      <c r="CT196" s="319"/>
      <c r="CU196" s="156"/>
    </row>
    <row r="197" spans="1:99" ht="42" hidden="1" customHeight="1" collapsed="1">
      <c r="A197" s="183">
        <v>3</v>
      </c>
      <c r="B197" s="279" t="s">
        <v>3497</v>
      </c>
      <c r="C197" s="183" t="s">
        <v>3059</v>
      </c>
      <c r="D197" s="184" t="s">
        <v>3498</v>
      </c>
      <c r="E197" s="183" t="s">
        <v>3061</v>
      </c>
      <c r="F197" s="183" t="s">
        <v>49</v>
      </c>
      <c r="G197" s="183" t="s">
        <v>48</v>
      </c>
      <c r="H197" s="183">
        <v>8080771</v>
      </c>
      <c r="I197" s="184" t="s">
        <v>3433</v>
      </c>
      <c r="J197" s="183" t="s">
        <v>49</v>
      </c>
      <c r="K197" s="183" t="s">
        <v>3437</v>
      </c>
      <c r="L197" s="183" t="s">
        <v>84</v>
      </c>
      <c r="M197" s="183">
        <v>2024</v>
      </c>
      <c r="N197" s="282"/>
      <c r="O197" s="282" t="s">
        <v>3499</v>
      </c>
      <c r="P197" s="283">
        <v>1674</v>
      </c>
      <c r="Q197" s="283">
        <v>200</v>
      </c>
      <c r="R197" s="283"/>
      <c r="S197" s="283">
        <v>1474</v>
      </c>
      <c r="T197" s="186">
        <v>0</v>
      </c>
      <c r="U197" s="186"/>
      <c r="V197" s="282" t="s">
        <v>3437</v>
      </c>
      <c r="W197" s="282" t="s">
        <v>3434</v>
      </c>
      <c r="X197" s="282" t="s">
        <v>3433</v>
      </c>
      <c r="Y197" s="186"/>
      <c r="Z197" s="186"/>
      <c r="AA197" s="186"/>
      <c r="AB197" s="186"/>
      <c r="AC197" s="186">
        <f>AD197+AE197+AF197</f>
        <v>1674</v>
      </c>
      <c r="AD197" s="283">
        <v>200</v>
      </c>
      <c r="AE197" s="283"/>
      <c r="AF197" s="186">
        <f>SUM(AH197:AK197)</f>
        <v>1474</v>
      </c>
      <c r="AG197" s="303">
        <f>AH197+AI197</f>
        <v>1474</v>
      </c>
      <c r="AH197" s="283">
        <v>1474</v>
      </c>
      <c r="AI197" s="283"/>
      <c r="AJ197" s="283"/>
      <c r="AK197" s="283"/>
      <c r="AL197" s="186">
        <v>0</v>
      </c>
      <c r="AM197" s="186">
        <f>AN197+AO197+AP197</f>
        <v>1674</v>
      </c>
      <c r="AN197" s="283">
        <v>200</v>
      </c>
      <c r="AO197" s="283"/>
      <c r="AP197" s="186">
        <f>SUM(AQ197:AT197)</f>
        <v>1474</v>
      </c>
      <c r="AQ197" s="283">
        <v>1474</v>
      </c>
      <c r="AR197" s="283"/>
      <c r="AS197" s="283"/>
      <c r="AT197" s="283"/>
      <c r="AU197" s="186">
        <v>0</v>
      </c>
      <c r="AV197" s="186">
        <f>AW197+AX197+AY197</f>
        <v>1640.2835150000001</v>
      </c>
      <c r="AW197" s="283">
        <v>200</v>
      </c>
      <c r="AX197" s="283"/>
      <c r="AY197" s="186">
        <f>SUM(AZ197:BC197)</f>
        <v>1440.2835150000001</v>
      </c>
      <c r="AZ197" s="283">
        <v>1440.2835150000001</v>
      </c>
      <c r="BA197" s="283"/>
      <c r="BB197" s="283"/>
      <c r="BC197" s="283"/>
      <c r="BD197" s="186">
        <v>0</v>
      </c>
      <c r="BE197" s="186">
        <f>AV197/AM197*100</f>
        <v>97.98587305854241</v>
      </c>
      <c r="BF197" s="186">
        <f>BG197+BH197+BI197</f>
        <v>0</v>
      </c>
      <c r="BG197" s="283"/>
      <c r="BH197" s="283"/>
      <c r="BI197" s="186">
        <f>SUM(BK197:BN197)</f>
        <v>0</v>
      </c>
      <c r="BJ197" s="186">
        <f t="shared" si="323"/>
        <v>0</v>
      </c>
      <c r="BK197" s="283"/>
      <c r="BL197" s="283"/>
      <c r="BM197" s="283"/>
      <c r="BN197" s="283"/>
      <c r="BO197" s="186">
        <v>0</v>
      </c>
      <c r="BP197" s="284">
        <f>BQ197+BR197+BS197</f>
        <v>0</v>
      </c>
      <c r="BQ197" s="283"/>
      <c r="BR197" s="283"/>
      <c r="BS197" s="283"/>
      <c r="BT197" s="283"/>
      <c r="BU197" s="283"/>
      <c r="BV197" s="283"/>
      <c r="BW197" s="283"/>
      <c r="BX197" s="186">
        <v>0</v>
      </c>
      <c r="BY197" s="285"/>
      <c r="BZ197" s="286">
        <f>CA197+CC197+CD197</f>
        <v>0</v>
      </c>
      <c r="CA197" s="287"/>
      <c r="CB197" s="287"/>
      <c r="CC197" s="287"/>
      <c r="CD197" s="187">
        <v>0</v>
      </c>
      <c r="CE197" s="286">
        <f>CF197+CH197+CI197</f>
        <v>0</v>
      </c>
      <c r="CF197" s="287"/>
      <c r="CG197" s="287"/>
      <c r="CH197" s="287"/>
      <c r="CI197" s="187"/>
      <c r="CJ197" s="288"/>
      <c r="CK197" s="288"/>
      <c r="CL197" s="288"/>
      <c r="CM197" s="288"/>
      <c r="CN197" s="288"/>
      <c r="CO197" s="187">
        <f>BF197-BP197</f>
        <v>0</v>
      </c>
      <c r="CP197" s="184"/>
      <c r="CQ197" s="184"/>
      <c r="CR197" s="289" t="s">
        <v>3087</v>
      </c>
      <c r="CS197" s="289"/>
      <c r="CT197" s="319"/>
      <c r="CU197" s="156"/>
    </row>
    <row r="198" spans="1:99" ht="78.75" hidden="1" customHeight="1">
      <c r="A198" s="183">
        <v>4</v>
      </c>
      <c r="B198" s="279" t="s">
        <v>3500</v>
      </c>
      <c r="C198" s="183" t="s">
        <v>3059</v>
      </c>
      <c r="D198" s="184" t="s">
        <v>3501</v>
      </c>
      <c r="E198" s="183" t="s">
        <v>3222</v>
      </c>
      <c r="F198" s="183" t="s">
        <v>49</v>
      </c>
      <c r="G198" s="183" t="s">
        <v>48</v>
      </c>
      <c r="H198" s="183">
        <v>8085141</v>
      </c>
      <c r="I198" s="184" t="s">
        <v>311</v>
      </c>
      <c r="J198" s="183" t="s">
        <v>49</v>
      </c>
      <c r="K198" s="183" t="s">
        <v>3187</v>
      </c>
      <c r="L198" s="183" t="s">
        <v>84</v>
      </c>
      <c r="M198" s="183">
        <v>2024</v>
      </c>
      <c r="N198" s="282"/>
      <c r="O198" s="282" t="s">
        <v>3502</v>
      </c>
      <c r="P198" s="283">
        <v>2691</v>
      </c>
      <c r="Q198" s="283">
        <f>P198-S198</f>
        <v>1511</v>
      </c>
      <c r="R198" s="283"/>
      <c r="S198" s="283">
        <v>1180</v>
      </c>
      <c r="T198" s="186">
        <v>0</v>
      </c>
      <c r="U198" s="186"/>
      <c r="V198" s="282" t="s">
        <v>3187</v>
      </c>
      <c r="W198" s="282" t="s">
        <v>3115</v>
      </c>
      <c r="X198" s="282" t="s">
        <v>311</v>
      </c>
      <c r="Y198" s="186"/>
      <c r="Z198" s="186"/>
      <c r="AA198" s="186"/>
      <c r="AB198" s="186"/>
      <c r="AC198" s="186">
        <f>AD198+AE198+AF198</f>
        <v>2539</v>
      </c>
      <c r="AD198" s="283">
        <v>1511</v>
      </c>
      <c r="AE198" s="283"/>
      <c r="AF198" s="186">
        <f>SUM(AH198:AK198)</f>
        <v>1028</v>
      </c>
      <c r="AG198" s="303">
        <f t="shared" si="255"/>
        <v>1028</v>
      </c>
      <c r="AH198" s="283">
        <v>1028</v>
      </c>
      <c r="AI198" s="283"/>
      <c r="AJ198" s="283"/>
      <c r="AK198" s="283"/>
      <c r="AL198" s="186">
        <v>0</v>
      </c>
      <c r="AM198" s="186">
        <f>AN198+AO198+AP198</f>
        <v>2539</v>
      </c>
      <c r="AN198" s="283">
        <v>1511</v>
      </c>
      <c r="AO198" s="283"/>
      <c r="AP198" s="186">
        <f>SUM(AQ198:AT198)</f>
        <v>1028</v>
      </c>
      <c r="AQ198" s="283">
        <v>1028</v>
      </c>
      <c r="AR198" s="283"/>
      <c r="AS198" s="283"/>
      <c r="AT198" s="283"/>
      <c r="AU198" s="186">
        <v>0</v>
      </c>
      <c r="AV198" s="186">
        <f>AW198+AX198+AY198</f>
        <v>2528.8210309999999</v>
      </c>
      <c r="AW198" s="283">
        <f>1511-10.178969</f>
        <v>1500.8210309999999</v>
      </c>
      <c r="AX198" s="283"/>
      <c r="AY198" s="186">
        <f>SUM(AZ198:BC198)</f>
        <v>1028</v>
      </c>
      <c r="AZ198" s="283">
        <v>1028</v>
      </c>
      <c r="BA198" s="283"/>
      <c r="BB198" s="283"/>
      <c r="BC198" s="283"/>
      <c r="BD198" s="186">
        <v>0</v>
      </c>
      <c r="BE198" s="186">
        <f>AV198/AM198*100</f>
        <v>99.599095352500981</v>
      </c>
      <c r="BF198" s="186">
        <f>BG198+BH198+BI198</f>
        <v>564</v>
      </c>
      <c r="BG198" s="283">
        <v>564</v>
      </c>
      <c r="BH198" s="283"/>
      <c r="BI198" s="186">
        <f>SUM(BK198:BN198)</f>
        <v>0</v>
      </c>
      <c r="BJ198" s="186">
        <f t="shared" si="323"/>
        <v>0</v>
      </c>
      <c r="BK198" s="283"/>
      <c r="BL198" s="283"/>
      <c r="BM198" s="283"/>
      <c r="BN198" s="283"/>
      <c r="BO198" s="186">
        <v>0</v>
      </c>
      <c r="BP198" s="284">
        <f>BQ198+BR198+BS198</f>
        <v>553.82103099999995</v>
      </c>
      <c r="BQ198" s="283">
        <f>564-10.178969</f>
        <v>553.82103099999995</v>
      </c>
      <c r="BR198" s="283"/>
      <c r="BS198" s="283"/>
      <c r="BT198" s="283"/>
      <c r="BU198" s="283"/>
      <c r="BV198" s="283"/>
      <c r="BW198" s="283"/>
      <c r="BX198" s="186">
        <v>0</v>
      </c>
      <c r="BY198" s="285">
        <f>BP198/BF198*100</f>
        <v>98.195218262411345</v>
      </c>
      <c r="BZ198" s="286">
        <f>CA198+CC198+CD198</f>
        <v>0</v>
      </c>
      <c r="CA198" s="287"/>
      <c r="CB198" s="287"/>
      <c r="CC198" s="287"/>
      <c r="CD198" s="187">
        <v>0</v>
      </c>
      <c r="CE198" s="286">
        <f>CF198+CH198+CI198</f>
        <v>0</v>
      </c>
      <c r="CF198" s="287"/>
      <c r="CG198" s="287"/>
      <c r="CH198" s="287"/>
      <c r="CI198" s="187"/>
      <c r="CJ198" s="288"/>
      <c r="CK198" s="288"/>
      <c r="CL198" s="288"/>
      <c r="CM198" s="288"/>
      <c r="CN198" s="288"/>
      <c r="CO198" s="187">
        <f>BF198-BP198</f>
        <v>10.178969000000052</v>
      </c>
      <c r="CP198" s="184"/>
      <c r="CQ198" s="184" t="s">
        <v>488</v>
      </c>
      <c r="CR198" s="289"/>
      <c r="CS198" s="289"/>
      <c r="CT198" s="319"/>
      <c r="CU198" s="156"/>
    </row>
    <row r="199" spans="1:99" ht="81.75" hidden="1" customHeight="1" outlineLevel="1">
      <c r="A199" s="183">
        <v>5</v>
      </c>
      <c r="B199" s="279" t="s">
        <v>3500</v>
      </c>
      <c r="C199" s="183" t="s">
        <v>3059</v>
      </c>
      <c r="D199" s="184" t="s">
        <v>3501</v>
      </c>
      <c r="E199" s="183" t="s">
        <v>3222</v>
      </c>
      <c r="F199" s="183" t="s">
        <v>49</v>
      </c>
      <c r="G199" s="183" t="s">
        <v>48</v>
      </c>
      <c r="H199" s="183">
        <v>8085141</v>
      </c>
      <c r="I199" s="184" t="s">
        <v>311</v>
      </c>
      <c r="J199" s="183" t="s">
        <v>49</v>
      </c>
      <c r="K199" s="183" t="s">
        <v>3187</v>
      </c>
      <c r="L199" s="183" t="s">
        <v>84</v>
      </c>
      <c r="M199" s="183">
        <v>2024</v>
      </c>
      <c r="N199" s="282"/>
      <c r="O199" s="282" t="s">
        <v>3502</v>
      </c>
      <c r="P199" s="283">
        <v>2691</v>
      </c>
      <c r="Q199" s="283">
        <f>P199-S199</f>
        <v>1511</v>
      </c>
      <c r="R199" s="283"/>
      <c r="S199" s="283">
        <v>1180</v>
      </c>
      <c r="T199" s="186">
        <v>0</v>
      </c>
      <c r="U199" s="186"/>
      <c r="V199" s="282" t="s">
        <v>3187</v>
      </c>
      <c r="W199" s="282" t="s">
        <v>3115</v>
      </c>
      <c r="X199" s="282" t="s">
        <v>311</v>
      </c>
      <c r="Y199" s="186"/>
      <c r="Z199" s="186"/>
      <c r="AA199" s="186"/>
      <c r="AB199" s="186"/>
      <c r="AC199" s="186">
        <f t="shared" ref="AC199:AC230" si="324">AD199+AE199+AF199</f>
        <v>1663.1990000000001</v>
      </c>
      <c r="AD199" s="283">
        <v>1511</v>
      </c>
      <c r="AE199" s="283"/>
      <c r="AF199" s="186">
        <f t="shared" ref="AF199:AF228" si="325">SUM(AH199:AK199)</f>
        <v>152.19900000000001</v>
      </c>
      <c r="AG199" s="303">
        <f t="shared" si="255"/>
        <v>0</v>
      </c>
      <c r="AH199" s="283"/>
      <c r="AI199" s="283"/>
      <c r="AJ199" s="320">
        <v>152.19900000000001</v>
      </c>
      <c r="AK199" s="283"/>
      <c r="AL199" s="186">
        <v>0</v>
      </c>
      <c r="AM199" s="186">
        <f t="shared" ref="AM199:AM230" si="326">AN199+AO199+AP199</f>
        <v>1663.1990000000001</v>
      </c>
      <c r="AN199" s="283">
        <v>1511</v>
      </c>
      <c r="AO199" s="283"/>
      <c r="AP199" s="186">
        <f t="shared" ref="AP199:AP230" si="327">SUM(AQ199:AT199)</f>
        <v>152.19900000000001</v>
      </c>
      <c r="AQ199" s="283"/>
      <c r="AR199" s="283"/>
      <c r="AS199" s="320">
        <v>152.19900000000001</v>
      </c>
      <c r="AT199" s="283"/>
      <c r="AU199" s="186">
        <v>0</v>
      </c>
      <c r="AV199" s="186">
        <f t="shared" ref="AV199:AV230" si="328">AW199+AX199+AY199</f>
        <v>152.19900000000001</v>
      </c>
      <c r="AW199" s="283"/>
      <c r="AX199" s="283"/>
      <c r="AY199" s="186">
        <f t="shared" ref="AY199:AY230" si="329">SUM(AZ199:BC199)</f>
        <v>152.19900000000001</v>
      </c>
      <c r="AZ199" s="283"/>
      <c r="BA199" s="283"/>
      <c r="BB199" s="320">
        <v>152.19900000000001</v>
      </c>
      <c r="BC199" s="283"/>
      <c r="BD199" s="186">
        <v>0</v>
      </c>
      <c r="BE199" s="186">
        <f t="shared" ref="BE199:BE230" si="330">AV199/AM199*100</f>
        <v>9.1509795280059709</v>
      </c>
      <c r="BF199" s="186">
        <f t="shared" ref="BF199:BF230" si="331">BG199+BH199+BI199</f>
        <v>0</v>
      </c>
      <c r="BG199" s="283"/>
      <c r="BH199" s="283"/>
      <c r="BI199" s="186">
        <f t="shared" ref="BI199:BI228" si="332">SUM(BK199:BN199)</f>
        <v>0</v>
      </c>
      <c r="BJ199" s="186">
        <f t="shared" si="323"/>
        <v>0</v>
      </c>
      <c r="BK199" s="283"/>
      <c r="BL199" s="283"/>
      <c r="BM199" s="283"/>
      <c r="BN199" s="283"/>
      <c r="BO199" s="186">
        <v>0</v>
      </c>
      <c r="BP199" s="284">
        <f t="shared" ref="BP199:BP230" si="333">BQ199+BR199+BS199</f>
        <v>0</v>
      </c>
      <c r="BQ199" s="283"/>
      <c r="BR199" s="283"/>
      <c r="BS199" s="283"/>
      <c r="BT199" s="283"/>
      <c r="BU199" s="283"/>
      <c r="BV199" s="283"/>
      <c r="BW199" s="283"/>
      <c r="BX199" s="186">
        <v>0</v>
      </c>
      <c r="BY199" s="285" t="e">
        <f>BP199/BF199*100</f>
        <v>#DIV/0!</v>
      </c>
      <c r="BZ199" s="286">
        <f t="shared" ref="BZ199:BZ230" si="334">CA199+CC199+CD199</f>
        <v>0</v>
      </c>
      <c r="CA199" s="287"/>
      <c r="CB199" s="287"/>
      <c r="CC199" s="287"/>
      <c r="CD199" s="187">
        <v>0</v>
      </c>
      <c r="CE199" s="286">
        <f t="shared" ref="CE199:CE230" si="335">CF199+CH199+CI199</f>
        <v>0</v>
      </c>
      <c r="CF199" s="287"/>
      <c r="CG199" s="287"/>
      <c r="CH199" s="287"/>
      <c r="CI199" s="187"/>
      <c r="CJ199" s="288"/>
      <c r="CK199" s="288"/>
      <c r="CL199" s="288"/>
      <c r="CM199" s="288"/>
      <c r="CN199" s="288"/>
      <c r="CO199" s="187">
        <f t="shared" ref="CO199:CO230" si="336">BF199-BP199</f>
        <v>0</v>
      </c>
      <c r="CP199" s="184"/>
      <c r="CQ199" s="184" t="s">
        <v>488</v>
      </c>
      <c r="CR199" s="289"/>
      <c r="CS199" s="289"/>
      <c r="CT199" s="319"/>
      <c r="CU199" s="156"/>
    </row>
    <row r="200" spans="1:99" ht="58.5" hidden="1" customHeight="1" outlineLevel="1">
      <c r="A200" s="183">
        <v>6</v>
      </c>
      <c r="B200" s="321" t="s">
        <v>3503</v>
      </c>
      <c r="C200" s="183" t="s">
        <v>304</v>
      </c>
      <c r="D200" s="184" t="s">
        <v>3504</v>
      </c>
      <c r="E200" s="322" t="s">
        <v>3505</v>
      </c>
      <c r="F200" s="183" t="s">
        <v>49</v>
      </c>
      <c r="G200" s="183" t="s">
        <v>55</v>
      </c>
      <c r="H200" s="183"/>
      <c r="I200" s="184" t="s">
        <v>3433</v>
      </c>
      <c r="J200" s="183" t="s">
        <v>49</v>
      </c>
      <c r="K200" s="183" t="s">
        <v>3437</v>
      </c>
      <c r="L200" s="183" t="s">
        <v>84</v>
      </c>
      <c r="M200" s="183">
        <v>2024</v>
      </c>
      <c r="N200" s="305"/>
      <c r="O200" s="305" t="s">
        <v>3506</v>
      </c>
      <c r="P200" s="323">
        <v>466.39699999999999</v>
      </c>
      <c r="Q200" s="323">
        <v>269.15899999999999</v>
      </c>
      <c r="R200" s="323"/>
      <c r="S200" s="323">
        <v>197.238</v>
      </c>
      <c r="T200" s="186">
        <v>0</v>
      </c>
      <c r="U200" s="186"/>
      <c r="V200" s="282" t="s">
        <v>3437</v>
      </c>
      <c r="W200" s="282" t="s">
        <v>3434</v>
      </c>
      <c r="X200" s="282" t="s">
        <v>3433</v>
      </c>
      <c r="Y200" s="283"/>
      <c r="Z200" s="283"/>
      <c r="AA200" s="283"/>
      <c r="AB200" s="283"/>
      <c r="AC200" s="186">
        <f t="shared" si="324"/>
        <v>466.39699999999999</v>
      </c>
      <c r="AD200" s="323">
        <v>269.15899999999999</v>
      </c>
      <c r="AE200" s="323"/>
      <c r="AF200" s="186">
        <f t="shared" si="325"/>
        <v>197.238</v>
      </c>
      <c r="AG200" s="303">
        <f t="shared" si="255"/>
        <v>0</v>
      </c>
      <c r="AH200" s="323"/>
      <c r="AI200" s="323"/>
      <c r="AJ200" s="323">
        <v>197.238</v>
      </c>
      <c r="AK200" s="323"/>
      <c r="AL200" s="186">
        <v>0</v>
      </c>
      <c r="AM200" s="186">
        <f t="shared" si="326"/>
        <v>466.39699999999999</v>
      </c>
      <c r="AN200" s="323">
        <v>269.15899999999999</v>
      </c>
      <c r="AO200" s="323"/>
      <c r="AP200" s="186">
        <f t="shared" si="327"/>
        <v>197.238</v>
      </c>
      <c r="AQ200" s="323"/>
      <c r="AR200" s="323"/>
      <c r="AS200" s="323">
        <v>197.238</v>
      </c>
      <c r="AT200" s="323"/>
      <c r="AU200" s="186">
        <v>0</v>
      </c>
      <c r="AV200" s="186">
        <f t="shared" si="328"/>
        <v>466.39699999999999</v>
      </c>
      <c r="AW200" s="323">
        <v>269.15899999999999</v>
      </c>
      <c r="AX200" s="323"/>
      <c r="AY200" s="186">
        <f t="shared" si="329"/>
        <v>197.238</v>
      </c>
      <c r="AZ200" s="323"/>
      <c r="BA200" s="323"/>
      <c r="BB200" s="323">
        <v>197.238</v>
      </c>
      <c r="BC200" s="323"/>
      <c r="BD200" s="186">
        <v>0</v>
      </c>
      <c r="BE200" s="186">
        <f t="shared" si="330"/>
        <v>100</v>
      </c>
      <c r="BF200" s="186">
        <f t="shared" si="331"/>
        <v>0</v>
      </c>
      <c r="BG200" s="323"/>
      <c r="BH200" s="323"/>
      <c r="BI200" s="186">
        <f t="shared" si="332"/>
        <v>0</v>
      </c>
      <c r="BJ200" s="186">
        <f t="shared" si="323"/>
        <v>0</v>
      </c>
      <c r="BK200" s="323"/>
      <c r="BL200" s="323"/>
      <c r="BM200" s="323"/>
      <c r="BN200" s="323"/>
      <c r="BO200" s="186">
        <v>0</v>
      </c>
      <c r="BP200" s="284">
        <f t="shared" si="333"/>
        <v>0</v>
      </c>
      <c r="BQ200" s="323"/>
      <c r="BR200" s="323"/>
      <c r="BS200" s="323"/>
      <c r="BT200" s="323"/>
      <c r="BU200" s="323"/>
      <c r="BV200" s="323"/>
      <c r="BW200" s="323"/>
      <c r="BX200" s="186">
        <v>0</v>
      </c>
      <c r="BY200" s="285"/>
      <c r="BZ200" s="286">
        <f t="shared" si="334"/>
        <v>0</v>
      </c>
      <c r="CA200" s="324"/>
      <c r="CB200" s="324"/>
      <c r="CC200" s="324"/>
      <c r="CD200" s="187">
        <v>0</v>
      </c>
      <c r="CE200" s="286">
        <f t="shared" si="335"/>
        <v>0</v>
      </c>
      <c r="CF200" s="324"/>
      <c r="CG200" s="324"/>
      <c r="CH200" s="324"/>
      <c r="CI200" s="187"/>
      <c r="CJ200" s="288"/>
      <c r="CK200" s="288"/>
      <c r="CL200" s="288"/>
      <c r="CM200" s="288"/>
      <c r="CN200" s="288"/>
      <c r="CO200" s="187">
        <f t="shared" si="336"/>
        <v>0</v>
      </c>
      <c r="CP200" s="184"/>
      <c r="CQ200" s="184" t="s">
        <v>488</v>
      </c>
      <c r="CR200" s="289"/>
      <c r="CS200" s="289"/>
      <c r="CT200" s="291"/>
      <c r="CU200" s="160"/>
    </row>
    <row r="201" spans="1:99" ht="39" hidden="1" customHeight="1" outlineLevel="1">
      <c r="A201" s="183">
        <v>7</v>
      </c>
      <c r="B201" s="325" t="s">
        <v>3507</v>
      </c>
      <c r="C201" s="183" t="s">
        <v>304</v>
      </c>
      <c r="D201" s="184" t="s">
        <v>3508</v>
      </c>
      <c r="E201" s="183" t="s">
        <v>3509</v>
      </c>
      <c r="F201" s="183" t="s">
        <v>49</v>
      </c>
      <c r="G201" s="183" t="s">
        <v>3194</v>
      </c>
      <c r="H201" s="183"/>
      <c r="I201" s="184" t="s">
        <v>311</v>
      </c>
      <c r="J201" s="183" t="s">
        <v>49</v>
      </c>
      <c r="K201" s="183" t="s">
        <v>3187</v>
      </c>
      <c r="L201" s="183" t="s">
        <v>84</v>
      </c>
      <c r="M201" s="183">
        <v>2024</v>
      </c>
      <c r="N201" s="305"/>
      <c r="O201" s="305" t="s">
        <v>3510</v>
      </c>
      <c r="P201" s="323">
        <v>725.29499999999996</v>
      </c>
      <c r="Q201" s="323">
        <v>200</v>
      </c>
      <c r="R201" s="323"/>
      <c r="S201" s="323">
        <v>525.29499999999996</v>
      </c>
      <c r="T201" s="186">
        <v>0</v>
      </c>
      <c r="U201" s="186"/>
      <c r="V201" s="282" t="s">
        <v>3187</v>
      </c>
      <c r="W201" s="282" t="s">
        <v>3115</v>
      </c>
      <c r="X201" s="282" t="s">
        <v>311</v>
      </c>
      <c r="Y201" s="283"/>
      <c r="Z201" s="283"/>
      <c r="AA201" s="283"/>
      <c r="AB201" s="283"/>
      <c r="AC201" s="186">
        <f t="shared" si="324"/>
        <v>725.29499999999996</v>
      </c>
      <c r="AD201" s="323">
        <v>200</v>
      </c>
      <c r="AE201" s="323"/>
      <c r="AF201" s="186">
        <f t="shared" si="325"/>
        <v>525.29499999999996</v>
      </c>
      <c r="AG201" s="303">
        <f t="shared" si="255"/>
        <v>0</v>
      </c>
      <c r="AH201" s="323"/>
      <c r="AI201" s="323"/>
      <c r="AJ201" s="323">
        <v>525.29499999999996</v>
      </c>
      <c r="AK201" s="323"/>
      <c r="AL201" s="186">
        <v>0</v>
      </c>
      <c r="AM201" s="186">
        <f t="shared" si="326"/>
        <v>725.29499999999996</v>
      </c>
      <c r="AN201" s="323">
        <v>200</v>
      </c>
      <c r="AO201" s="323"/>
      <c r="AP201" s="186">
        <f t="shared" si="327"/>
        <v>525.29499999999996</v>
      </c>
      <c r="AQ201" s="323"/>
      <c r="AR201" s="323"/>
      <c r="AS201" s="323">
        <v>525.29499999999996</v>
      </c>
      <c r="AT201" s="323"/>
      <c r="AU201" s="186">
        <v>0</v>
      </c>
      <c r="AV201" s="186">
        <f t="shared" si="328"/>
        <v>725.29499999999996</v>
      </c>
      <c r="AW201" s="323">
        <v>200</v>
      </c>
      <c r="AX201" s="323"/>
      <c r="AY201" s="186">
        <f t="shared" si="329"/>
        <v>525.29499999999996</v>
      </c>
      <c r="AZ201" s="323"/>
      <c r="BA201" s="323"/>
      <c r="BB201" s="323">
        <v>525.29499999999996</v>
      </c>
      <c r="BC201" s="323"/>
      <c r="BD201" s="186">
        <v>0</v>
      </c>
      <c r="BE201" s="186">
        <f t="shared" si="330"/>
        <v>100</v>
      </c>
      <c r="BF201" s="186">
        <f t="shared" si="331"/>
        <v>0</v>
      </c>
      <c r="BG201" s="323"/>
      <c r="BH201" s="323"/>
      <c r="BI201" s="186">
        <f t="shared" si="332"/>
        <v>0</v>
      </c>
      <c r="BJ201" s="186">
        <f t="shared" si="323"/>
        <v>0</v>
      </c>
      <c r="BK201" s="323"/>
      <c r="BL201" s="323"/>
      <c r="BM201" s="323"/>
      <c r="BN201" s="323"/>
      <c r="BO201" s="186">
        <v>0</v>
      </c>
      <c r="BP201" s="284">
        <f t="shared" si="333"/>
        <v>0</v>
      </c>
      <c r="BQ201" s="323"/>
      <c r="BR201" s="323"/>
      <c r="BS201" s="323"/>
      <c r="BT201" s="323"/>
      <c r="BU201" s="323"/>
      <c r="BV201" s="323"/>
      <c r="BW201" s="323"/>
      <c r="BX201" s="186">
        <v>0</v>
      </c>
      <c r="BY201" s="285"/>
      <c r="BZ201" s="286">
        <f t="shared" si="334"/>
        <v>0</v>
      </c>
      <c r="CA201" s="324"/>
      <c r="CB201" s="324"/>
      <c r="CC201" s="324"/>
      <c r="CD201" s="187">
        <v>0</v>
      </c>
      <c r="CE201" s="286">
        <f t="shared" si="335"/>
        <v>0</v>
      </c>
      <c r="CF201" s="324"/>
      <c r="CG201" s="324"/>
      <c r="CH201" s="324"/>
      <c r="CI201" s="187"/>
      <c r="CJ201" s="288"/>
      <c r="CK201" s="288"/>
      <c r="CL201" s="288"/>
      <c r="CM201" s="288"/>
      <c r="CN201" s="288"/>
      <c r="CO201" s="187">
        <f t="shared" si="336"/>
        <v>0</v>
      </c>
      <c r="CP201" s="184"/>
      <c r="CQ201" s="184" t="s">
        <v>488</v>
      </c>
      <c r="CR201" s="289"/>
      <c r="CS201" s="289"/>
      <c r="CT201" s="291"/>
      <c r="CU201" s="160"/>
    </row>
    <row r="202" spans="1:99" ht="39" hidden="1" customHeight="1" outlineLevel="1">
      <c r="A202" s="183">
        <v>8</v>
      </c>
      <c r="B202" s="326" t="s">
        <v>3511</v>
      </c>
      <c r="C202" s="183" t="s">
        <v>304</v>
      </c>
      <c r="D202" s="184" t="s">
        <v>3512</v>
      </c>
      <c r="E202" s="183" t="s">
        <v>3509</v>
      </c>
      <c r="F202" s="183" t="s">
        <v>49</v>
      </c>
      <c r="G202" s="183" t="s">
        <v>48</v>
      </c>
      <c r="H202" s="183">
        <v>8048933</v>
      </c>
      <c r="I202" s="184" t="s">
        <v>311</v>
      </c>
      <c r="J202" s="183" t="s">
        <v>49</v>
      </c>
      <c r="K202" s="183" t="s">
        <v>3513</v>
      </c>
      <c r="L202" s="183" t="s">
        <v>54</v>
      </c>
      <c r="M202" s="183">
        <v>2023</v>
      </c>
      <c r="N202" s="305"/>
      <c r="O202" s="305" t="s">
        <v>3514</v>
      </c>
      <c r="P202" s="323">
        <v>8982</v>
      </c>
      <c r="Q202" s="323">
        <v>6820</v>
      </c>
      <c r="R202" s="323"/>
      <c r="S202" s="323">
        <v>2162</v>
      </c>
      <c r="T202" s="186">
        <v>0</v>
      </c>
      <c r="U202" s="186"/>
      <c r="V202" s="282" t="s">
        <v>3513</v>
      </c>
      <c r="W202" s="282" t="s">
        <v>3434</v>
      </c>
      <c r="X202" s="282" t="s">
        <v>311</v>
      </c>
      <c r="Y202" s="283"/>
      <c r="Z202" s="283"/>
      <c r="AA202" s="283"/>
      <c r="AB202" s="283"/>
      <c r="AC202" s="186">
        <f t="shared" si="324"/>
        <v>8722.5930000000008</v>
      </c>
      <c r="AD202" s="323">
        <v>6820</v>
      </c>
      <c r="AE202" s="323"/>
      <c r="AF202" s="186">
        <f t="shared" si="325"/>
        <v>1902.5930000000001</v>
      </c>
      <c r="AG202" s="303">
        <f t="shared" si="255"/>
        <v>0</v>
      </c>
      <c r="AH202" s="323"/>
      <c r="AI202" s="323"/>
      <c r="AJ202" s="323">
        <v>1902.5930000000001</v>
      </c>
      <c r="AK202" s="323"/>
      <c r="AL202" s="186">
        <v>0</v>
      </c>
      <c r="AM202" s="186">
        <f t="shared" si="326"/>
        <v>8722.5930000000008</v>
      </c>
      <c r="AN202" s="323">
        <v>6820</v>
      </c>
      <c r="AO202" s="323"/>
      <c r="AP202" s="186">
        <f t="shared" si="327"/>
        <v>1902.5930000000001</v>
      </c>
      <c r="AQ202" s="323"/>
      <c r="AR202" s="323"/>
      <c r="AS202" s="323">
        <v>1902.5930000000001</v>
      </c>
      <c r="AT202" s="323"/>
      <c r="AU202" s="186">
        <v>0</v>
      </c>
      <c r="AV202" s="186">
        <f t="shared" si="328"/>
        <v>8714.5930000000008</v>
      </c>
      <c r="AW202" s="323">
        <v>6812</v>
      </c>
      <c r="AX202" s="323"/>
      <c r="AY202" s="186">
        <f t="shared" si="329"/>
        <v>1902.5930000000001</v>
      </c>
      <c r="AZ202" s="323"/>
      <c r="BA202" s="323"/>
      <c r="BB202" s="323">
        <v>1902.5930000000001</v>
      </c>
      <c r="BC202" s="323"/>
      <c r="BD202" s="186">
        <v>0</v>
      </c>
      <c r="BE202" s="186">
        <f t="shared" si="330"/>
        <v>99.908284153576815</v>
      </c>
      <c r="BF202" s="186">
        <f t="shared" si="331"/>
        <v>2808</v>
      </c>
      <c r="BG202" s="323">
        <v>2808</v>
      </c>
      <c r="BH202" s="323"/>
      <c r="BI202" s="186">
        <f t="shared" si="332"/>
        <v>0</v>
      </c>
      <c r="BJ202" s="186">
        <f t="shared" si="323"/>
        <v>0</v>
      </c>
      <c r="BK202" s="323"/>
      <c r="BL202" s="323"/>
      <c r="BM202" s="323"/>
      <c r="BN202" s="323"/>
      <c r="BO202" s="186">
        <v>0</v>
      </c>
      <c r="BP202" s="284">
        <f t="shared" si="333"/>
        <v>2291.2608829999999</v>
      </c>
      <c r="BQ202" s="323">
        <v>2291.2608829999999</v>
      </c>
      <c r="BR202" s="323"/>
      <c r="BS202" s="323"/>
      <c r="BT202" s="323"/>
      <c r="BU202" s="323"/>
      <c r="BV202" s="323"/>
      <c r="BW202" s="323"/>
      <c r="BX202" s="186">
        <v>0</v>
      </c>
      <c r="BY202" s="285">
        <f>BP202/BF202*100</f>
        <v>81.59760979344729</v>
      </c>
      <c r="BZ202" s="286">
        <f t="shared" si="334"/>
        <v>0</v>
      </c>
      <c r="CA202" s="324"/>
      <c r="CB202" s="324"/>
      <c r="CC202" s="324"/>
      <c r="CD202" s="187">
        <v>0</v>
      </c>
      <c r="CE202" s="286">
        <f t="shared" si="335"/>
        <v>0</v>
      </c>
      <c r="CF202" s="324"/>
      <c r="CG202" s="324"/>
      <c r="CH202" s="324"/>
      <c r="CI202" s="187"/>
      <c r="CJ202" s="288"/>
      <c r="CK202" s="288"/>
      <c r="CL202" s="288"/>
      <c r="CM202" s="288"/>
      <c r="CN202" s="288"/>
      <c r="CO202" s="187">
        <f t="shared" si="336"/>
        <v>516.73911700000008</v>
      </c>
      <c r="CP202" s="184"/>
      <c r="CQ202" s="184"/>
      <c r="CR202" s="289" t="s">
        <v>3087</v>
      </c>
      <c r="CS202" s="289"/>
      <c r="CT202" s="291"/>
      <c r="CU202" s="160"/>
    </row>
    <row r="203" spans="1:99" ht="39" hidden="1" customHeight="1" outlineLevel="1">
      <c r="A203" s="183">
        <v>9</v>
      </c>
      <c r="B203" s="326" t="s">
        <v>3515</v>
      </c>
      <c r="C203" s="183" t="s">
        <v>304</v>
      </c>
      <c r="D203" s="184" t="s">
        <v>3516</v>
      </c>
      <c r="E203" s="183" t="s">
        <v>3509</v>
      </c>
      <c r="F203" s="183" t="s">
        <v>49</v>
      </c>
      <c r="G203" s="183" t="s">
        <v>48</v>
      </c>
      <c r="H203" s="183">
        <v>8048934</v>
      </c>
      <c r="I203" s="184" t="s">
        <v>311</v>
      </c>
      <c r="J203" s="183" t="s">
        <v>49</v>
      </c>
      <c r="K203" s="183" t="s">
        <v>3517</v>
      </c>
      <c r="L203" s="183" t="s">
        <v>54</v>
      </c>
      <c r="M203" s="183">
        <v>2023</v>
      </c>
      <c r="N203" s="305"/>
      <c r="O203" s="305" t="s">
        <v>3518</v>
      </c>
      <c r="P203" s="323">
        <v>9992</v>
      </c>
      <c r="Q203" s="323">
        <f>8178+265</f>
        <v>8443</v>
      </c>
      <c r="R203" s="323"/>
      <c r="S203" s="323">
        <f>P203-Q203</f>
        <v>1549</v>
      </c>
      <c r="T203" s="186">
        <v>0</v>
      </c>
      <c r="U203" s="186"/>
      <c r="V203" s="282" t="s">
        <v>3517</v>
      </c>
      <c r="W203" s="282" t="s">
        <v>3519</v>
      </c>
      <c r="X203" s="282" t="s">
        <v>311</v>
      </c>
      <c r="Y203" s="283"/>
      <c r="Z203" s="283"/>
      <c r="AA203" s="283"/>
      <c r="AB203" s="283"/>
      <c r="AC203" s="186">
        <f t="shared" si="324"/>
        <v>9786</v>
      </c>
      <c r="AD203" s="323">
        <f>8178+265</f>
        <v>8443</v>
      </c>
      <c r="AE203" s="323"/>
      <c r="AF203" s="186">
        <f t="shared" si="325"/>
        <v>1343</v>
      </c>
      <c r="AG203" s="303">
        <f t="shared" si="255"/>
        <v>0</v>
      </c>
      <c r="AH203" s="323"/>
      <c r="AI203" s="323"/>
      <c r="AJ203" s="323">
        <v>1343</v>
      </c>
      <c r="AK203" s="323"/>
      <c r="AL203" s="186">
        <v>0</v>
      </c>
      <c r="AM203" s="186">
        <f t="shared" si="326"/>
        <v>9786</v>
      </c>
      <c r="AN203" s="323">
        <f>8178+265</f>
        <v>8443</v>
      </c>
      <c r="AO203" s="323"/>
      <c r="AP203" s="186">
        <f t="shared" si="327"/>
        <v>1343</v>
      </c>
      <c r="AQ203" s="323"/>
      <c r="AR203" s="323"/>
      <c r="AS203" s="323">
        <v>1343</v>
      </c>
      <c r="AT203" s="323"/>
      <c r="AU203" s="186">
        <v>0</v>
      </c>
      <c r="AV203" s="186">
        <f t="shared" si="328"/>
        <v>9450</v>
      </c>
      <c r="AW203" s="323">
        <v>8107</v>
      </c>
      <c r="AX203" s="323"/>
      <c r="AY203" s="186">
        <f t="shared" si="329"/>
        <v>1343</v>
      </c>
      <c r="AZ203" s="323"/>
      <c r="BA203" s="323"/>
      <c r="BB203" s="323">
        <v>1343</v>
      </c>
      <c r="BC203" s="323"/>
      <c r="BD203" s="186">
        <v>0</v>
      </c>
      <c r="BE203" s="186">
        <f t="shared" si="330"/>
        <v>96.566523605150209</v>
      </c>
      <c r="BF203" s="186">
        <f t="shared" si="331"/>
        <v>2971</v>
      </c>
      <c r="BG203" s="323">
        <v>2971</v>
      </c>
      <c r="BH203" s="323"/>
      <c r="BI203" s="186">
        <f t="shared" si="332"/>
        <v>0</v>
      </c>
      <c r="BJ203" s="186">
        <f t="shared" si="323"/>
        <v>0</v>
      </c>
      <c r="BK203" s="323"/>
      <c r="BL203" s="323"/>
      <c r="BM203" s="323"/>
      <c r="BN203" s="323"/>
      <c r="BO203" s="186">
        <v>0</v>
      </c>
      <c r="BP203" s="284">
        <f t="shared" si="333"/>
        <v>2601.2507529999998</v>
      </c>
      <c r="BQ203" s="323">
        <v>2601.2507529999998</v>
      </c>
      <c r="BR203" s="323"/>
      <c r="BS203" s="323"/>
      <c r="BT203" s="323"/>
      <c r="BU203" s="323"/>
      <c r="BV203" s="323"/>
      <c r="BW203" s="323"/>
      <c r="BX203" s="186">
        <v>0</v>
      </c>
      <c r="BY203" s="285">
        <f>BP203/BF203*100</f>
        <v>87.554720733759666</v>
      </c>
      <c r="BZ203" s="286">
        <f t="shared" si="334"/>
        <v>0</v>
      </c>
      <c r="CA203" s="324"/>
      <c r="CB203" s="324"/>
      <c r="CC203" s="324"/>
      <c r="CD203" s="187">
        <v>0</v>
      </c>
      <c r="CE203" s="286">
        <f t="shared" si="335"/>
        <v>0</v>
      </c>
      <c r="CF203" s="324"/>
      <c r="CG203" s="324"/>
      <c r="CH203" s="324"/>
      <c r="CI203" s="187"/>
      <c r="CJ203" s="288"/>
      <c r="CK203" s="288"/>
      <c r="CL203" s="288"/>
      <c r="CM203" s="288"/>
      <c r="CN203" s="288"/>
      <c r="CO203" s="187">
        <f t="shared" si="336"/>
        <v>369.7492470000002</v>
      </c>
      <c r="CP203" s="184"/>
      <c r="CQ203" s="184"/>
      <c r="CR203" s="289" t="s">
        <v>3087</v>
      </c>
      <c r="CS203" s="289"/>
      <c r="CT203" s="291"/>
      <c r="CU203" s="160"/>
    </row>
    <row r="204" spans="1:99" ht="39" hidden="1" customHeight="1" outlineLevel="1">
      <c r="A204" s="183">
        <v>10</v>
      </c>
      <c r="B204" s="321" t="s">
        <v>3520</v>
      </c>
      <c r="C204" s="183" t="s">
        <v>304</v>
      </c>
      <c r="D204" s="184" t="s">
        <v>3521</v>
      </c>
      <c r="E204" s="183" t="s">
        <v>3509</v>
      </c>
      <c r="F204" s="183" t="s">
        <v>49</v>
      </c>
      <c r="G204" s="183" t="s">
        <v>48</v>
      </c>
      <c r="H204" s="183"/>
      <c r="I204" s="184" t="s">
        <v>311</v>
      </c>
      <c r="J204" s="183" t="s">
        <v>49</v>
      </c>
      <c r="K204" s="183" t="s">
        <v>3462</v>
      </c>
      <c r="L204" s="183" t="s">
        <v>54</v>
      </c>
      <c r="M204" s="183">
        <v>2023</v>
      </c>
      <c r="N204" s="305"/>
      <c r="O204" s="305" t="s">
        <v>3522</v>
      </c>
      <c r="P204" s="320">
        <v>6377</v>
      </c>
      <c r="Q204" s="323">
        <v>5157</v>
      </c>
      <c r="R204" s="323"/>
      <c r="S204" s="323">
        <v>1220</v>
      </c>
      <c r="T204" s="186">
        <v>0</v>
      </c>
      <c r="U204" s="186"/>
      <c r="V204" s="282" t="s">
        <v>3462</v>
      </c>
      <c r="W204" s="282" t="s">
        <v>3462</v>
      </c>
      <c r="X204" s="282" t="s">
        <v>311</v>
      </c>
      <c r="Y204" s="283"/>
      <c r="Z204" s="283"/>
      <c r="AA204" s="283"/>
      <c r="AB204" s="283"/>
      <c r="AC204" s="186">
        <f t="shared" si="324"/>
        <v>6377</v>
      </c>
      <c r="AD204" s="323">
        <v>5157</v>
      </c>
      <c r="AE204" s="323"/>
      <c r="AF204" s="186">
        <f t="shared" si="325"/>
        <v>1220</v>
      </c>
      <c r="AG204" s="303">
        <f t="shared" si="255"/>
        <v>0</v>
      </c>
      <c r="AH204" s="323"/>
      <c r="AI204" s="323"/>
      <c r="AJ204" s="323">
        <v>1220</v>
      </c>
      <c r="AK204" s="323"/>
      <c r="AL204" s="186">
        <v>0</v>
      </c>
      <c r="AM204" s="186">
        <f t="shared" si="326"/>
        <v>6377</v>
      </c>
      <c r="AN204" s="323">
        <v>5157</v>
      </c>
      <c r="AO204" s="323"/>
      <c r="AP204" s="186">
        <f t="shared" si="327"/>
        <v>1220</v>
      </c>
      <c r="AQ204" s="323"/>
      <c r="AR204" s="323"/>
      <c r="AS204" s="323">
        <v>1220</v>
      </c>
      <c r="AT204" s="323"/>
      <c r="AU204" s="186">
        <v>0</v>
      </c>
      <c r="AV204" s="186">
        <f t="shared" si="328"/>
        <v>6377</v>
      </c>
      <c r="AW204" s="323">
        <v>5157</v>
      </c>
      <c r="AX204" s="323"/>
      <c r="AY204" s="186">
        <f t="shared" si="329"/>
        <v>1220</v>
      </c>
      <c r="AZ204" s="323"/>
      <c r="BA204" s="323"/>
      <c r="BB204" s="323">
        <v>1220</v>
      </c>
      <c r="BC204" s="323"/>
      <c r="BD204" s="186">
        <v>0</v>
      </c>
      <c r="BE204" s="186">
        <f t="shared" si="330"/>
        <v>100</v>
      </c>
      <c r="BF204" s="186">
        <f t="shared" si="331"/>
        <v>0</v>
      </c>
      <c r="BG204" s="323"/>
      <c r="BH204" s="323"/>
      <c r="BI204" s="186">
        <f t="shared" si="332"/>
        <v>0</v>
      </c>
      <c r="BJ204" s="186">
        <f t="shared" si="323"/>
        <v>0</v>
      </c>
      <c r="BK204" s="323"/>
      <c r="BL204" s="323"/>
      <c r="BM204" s="323"/>
      <c r="BN204" s="323"/>
      <c r="BO204" s="186">
        <v>0</v>
      </c>
      <c r="BP204" s="284">
        <f t="shared" si="333"/>
        <v>0</v>
      </c>
      <c r="BQ204" s="323"/>
      <c r="BR204" s="323"/>
      <c r="BS204" s="323"/>
      <c r="BT204" s="323"/>
      <c r="BU204" s="323"/>
      <c r="BV204" s="323"/>
      <c r="BW204" s="323"/>
      <c r="BX204" s="186">
        <v>0</v>
      </c>
      <c r="BY204" s="285"/>
      <c r="BZ204" s="286">
        <f t="shared" si="334"/>
        <v>0</v>
      </c>
      <c r="CA204" s="324"/>
      <c r="CB204" s="324"/>
      <c r="CC204" s="324"/>
      <c r="CD204" s="187">
        <v>0</v>
      </c>
      <c r="CE204" s="286">
        <f t="shared" si="335"/>
        <v>0</v>
      </c>
      <c r="CF204" s="324"/>
      <c r="CG204" s="324"/>
      <c r="CH204" s="324"/>
      <c r="CI204" s="187"/>
      <c r="CJ204" s="288"/>
      <c r="CK204" s="288"/>
      <c r="CL204" s="288"/>
      <c r="CM204" s="288"/>
      <c r="CN204" s="288"/>
      <c r="CO204" s="187">
        <f t="shared" si="336"/>
        <v>0</v>
      </c>
      <c r="CP204" s="184"/>
      <c r="CQ204" s="184" t="s">
        <v>488</v>
      </c>
      <c r="CR204" s="289"/>
      <c r="CS204" s="289"/>
      <c r="CT204" s="291"/>
      <c r="CU204" s="160"/>
    </row>
    <row r="205" spans="1:99" ht="39" hidden="1" customHeight="1" outlineLevel="1">
      <c r="A205" s="183">
        <v>11</v>
      </c>
      <c r="B205" s="321" t="s">
        <v>3523</v>
      </c>
      <c r="C205" s="183" t="s">
        <v>304</v>
      </c>
      <c r="D205" s="184" t="s">
        <v>3524</v>
      </c>
      <c r="E205" s="183" t="s">
        <v>3525</v>
      </c>
      <c r="F205" s="183" t="s">
        <v>49</v>
      </c>
      <c r="G205" s="183" t="s">
        <v>1122</v>
      </c>
      <c r="H205" s="183"/>
      <c r="I205" s="184" t="s">
        <v>3062</v>
      </c>
      <c r="J205" s="183" t="s">
        <v>49</v>
      </c>
      <c r="K205" s="327" t="s">
        <v>3526</v>
      </c>
      <c r="L205" s="322" t="s">
        <v>910</v>
      </c>
      <c r="M205" s="322">
        <v>2023</v>
      </c>
      <c r="N205" s="305"/>
      <c r="O205" s="305" t="s">
        <v>3527</v>
      </c>
      <c r="P205" s="320">
        <v>896.60898099999997</v>
      </c>
      <c r="Q205" s="323">
        <v>845</v>
      </c>
      <c r="R205" s="323"/>
      <c r="S205" s="323">
        <v>51.608980999999972</v>
      </c>
      <c r="T205" s="186">
        <v>0</v>
      </c>
      <c r="U205" s="186"/>
      <c r="V205" s="305" t="s">
        <v>3526</v>
      </c>
      <c r="W205" s="305" t="s">
        <v>3528</v>
      </c>
      <c r="X205" s="282" t="s">
        <v>3062</v>
      </c>
      <c r="Y205" s="283"/>
      <c r="Z205" s="283"/>
      <c r="AA205" s="283"/>
      <c r="AB205" s="283"/>
      <c r="AC205" s="186">
        <f t="shared" si="324"/>
        <v>887.67499999999995</v>
      </c>
      <c r="AD205" s="323">
        <v>845</v>
      </c>
      <c r="AE205" s="283"/>
      <c r="AF205" s="186">
        <f t="shared" si="325"/>
        <v>42.674999999999997</v>
      </c>
      <c r="AG205" s="303">
        <f t="shared" si="255"/>
        <v>0</v>
      </c>
      <c r="AH205" s="283"/>
      <c r="AI205" s="283"/>
      <c r="AJ205" s="283">
        <v>42.674999999999997</v>
      </c>
      <c r="AK205" s="283"/>
      <c r="AL205" s="186">
        <v>0</v>
      </c>
      <c r="AM205" s="186">
        <f t="shared" si="326"/>
        <v>887.67499999999995</v>
      </c>
      <c r="AN205" s="323">
        <v>845</v>
      </c>
      <c r="AO205" s="283"/>
      <c r="AP205" s="186">
        <f t="shared" si="327"/>
        <v>42.674999999999997</v>
      </c>
      <c r="AQ205" s="283"/>
      <c r="AR205" s="283"/>
      <c r="AS205" s="283">
        <v>42.674999999999997</v>
      </c>
      <c r="AT205" s="283"/>
      <c r="AU205" s="186">
        <v>0</v>
      </c>
      <c r="AV205" s="186">
        <f t="shared" si="328"/>
        <v>887.67499999999995</v>
      </c>
      <c r="AW205" s="323">
        <v>845</v>
      </c>
      <c r="AX205" s="283"/>
      <c r="AY205" s="186">
        <f t="shared" si="329"/>
        <v>42.674999999999997</v>
      </c>
      <c r="AZ205" s="283"/>
      <c r="BA205" s="283"/>
      <c r="BB205" s="283">
        <v>42.674999999999997</v>
      </c>
      <c r="BC205" s="283"/>
      <c r="BD205" s="186">
        <v>0</v>
      </c>
      <c r="BE205" s="186">
        <f t="shared" si="330"/>
        <v>100</v>
      </c>
      <c r="BF205" s="186">
        <f t="shared" si="331"/>
        <v>0</v>
      </c>
      <c r="BG205" s="323"/>
      <c r="BH205" s="283"/>
      <c r="BI205" s="186">
        <f t="shared" si="332"/>
        <v>0</v>
      </c>
      <c r="BJ205" s="186">
        <f t="shared" si="323"/>
        <v>0</v>
      </c>
      <c r="BK205" s="283"/>
      <c r="BL205" s="283"/>
      <c r="BM205" s="283"/>
      <c r="BN205" s="283"/>
      <c r="BO205" s="186">
        <v>0</v>
      </c>
      <c r="BP205" s="284">
        <f t="shared" si="333"/>
        <v>0</v>
      </c>
      <c r="BQ205" s="323"/>
      <c r="BR205" s="283"/>
      <c r="BS205" s="283"/>
      <c r="BT205" s="283"/>
      <c r="BU205" s="283"/>
      <c r="BV205" s="283"/>
      <c r="BW205" s="283"/>
      <c r="BX205" s="186">
        <v>0</v>
      </c>
      <c r="BY205" s="285"/>
      <c r="BZ205" s="286">
        <f t="shared" si="334"/>
        <v>0</v>
      </c>
      <c r="CA205" s="324"/>
      <c r="CB205" s="287"/>
      <c r="CC205" s="287"/>
      <c r="CD205" s="187"/>
      <c r="CE205" s="286">
        <f t="shared" si="335"/>
        <v>0</v>
      </c>
      <c r="CF205" s="324"/>
      <c r="CG205" s="287"/>
      <c r="CH205" s="287"/>
      <c r="CI205" s="187"/>
      <c r="CJ205" s="288"/>
      <c r="CK205" s="288"/>
      <c r="CL205" s="288"/>
      <c r="CM205" s="288"/>
      <c r="CN205" s="288"/>
      <c r="CO205" s="187">
        <f t="shared" si="336"/>
        <v>0</v>
      </c>
      <c r="CP205" s="184"/>
      <c r="CQ205" s="184" t="s">
        <v>488</v>
      </c>
      <c r="CR205" s="280" t="s">
        <v>3529</v>
      </c>
      <c r="CS205" s="280"/>
      <c r="CT205" s="291"/>
      <c r="CU205" s="160"/>
    </row>
    <row r="206" spans="1:99" ht="39" hidden="1" customHeight="1" outlineLevel="1">
      <c r="A206" s="183">
        <v>12</v>
      </c>
      <c r="B206" s="328" t="s">
        <v>3530</v>
      </c>
      <c r="C206" s="183" t="s">
        <v>304</v>
      </c>
      <c r="D206" s="184" t="s">
        <v>3531</v>
      </c>
      <c r="E206" s="329" t="s">
        <v>3190</v>
      </c>
      <c r="F206" s="183" t="s">
        <v>49</v>
      </c>
      <c r="G206" s="329" t="s">
        <v>3049</v>
      </c>
      <c r="H206" s="329"/>
      <c r="I206" s="184" t="s">
        <v>3062</v>
      </c>
      <c r="J206" s="183" t="s">
        <v>49</v>
      </c>
      <c r="K206" s="329" t="s">
        <v>3532</v>
      </c>
      <c r="L206" s="183">
        <v>2024</v>
      </c>
      <c r="M206" s="183">
        <v>2023</v>
      </c>
      <c r="N206" s="305"/>
      <c r="O206" s="305" t="s">
        <v>3533</v>
      </c>
      <c r="P206" s="323">
        <v>2195</v>
      </c>
      <c r="Q206" s="323">
        <v>1995</v>
      </c>
      <c r="R206" s="323"/>
      <c r="S206" s="323">
        <v>200</v>
      </c>
      <c r="T206" s="186">
        <v>0</v>
      </c>
      <c r="U206" s="186"/>
      <c r="V206" s="305" t="s">
        <v>3532</v>
      </c>
      <c r="W206" s="305" t="s">
        <v>3534</v>
      </c>
      <c r="X206" s="282" t="s">
        <v>3062</v>
      </c>
      <c r="Y206" s="283"/>
      <c r="Z206" s="283"/>
      <c r="AA206" s="283"/>
      <c r="AB206" s="283"/>
      <c r="AC206" s="186">
        <f t="shared" si="324"/>
        <v>2195</v>
      </c>
      <c r="AD206" s="323">
        <v>1995</v>
      </c>
      <c r="AE206" s="323"/>
      <c r="AF206" s="186">
        <f t="shared" si="325"/>
        <v>200</v>
      </c>
      <c r="AG206" s="303">
        <f t="shared" si="255"/>
        <v>0</v>
      </c>
      <c r="AH206" s="323"/>
      <c r="AI206" s="323"/>
      <c r="AJ206" s="323">
        <v>200</v>
      </c>
      <c r="AK206" s="323"/>
      <c r="AL206" s="186">
        <v>0</v>
      </c>
      <c r="AM206" s="186">
        <f t="shared" si="326"/>
        <v>2195</v>
      </c>
      <c r="AN206" s="323">
        <v>1995</v>
      </c>
      <c r="AO206" s="323"/>
      <c r="AP206" s="186">
        <f t="shared" si="327"/>
        <v>200</v>
      </c>
      <c r="AQ206" s="323"/>
      <c r="AR206" s="323"/>
      <c r="AS206" s="323">
        <v>200</v>
      </c>
      <c r="AT206" s="323"/>
      <c r="AU206" s="186">
        <v>0</v>
      </c>
      <c r="AV206" s="186">
        <f t="shared" si="328"/>
        <v>2195</v>
      </c>
      <c r="AW206" s="323">
        <v>1995</v>
      </c>
      <c r="AX206" s="323"/>
      <c r="AY206" s="186">
        <f t="shared" si="329"/>
        <v>200</v>
      </c>
      <c r="AZ206" s="323"/>
      <c r="BA206" s="323"/>
      <c r="BB206" s="323">
        <v>200</v>
      </c>
      <c r="BC206" s="323"/>
      <c r="BD206" s="186">
        <v>0</v>
      </c>
      <c r="BE206" s="186">
        <f t="shared" si="330"/>
        <v>100</v>
      </c>
      <c r="BF206" s="186">
        <f t="shared" si="331"/>
        <v>0</v>
      </c>
      <c r="BG206" s="323"/>
      <c r="BH206" s="323"/>
      <c r="BI206" s="186">
        <f t="shared" si="332"/>
        <v>0</v>
      </c>
      <c r="BJ206" s="186">
        <f t="shared" si="323"/>
        <v>0</v>
      </c>
      <c r="BK206" s="323"/>
      <c r="BL206" s="323"/>
      <c r="BM206" s="323"/>
      <c r="BN206" s="323"/>
      <c r="BO206" s="186">
        <v>0</v>
      </c>
      <c r="BP206" s="284">
        <f t="shared" si="333"/>
        <v>0</v>
      </c>
      <c r="BQ206" s="323"/>
      <c r="BR206" s="323"/>
      <c r="BS206" s="323"/>
      <c r="BT206" s="323"/>
      <c r="BU206" s="323"/>
      <c r="BV206" s="323"/>
      <c r="BW206" s="323"/>
      <c r="BX206" s="186">
        <v>0</v>
      </c>
      <c r="BY206" s="285"/>
      <c r="BZ206" s="286">
        <f t="shared" si="334"/>
        <v>0</v>
      </c>
      <c r="CA206" s="324"/>
      <c r="CB206" s="324"/>
      <c r="CC206" s="324"/>
      <c r="CD206" s="187"/>
      <c r="CE206" s="286">
        <f t="shared" si="335"/>
        <v>0</v>
      </c>
      <c r="CF206" s="324"/>
      <c r="CG206" s="324"/>
      <c r="CH206" s="324"/>
      <c r="CI206" s="187"/>
      <c r="CJ206" s="288"/>
      <c r="CK206" s="288"/>
      <c r="CL206" s="288"/>
      <c r="CM206" s="288"/>
      <c r="CN206" s="288"/>
      <c r="CO206" s="187">
        <f t="shared" si="336"/>
        <v>0</v>
      </c>
      <c r="CP206" s="184"/>
      <c r="CQ206" s="184" t="s">
        <v>488</v>
      </c>
      <c r="CR206" s="280" t="s">
        <v>3529</v>
      </c>
      <c r="CS206" s="280"/>
      <c r="CT206" s="291"/>
      <c r="CU206" s="160"/>
    </row>
    <row r="207" spans="1:99" ht="50.25" hidden="1" customHeight="1" outlineLevel="1">
      <c r="A207" s="183">
        <v>13</v>
      </c>
      <c r="B207" s="326" t="s">
        <v>3535</v>
      </c>
      <c r="C207" s="183" t="s">
        <v>304</v>
      </c>
      <c r="D207" s="184" t="s">
        <v>3536</v>
      </c>
      <c r="E207" s="330" t="s">
        <v>3537</v>
      </c>
      <c r="F207" s="183" t="s">
        <v>49</v>
      </c>
      <c r="G207" s="183" t="s">
        <v>55</v>
      </c>
      <c r="H207" s="183">
        <v>8110517</v>
      </c>
      <c r="I207" s="184" t="s">
        <v>311</v>
      </c>
      <c r="J207" s="183" t="s">
        <v>49</v>
      </c>
      <c r="K207" s="322" t="s">
        <v>3538</v>
      </c>
      <c r="L207" s="322" t="s">
        <v>84</v>
      </c>
      <c r="M207" s="322">
        <v>2024</v>
      </c>
      <c r="N207" s="305"/>
      <c r="O207" s="305" t="s">
        <v>3539</v>
      </c>
      <c r="P207" s="320">
        <v>2000</v>
      </c>
      <c r="Q207" s="323">
        <v>200</v>
      </c>
      <c r="R207" s="323"/>
      <c r="S207" s="323">
        <v>1800</v>
      </c>
      <c r="T207" s="186">
        <v>0</v>
      </c>
      <c r="U207" s="186"/>
      <c r="V207" s="305" t="s">
        <v>3538</v>
      </c>
      <c r="W207" s="305" t="s">
        <v>3069</v>
      </c>
      <c r="X207" s="282" t="s">
        <v>311</v>
      </c>
      <c r="Y207" s="283"/>
      <c r="Z207" s="283"/>
      <c r="AA207" s="283"/>
      <c r="AB207" s="283"/>
      <c r="AC207" s="186">
        <f t="shared" si="324"/>
        <v>2000</v>
      </c>
      <c r="AD207" s="323">
        <v>200</v>
      </c>
      <c r="AE207" s="323"/>
      <c r="AF207" s="186">
        <f t="shared" si="325"/>
        <v>1800</v>
      </c>
      <c r="AG207" s="303">
        <f t="shared" si="255"/>
        <v>0</v>
      </c>
      <c r="AH207" s="323"/>
      <c r="AI207" s="323"/>
      <c r="AJ207" s="323">
        <v>1800</v>
      </c>
      <c r="AK207" s="323"/>
      <c r="AL207" s="186">
        <v>0</v>
      </c>
      <c r="AM207" s="186">
        <f t="shared" si="326"/>
        <v>1935</v>
      </c>
      <c r="AN207" s="323">
        <v>200</v>
      </c>
      <c r="AO207" s="323"/>
      <c r="AP207" s="186">
        <f t="shared" si="327"/>
        <v>1735</v>
      </c>
      <c r="AQ207" s="323"/>
      <c r="AR207" s="323"/>
      <c r="AS207" s="323">
        <v>1735</v>
      </c>
      <c r="AT207" s="323"/>
      <c r="AU207" s="186">
        <v>0</v>
      </c>
      <c r="AV207" s="186">
        <f t="shared" si="328"/>
        <v>1755.5819799999999</v>
      </c>
      <c r="AW207" s="323">
        <v>200</v>
      </c>
      <c r="AX207" s="323"/>
      <c r="AY207" s="186">
        <f t="shared" si="329"/>
        <v>1555.5819799999999</v>
      </c>
      <c r="AZ207" s="323"/>
      <c r="BA207" s="323"/>
      <c r="BB207" s="323">
        <f>1735-179.41802</f>
        <v>1555.5819799999999</v>
      </c>
      <c r="BC207" s="323"/>
      <c r="BD207" s="186">
        <v>0</v>
      </c>
      <c r="BE207" s="186">
        <f t="shared" si="330"/>
        <v>90.727750904392764</v>
      </c>
      <c r="BF207" s="186">
        <f t="shared" si="331"/>
        <v>1735</v>
      </c>
      <c r="BG207" s="323"/>
      <c r="BH207" s="323"/>
      <c r="BI207" s="186">
        <f t="shared" si="332"/>
        <v>1735</v>
      </c>
      <c r="BJ207" s="186">
        <f t="shared" si="323"/>
        <v>0</v>
      </c>
      <c r="BK207" s="323"/>
      <c r="BL207" s="323"/>
      <c r="BM207" s="323">
        <v>1735</v>
      </c>
      <c r="BN207" s="323"/>
      <c r="BO207" s="186">
        <v>0</v>
      </c>
      <c r="BP207" s="284">
        <f t="shared" si="333"/>
        <v>1664.674485</v>
      </c>
      <c r="BQ207" s="323"/>
      <c r="BR207" s="323"/>
      <c r="BS207" s="284">
        <f t="shared" ref="BS207:BS208" si="337">SUM(BT207:BW207)</f>
        <v>1664.674485</v>
      </c>
      <c r="BT207" s="323"/>
      <c r="BU207" s="323"/>
      <c r="BV207" s="108">
        <v>1664.674485</v>
      </c>
      <c r="BW207" s="323"/>
      <c r="BX207" s="186">
        <v>0</v>
      </c>
      <c r="BY207" s="285">
        <f t="shared" ref="BY207:BY230" si="338">BP207/BF207*100</f>
        <v>95.946656195965417</v>
      </c>
      <c r="BZ207" s="286">
        <f t="shared" si="334"/>
        <v>0</v>
      </c>
      <c r="CA207" s="324"/>
      <c r="CB207" s="324"/>
      <c r="CC207" s="324"/>
      <c r="CD207" s="187"/>
      <c r="CE207" s="286">
        <f t="shared" si="335"/>
        <v>0</v>
      </c>
      <c r="CF207" s="324"/>
      <c r="CG207" s="324"/>
      <c r="CH207" s="324"/>
      <c r="CI207" s="187"/>
      <c r="CJ207" s="288"/>
      <c r="CK207" s="288"/>
      <c r="CL207" s="288"/>
      <c r="CM207" s="288"/>
      <c r="CN207" s="288"/>
      <c r="CO207" s="187">
        <f t="shared" si="336"/>
        <v>70.325514999999996</v>
      </c>
      <c r="CP207" s="184"/>
      <c r="CQ207" s="184"/>
      <c r="CR207" s="289" t="s">
        <v>3087</v>
      </c>
      <c r="CS207" s="289"/>
      <c r="CT207" s="291"/>
      <c r="CU207" s="160"/>
    </row>
    <row r="208" spans="1:99" ht="57" hidden="1" customHeight="1" outlineLevel="1">
      <c r="A208" s="183">
        <v>14</v>
      </c>
      <c r="B208" s="326" t="s">
        <v>3540</v>
      </c>
      <c r="C208" s="183" t="s">
        <v>304</v>
      </c>
      <c r="D208" s="184" t="s">
        <v>3541</v>
      </c>
      <c r="E208" s="330" t="s">
        <v>3537</v>
      </c>
      <c r="F208" s="183" t="s">
        <v>49</v>
      </c>
      <c r="G208" s="183" t="s">
        <v>55</v>
      </c>
      <c r="H208" s="183">
        <v>8106572</v>
      </c>
      <c r="I208" s="184" t="s">
        <v>311</v>
      </c>
      <c r="J208" s="183" t="s">
        <v>49</v>
      </c>
      <c r="K208" s="322" t="s">
        <v>3542</v>
      </c>
      <c r="L208" s="322" t="s">
        <v>84</v>
      </c>
      <c r="M208" s="322">
        <v>2024</v>
      </c>
      <c r="N208" s="305"/>
      <c r="O208" s="305" t="s">
        <v>3543</v>
      </c>
      <c r="P208" s="320">
        <v>1365</v>
      </c>
      <c r="Q208" s="323">
        <v>200</v>
      </c>
      <c r="R208" s="323"/>
      <c r="S208" s="323">
        <v>1165</v>
      </c>
      <c r="T208" s="186">
        <v>0</v>
      </c>
      <c r="U208" s="186"/>
      <c r="V208" s="305" t="s">
        <v>3542</v>
      </c>
      <c r="W208" s="305" t="s">
        <v>3069</v>
      </c>
      <c r="X208" s="282" t="s">
        <v>311</v>
      </c>
      <c r="Y208" s="283"/>
      <c r="Z208" s="283"/>
      <c r="AA208" s="283"/>
      <c r="AB208" s="283"/>
      <c r="AC208" s="186">
        <f t="shared" si="324"/>
        <v>1365</v>
      </c>
      <c r="AD208" s="323">
        <v>200</v>
      </c>
      <c r="AE208" s="323"/>
      <c r="AF208" s="186">
        <f t="shared" si="325"/>
        <v>1165</v>
      </c>
      <c r="AG208" s="303">
        <f t="shared" si="255"/>
        <v>0</v>
      </c>
      <c r="AH208" s="323"/>
      <c r="AI208" s="323"/>
      <c r="AJ208" s="323">
        <v>1165</v>
      </c>
      <c r="AK208" s="323"/>
      <c r="AL208" s="186">
        <v>0</v>
      </c>
      <c r="AM208" s="186">
        <f t="shared" si="326"/>
        <v>1302</v>
      </c>
      <c r="AN208" s="323">
        <v>200</v>
      </c>
      <c r="AO208" s="323"/>
      <c r="AP208" s="186">
        <f t="shared" si="327"/>
        <v>1102</v>
      </c>
      <c r="AQ208" s="323"/>
      <c r="AR208" s="323"/>
      <c r="AS208" s="323">
        <v>1102</v>
      </c>
      <c r="AT208" s="323"/>
      <c r="AU208" s="186">
        <v>0</v>
      </c>
      <c r="AV208" s="186">
        <f t="shared" si="328"/>
        <v>1232.1856740000001</v>
      </c>
      <c r="AW208" s="323">
        <v>200</v>
      </c>
      <c r="AX208" s="323"/>
      <c r="AY208" s="186">
        <f t="shared" si="329"/>
        <v>1032.1856740000001</v>
      </c>
      <c r="AZ208" s="323"/>
      <c r="BA208" s="323"/>
      <c r="BB208" s="323">
        <f>1102-69.814326</f>
        <v>1032.1856740000001</v>
      </c>
      <c r="BC208" s="323"/>
      <c r="BD208" s="186">
        <v>0</v>
      </c>
      <c r="BE208" s="186">
        <f t="shared" si="330"/>
        <v>94.63791658986176</v>
      </c>
      <c r="BF208" s="186">
        <f t="shared" si="331"/>
        <v>1102</v>
      </c>
      <c r="BG208" s="323"/>
      <c r="BH208" s="323"/>
      <c r="BI208" s="186">
        <f t="shared" si="332"/>
        <v>1102</v>
      </c>
      <c r="BJ208" s="186">
        <f t="shared" si="323"/>
        <v>0</v>
      </c>
      <c r="BK208" s="323"/>
      <c r="BL208" s="323"/>
      <c r="BM208" s="323">
        <v>1102</v>
      </c>
      <c r="BN208" s="323"/>
      <c r="BO208" s="186">
        <v>0</v>
      </c>
      <c r="BP208" s="284">
        <f t="shared" si="333"/>
        <v>1037.5856739999999</v>
      </c>
      <c r="BQ208" s="323"/>
      <c r="BR208" s="323"/>
      <c r="BS208" s="284">
        <f t="shared" si="337"/>
        <v>1037.5856739999999</v>
      </c>
      <c r="BT208" s="323"/>
      <c r="BU208" s="323"/>
      <c r="BV208" s="108">
        <f>1102-64.414326</f>
        <v>1037.5856739999999</v>
      </c>
      <c r="BW208" s="323"/>
      <c r="BX208" s="186">
        <v>0</v>
      </c>
      <c r="BY208" s="285">
        <f t="shared" si="338"/>
        <v>94.154779854809433</v>
      </c>
      <c r="BZ208" s="286">
        <f t="shared" si="334"/>
        <v>0</v>
      </c>
      <c r="CA208" s="324"/>
      <c r="CB208" s="324"/>
      <c r="CC208" s="324"/>
      <c r="CD208" s="187"/>
      <c r="CE208" s="286">
        <f t="shared" si="335"/>
        <v>0</v>
      </c>
      <c r="CF208" s="324"/>
      <c r="CG208" s="324"/>
      <c r="CH208" s="324"/>
      <c r="CI208" s="187"/>
      <c r="CJ208" s="288"/>
      <c r="CK208" s="288"/>
      <c r="CL208" s="288"/>
      <c r="CM208" s="288"/>
      <c r="CN208" s="288"/>
      <c r="CO208" s="187">
        <f t="shared" si="336"/>
        <v>64.414326000000074</v>
      </c>
      <c r="CP208" s="184"/>
      <c r="CQ208" s="184"/>
      <c r="CR208" s="289" t="s">
        <v>3087</v>
      </c>
      <c r="CS208" s="289"/>
      <c r="CT208" s="291"/>
      <c r="CU208" s="160"/>
    </row>
    <row r="209" spans="1:99" ht="57" hidden="1" customHeight="1" outlineLevel="1">
      <c r="A209" s="183">
        <v>15</v>
      </c>
      <c r="B209" s="326" t="s">
        <v>3544</v>
      </c>
      <c r="C209" s="183" t="s">
        <v>304</v>
      </c>
      <c r="D209" s="184" t="s">
        <v>3545</v>
      </c>
      <c r="E209" s="330" t="s">
        <v>3039</v>
      </c>
      <c r="F209" s="183" t="s">
        <v>49</v>
      </c>
      <c r="G209" s="183"/>
      <c r="H209" s="183"/>
      <c r="I209" s="184"/>
      <c r="J209" s="183" t="s">
        <v>49</v>
      </c>
      <c r="K209" s="322"/>
      <c r="L209" s="331">
        <v>2023</v>
      </c>
      <c r="M209" s="331">
        <v>2023</v>
      </c>
      <c r="N209" s="305"/>
      <c r="O209" s="305" t="s">
        <v>3546</v>
      </c>
      <c r="P209" s="320">
        <v>13593.272726000001</v>
      </c>
      <c r="Q209" s="320">
        <v>1520.2845</v>
      </c>
      <c r="R209" s="320">
        <v>0</v>
      </c>
      <c r="S209" s="320">
        <v>272.40957900000001</v>
      </c>
      <c r="T209" s="320">
        <v>11201.877146999999</v>
      </c>
      <c r="U209" s="186"/>
      <c r="V209" s="305"/>
      <c r="W209" s="305"/>
      <c r="X209" s="282"/>
      <c r="Y209" s="283"/>
      <c r="Z209" s="283"/>
      <c r="AA209" s="283"/>
      <c r="AB209" s="283"/>
      <c r="AC209" s="186">
        <f>SUM(AC210:AC216)</f>
        <v>1792.6940789999999</v>
      </c>
      <c r="AD209" s="186">
        <f t="shared" ref="AD209:BL209" si="339">SUM(AD210:AD216)</f>
        <v>1520.2845</v>
      </c>
      <c r="AE209" s="186">
        <f t="shared" si="339"/>
        <v>0</v>
      </c>
      <c r="AF209" s="186">
        <f t="shared" si="339"/>
        <v>272.40957900000001</v>
      </c>
      <c r="AG209" s="303">
        <f t="shared" si="255"/>
        <v>0</v>
      </c>
      <c r="AH209" s="186">
        <f t="shared" si="339"/>
        <v>0</v>
      </c>
      <c r="AI209" s="186">
        <f t="shared" si="339"/>
        <v>0</v>
      </c>
      <c r="AJ209" s="186">
        <f>SUM(AJ210:AJ216)</f>
        <v>272.40957900000001</v>
      </c>
      <c r="AK209" s="186">
        <f t="shared" si="339"/>
        <v>0</v>
      </c>
      <c r="AL209" s="186">
        <f t="shared" si="339"/>
        <v>11201.877146999999</v>
      </c>
      <c r="AM209" s="186">
        <f t="shared" si="339"/>
        <v>1700.7565</v>
      </c>
      <c r="AN209" s="186">
        <f t="shared" si="339"/>
        <v>1520.2845</v>
      </c>
      <c r="AO209" s="186">
        <f t="shared" si="339"/>
        <v>0</v>
      </c>
      <c r="AP209" s="186">
        <f t="shared" si="339"/>
        <v>180.47200000000001</v>
      </c>
      <c r="AQ209" s="186">
        <f t="shared" si="339"/>
        <v>0</v>
      </c>
      <c r="AR209" s="186">
        <f t="shared" si="339"/>
        <v>0</v>
      </c>
      <c r="AS209" s="186">
        <f t="shared" si="339"/>
        <v>180.47200000000001</v>
      </c>
      <c r="AT209" s="186">
        <f t="shared" si="339"/>
        <v>0</v>
      </c>
      <c r="AU209" s="186">
        <f t="shared" si="339"/>
        <v>11201.877146999999</v>
      </c>
      <c r="AV209" s="186">
        <f t="shared" si="339"/>
        <v>1700.7565</v>
      </c>
      <c r="AW209" s="186">
        <f t="shared" si="339"/>
        <v>1520.2845</v>
      </c>
      <c r="AX209" s="186">
        <f t="shared" si="339"/>
        <v>0</v>
      </c>
      <c r="AY209" s="186">
        <f t="shared" si="339"/>
        <v>180.47200000000001</v>
      </c>
      <c r="AZ209" s="186">
        <f t="shared" si="339"/>
        <v>0</v>
      </c>
      <c r="BA209" s="186">
        <f t="shared" si="339"/>
        <v>0</v>
      </c>
      <c r="BB209" s="186">
        <f t="shared" si="339"/>
        <v>180.47200000000001</v>
      </c>
      <c r="BC209" s="186">
        <f t="shared" si="339"/>
        <v>0</v>
      </c>
      <c r="BD209" s="186">
        <f t="shared" si="339"/>
        <v>11201.877146999999</v>
      </c>
      <c r="BE209" s="332">
        <f t="shared" si="330"/>
        <v>100</v>
      </c>
      <c r="BF209" s="186">
        <f t="shared" si="339"/>
        <v>0</v>
      </c>
      <c r="BG209" s="186">
        <f t="shared" si="339"/>
        <v>0</v>
      </c>
      <c r="BH209" s="186">
        <f t="shared" si="339"/>
        <v>0</v>
      </c>
      <c r="BI209" s="186">
        <f t="shared" si="339"/>
        <v>0</v>
      </c>
      <c r="BJ209" s="186">
        <f t="shared" si="323"/>
        <v>0</v>
      </c>
      <c r="BK209" s="186">
        <f t="shared" si="339"/>
        <v>0</v>
      </c>
      <c r="BL209" s="186">
        <f t="shared" si="339"/>
        <v>0</v>
      </c>
      <c r="BM209" s="186">
        <f>SUM(BM210:BM216)</f>
        <v>0</v>
      </c>
      <c r="BN209" s="186">
        <f t="shared" ref="BN209:BX209" si="340">SUM(BN210:BN216)</f>
        <v>0</v>
      </c>
      <c r="BO209" s="284">
        <f t="shared" si="340"/>
        <v>0</v>
      </c>
      <c r="BP209" s="284">
        <f t="shared" si="340"/>
        <v>0</v>
      </c>
      <c r="BQ209" s="284">
        <f t="shared" si="340"/>
        <v>0</v>
      </c>
      <c r="BR209" s="284">
        <f t="shared" si="340"/>
        <v>0</v>
      </c>
      <c r="BS209" s="284">
        <f t="shared" si="340"/>
        <v>0</v>
      </c>
      <c r="BT209" s="284">
        <f t="shared" si="340"/>
        <v>0</v>
      </c>
      <c r="BU209" s="284">
        <f t="shared" si="340"/>
        <v>0</v>
      </c>
      <c r="BV209" s="284">
        <f t="shared" si="340"/>
        <v>0</v>
      </c>
      <c r="BW209" s="284">
        <f t="shared" si="340"/>
        <v>0</v>
      </c>
      <c r="BX209" s="284">
        <f t="shared" si="340"/>
        <v>0</v>
      </c>
      <c r="BY209" s="285"/>
      <c r="BZ209" s="286"/>
      <c r="CA209" s="324"/>
      <c r="CB209" s="324"/>
      <c r="CC209" s="324"/>
      <c r="CD209" s="187"/>
      <c r="CE209" s="286"/>
      <c r="CF209" s="324"/>
      <c r="CG209" s="324"/>
      <c r="CH209" s="324"/>
      <c r="CI209" s="187"/>
      <c r="CJ209" s="288"/>
      <c r="CK209" s="288"/>
      <c r="CL209" s="288"/>
      <c r="CM209" s="288"/>
      <c r="CN209" s="288"/>
      <c r="CO209" s="187"/>
      <c r="CP209" s="184"/>
      <c r="CQ209" s="184"/>
      <c r="CR209" s="289"/>
      <c r="CS209" s="289"/>
      <c r="CT209" s="291"/>
      <c r="CU209" s="160"/>
    </row>
    <row r="210" spans="1:99" ht="39" hidden="1" customHeight="1" outlineLevel="1">
      <c r="A210" s="333" t="s">
        <v>45</v>
      </c>
      <c r="B210" s="497" t="s">
        <v>3547</v>
      </c>
      <c r="C210" s="334" t="s">
        <v>304</v>
      </c>
      <c r="D210" s="335" t="s">
        <v>3545</v>
      </c>
      <c r="E210" s="498" t="s">
        <v>3069</v>
      </c>
      <c r="F210" s="334" t="s">
        <v>49</v>
      </c>
      <c r="G210" s="336" t="s">
        <v>3049</v>
      </c>
      <c r="H210" s="336"/>
      <c r="I210" s="335" t="s">
        <v>3062</v>
      </c>
      <c r="J210" s="334" t="s">
        <v>49</v>
      </c>
      <c r="K210" s="336" t="s">
        <v>3069</v>
      </c>
      <c r="L210" s="331"/>
      <c r="M210" s="331"/>
      <c r="N210" s="337"/>
      <c r="O210" s="337"/>
      <c r="P210" s="338"/>
      <c r="Q210" s="338"/>
      <c r="R210" s="338"/>
      <c r="S210" s="332"/>
      <c r="T210" s="332"/>
      <c r="U210" s="332"/>
      <c r="V210" s="337" t="s">
        <v>3069</v>
      </c>
      <c r="W210" s="337" t="s">
        <v>3069</v>
      </c>
      <c r="X210" s="339" t="s">
        <v>3062</v>
      </c>
      <c r="Y210" s="340"/>
      <c r="Z210" s="340"/>
      <c r="AA210" s="340"/>
      <c r="AB210" s="340"/>
      <c r="AC210" s="332">
        <f t="shared" ref="AC210:AC216" si="341">AD210+AE210+AF210</f>
        <v>332.89136399999995</v>
      </c>
      <c r="AD210" s="338">
        <v>298.17399999999998</v>
      </c>
      <c r="AE210" s="338"/>
      <c r="AF210" s="186">
        <f t="shared" si="325"/>
        <v>34.717364000000003</v>
      </c>
      <c r="AG210" s="303">
        <f t="shared" si="255"/>
        <v>0</v>
      </c>
      <c r="AH210" s="338"/>
      <c r="AI210" s="338"/>
      <c r="AJ210" s="332">
        <v>34.717364000000003</v>
      </c>
      <c r="AK210" s="338"/>
      <c r="AL210" s="332">
        <v>1619.637888</v>
      </c>
      <c r="AM210" s="332">
        <f t="shared" ref="AM210:AM216" si="342">AN210+AO210+AP210</f>
        <v>320.245</v>
      </c>
      <c r="AN210" s="338">
        <v>298.17399999999998</v>
      </c>
      <c r="AO210" s="338"/>
      <c r="AP210" s="332">
        <f t="shared" ref="AP210:AP216" si="343">SUM(AQ210:AT210)</f>
        <v>22.071000000000002</v>
      </c>
      <c r="AQ210" s="338"/>
      <c r="AR210" s="338"/>
      <c r="AS210" s="338">
        <v>22.071000000000002</v>
      </c>
      <c r="AT210" s="338"/>
      <c r="AU210" s="332">
        <v>1619.637888</v>
      </c>
      <c r="AV210" s="332">
        <f t="shared" ref="AV210:AV216" si="344">AW210+AX210+AY210</f>
        <v>320.245</v>
      </c>
      <c r="AW210" s="338">
        <v>298.17399999999998</v>
      </c>
      <c r="AX210" s="338"/>
      <c r="AY210" s="332">
        <f t="shared" ref="AY210:AY216" si="345">SUM(AZ210:BC210)</f>
        <v>22.071000000000002</v>
      </c>
      <c r="AZ210" s="338"/>
      <c r="BA210" s="338"/>
      <c r="BB210" s="338">
        <v>22.071000000000002</v>
      </c>
      <c r="BC210" s="338"/>
      <c r="BD210" s="332">
        <v>1619.637888</v>
      </c>
      <c r="BE210" s="332">
        <f t="shared" si="330"/>
        <v>100</v>
      </c>
      <c r="BF210" s="332">
        <f t="shared" ref="BF210:BF216" si="346">BG210+BH210+BI210</f>
        <v>0</v>
      </c>
      <c r="BG210" s="338"/>
      <c r="BH210" s="338"/>
      <c r="BI210" s="332"/>
      <c r="BJ210" s="332"/>
      <c r="BK210" s="338"/>
      <c r="BL210" s="338"/>
      <c r="BM210" s="338"/>
      <c r="BN210" s="338"/>
      <c r="BO210" s="332"/>
      <c r="BP210" s="341">
        <f t="shared" ref="BP210:BP216" si="347">BQ210+BR210+BS210</f>
        <v>0</v>
      </c>
      <c r="BQ210" s="338"/>
      <c r="BR210" s="338"/>
      <c r="BS210" s="338"/>
      <c r="BT210" s="338"/>
      <c r="BU210" s="338"/>
      <c r="BV210" s="338"/>
      <c r="BW210" s="338"/>
      <c r="BX210" s="332"/>
      <c r="BY210" s="342" t="e">
        <f t="shared" ref="BY210:BY216" si="348">BP210/BF210*100</f>
        <v>#DIV/0!</v>
      </c>
      <c r="BZ210" s="343">
        <f t="shared" ref="BZ210:BZ216" si="349">CA210+CC210+CD210</f>
        <v>0</v>
      </c>
      <c r="CA210" s="344"/>
      <c r="CB210" s="344"/>
      <c r="CC210" s="344"/>
      <c r="CD210" s="345"/>
      <c r="CE210" s="343">
        <f t="shared" ref="CE210:CE216" si="350">CF210+CH210+CI210</f>
        <v>0</v>
      </c>
      <c r="CF210" s="344"/>
      <c r="CG210" s="344"/>
      <c r="CH210" s="344"/>
      <c r="CI210" s="345"/>
      <c r="CJ210" s="346"/>
      <c r="CK210" s="346"/>
      <c r="CL210" s="346"/>
      <c r="CM210" s="346"/>
      <c r="CN210" s="346"/>
      <c r="CO210" s="345">
        <f t="shared" ref="CO210:CO216" si="351">BF210-BP210</f>
        <v>0</v>
      </c>
      <c r="CP210" s="335"/>
      <c r="CQ210" s="335"/>
      <c r="CR210" s="347"/>
      <c r="CS210" s="347"/>
      <c r="CT210" s="319"/>
      <c r="CU210" s="156"/>
    </row>
    <row r="211" spans="1:99" ht="39" hidden="1" customHeight="1" outlineLevel="1">
      <c r="A211" s="333" t="s">
        <v>45</v>
      </c>
      <c r="B211" s="497" t="s">
        <v>3548</v>
      </c>
      <c r="C211" s="334" t="s">
        <v>304</v>
      </c>
      <c r="D211" s="335" t="s">
        <v>3545</v>
      </c>
      <c r="E211" s="498" t="s">
        <v>3084</v>
      </c>
      <c r="F211" s="334" t="s">
        <v>49</v>
      </c>
      <c r="G211" s="336"/>
      <c r="H211" s="336"/>
      <c r="I211" s="335" t="s">
        <v>3062</v>
      </c>
      <c r="J211" s="334" t="s">
        <v>49</v>
      </c>
      <c r="K211" s="336" t="s">
        <v>3084</v>
      </c>
      <c r="L211" s="331"/>
      <c r="M211" s="331"/>
      <c r="N211" s="337"/>
      <c r="O211" s="337"/>
      <c r="P211" s="338"/>
      <c r="Q211" s="338"/>
      <c r="R211" s="338"/>
      <c r="S211" s="332"/>
      <c r="T211" s="332"/>
      <c r="U211" s="332"/>
      <c r="V211" s="337" t="s">
        <v>3084</v>
      </c>
      <c r="W211" s="337" t="s">
        <v>3069</v>
      </c>
      <c r="X211" s="339" t="s">
        <v>3062</v>
      </c>
      <c r="Y211" s="340"/>
      <c r="Z211" s="340"/>
      <c r="AA211" s="340"/>
      <c r="AB211" s="340"/>
      <c r="AC211" s="332">
        <f t="shared" si="341"/>
        <v>386.06978300000003</v>
      </c>
      <c r="AD211" s="338">
        <v>314.3</v>
      </c>
      <c r="AE211" s="338"/>
      <c r="AF211" s="186">
        <f t="shared" si="325"/>
        <v>71.769783000000004</v>
      </c>
      <c r="AG211" s="303">
        <f t="shared" si="255"/>
        <v>0</v>
      </c>
      <c r="AH211" s="338"/>
      <c r="AI211" s="338"/>
      <c r="AJ211" s="332">
        <v>71.769783000000004</v>
      </c>
      <c r="AK211" s="338"/>
      <c r="AL211" s="332">
        <v>3371.904</v>
      </c>
      <c r="AM211" s="332">
        <f t="shared" si="342"/>
        <v>355.76900000000001</v>
      </c>
      <c r="AN211" s="338">
        <v>314.3</v>
      </c>
      <c r="AO211" s="338"/>
      <c r="AP211" s="332">
        <f t="shared" si="343"/>
        <v>41.469000000000001</v>
      </c>
      <c r="AQ211" s="338"/>
      <c r="AR211" s="338"/>
      <c r="AS211" s="338">
        <v>41.469000000000001</v>
      </c>
      <c r="AT211" s="338"/>
      <c r="AU211" s="332">
        <v>3371.904</v>
      </c>
      <c r="AV211" s="332">
        <f t="shared" si="344"/>
        <v>355.76900000000001</v>
      </c>
      <c r="AW211" s="338">
        <v>314.3</v>
      </c>
      <c r="AX211" s="338"/>
      <c r="AY211" s="332">
        <f t="shared" si="345"/>
        <v>41.469000000000001</v>
      </c>
      <c r="AZ211" s="338"/>
      <c r="BA211" s="338"/>
      <c r="BB211" s="338">
        <v>41.469000000000001</v>
      </c>
      <c r="BC211" s="338"/>
      <c r="BD211" s="332">
        <v>3371.904</v>
      </c>
      <c r="BE211" s="332">
        <f t="shared" si="330"/>
        <v>100</v>
      </c>
      <c r="BF211" s="332"/>
      <c r="BG211" s="338"/>
      <c r="BH211" s="338"/>
      <c r="BI211" s="332"/>
      <c r="BJ211" s="332"/>
      <c r="BK211" s="338"/>
      <c r="BL211" s="338"/>
      <c r="BM211" s="338"/>
      <c r="BN211" s="338"/>
      <c r="BO211" s="332"/>
      <c r="BP211" s="341"/>
      <c r="BQ211" s="338"/>
      <c r="BR211" s="338"/>
      <c r="BS211" s="338"/>
      <c r="BT211" s="338"/>
      <c r="BU211" s="338"/>
      <c r="BV211" s="338"/>
      <c r="BW211" s="338"/>
      <c r="BX211" s="332"/>
      <c r="BY211" s="342"/>
      <c r="BZ211" s="343"/>
      <c r="CA211" s="344"/>
      <c r="CB211" s="344"/>
      <c r="CC211" s="344"/>
      <c r="CD211" s="345"/>
      <c r="CE211" s="343"/>
      <c r="CF211" s="344"/>
      <c r="CG211" s="344"/>
      <c r="CH211" s="344"/>
      <c r="CI211" s="345"/>
      <c r="CJ211" s="346"/>
      <c r="CK211" s="346"/>
      <c r="CL211" s="346"/>
      <c r="CM211" s="346"/>
      <c r="CN211" s="346"/>
      <c r="CO211" s="345"/>
      <c r="CP211" s="335"/>
      <c r="CQ211" s="335"/>
      <c r="CR211" s="347"/>
      <c r="CS211" s="347"/>
      <c r="CT211" s="319"/>
      <c r="CU211" s="156"/>
    </row>
    <row r="212" spans="1:99" ht="39" hidden="1" customHeight="1" outlineLevel="1">
      <c r="A212" s="333" t="s">
        <v>45</v>
      </c>
      <c r="B212" s="497" t="s">
        <v>3549</v>
      </c>
      <c r="C212" s="334" t="s">
        <v>304</v>
      </c>
      <c r="D212" s="335" t="s">
        <v>3545</v>
      </c>
      <c r="E212" s="498" t="s">
        <v>3367</v>
      </c>
      <c r="F212" s="334" t="s">
        <v>49</v>
      </c>
      <c r="G212" s="336"/>
      <c r="H212" s="336"/>
      <c r="I212" s="335" t="s">
        <v>3360</v>
      </c>
      <c r="J212" s="334" t="s">
        <v>49</v>
      </c>
      <c r="K212" s="336" t="s">
        <v>3367</v>
      </c>
      <c r="L212" s="331"/>
      <c r="M212" s="331"/>
      <c r="N212" s="337"/>
      <c r="O212" s="337"/>
      <c r="P212" s="338"/>
      <c r="Q212" s="338"/>
      <c r="R212" s="338"/>
      <c r="S212" s="332"/>
      <c r="T212" s="332"/>
      <c r="U212" s="332"/>
      <c r="V212" s="337" t="s">
        <v>3367</v>
      </c>
      <c r="W212" s="337" t="s">
        <v>3364</v>
      </c>
      <c r="X212" s="339" t="s">
        <v>3360</v>
      </c>
      <c r="Y212" s="340"/>
      <c r="Z212" s="340"/>
      <c r="AA212" s="340"/>
      <c r="AB212" s="340"/>
      <c r="AC212" s="332">
        <f t="shared" si="341"/>
        <v>247.54433</v>
      </c>
      <c r="AD212" s="338">
        <v>205.15</v>
      </c>
      <c r="AE212" s="338"/>
      <c r="AF212" s="186">
        <f t="shared" si="325"/>
        <v>42.394329999999997</v>
      </c>
      <c r="AG212" s="303">
        <f t="shared" si="255"/>
        <v>0</v>
      </c>
      <c r="AH212" s="338"/>
      <c r="AI212" s="338"/>
      <c r="AJ212" s="332">
        <v>42.394329999999997</v>
      </c>
      <c r="AK212" s="338"/>
      <c r="AL212" s="332">
        <v>2051.2415999999998</v>
      </c>
      <c r="AM212" s="332">
        <f t="shared" si="342"/>
        <v>231.53700000000001</v>
      </c>
      <c r="AN212" s="338">
        <v>205.15</v>
      </c>
      <c r="AO212" s="338"/>
      <c r="AP212" s="332">
        <f t="shared" si="343"/>
        <v>26.387</v>
      </c>
      <c r="AQ212" s="338"/>
      <c r="AR212" s="338"/>
      <c r="AS212" s="338">
        <v>26.387</v>
      </c>
      <c r="AT212" s="338"/>
      <c r="AU212" s="332">
        <v>2051.2415999999998</v>
      </c>
      <c r="AV212" s="332">
        <f t="shared" si="344"/>
        <v>231.53700000000001</v>
      </c>
      <c r="AW212" s="338">
        <v>205.15</v>
      </c>
      <c r="AX212" s="338"/>
      <c r="AY212" s="332">
        <f t="shared" si="345"/>
        <v>26.387</v>
      </c>
      <c r="AZ212" s="338"/>
      <c r="BA212" s="338"/>
      <c r="BB212" s="338">
        <v>26.387</v>
      </c>
      <c r="BC212" s="338"/>
      <c r="BD212" s="332">
        <v>2051.2415999999998</v>
      </c>
      <c r="BE212" s="332">
        <f t="shared" si="330"/>
        <v>100</v>
      </c>
      <c r="BF212" s="332"/>
      <c r="BG212" s="338"/>
      <c r="BH212" s="338"/>
      <c r="BI212" s="332"/>
      <c r="BJ212" s="332"/>
      <c r="BK212" s="338"/>
      <c r="BL212" s="338"/>
      <c r="BM212" s="338"/>
      <c r="BN212" s="338"/>
      <c r="BO212" s="332"/>
      <c r="BP212" s="341"/>
      <c r="BQ212" s="338"/>
      <c r="BR212" s="338"/>
      <c r="BS212" s="338"/>
      <c r="BT212" s="338"/>
      <c r="BU212" s="338"/>
      <c r="BV212" s="338"/>
      <c r="BW212" s="338"/>
      <c r="BX212" s="332"/>
      <c r="BY212" s="342"/>
      <c r="BZ212" s="343"/>
      <c r="CA212" s="344"/>
      <c r="CB212" s="344"/>
      <c r="CC212" s="344"/>
      <c r="CD212" s="345"/>
      <c r="CE212" s="343"/>
      <c r="CF212" s="344"/>
      <c r="CG212" s="344"/>
      <c r="CH212" s="344"/>
      <c r="CI212" s="345"/>
      <c r="CJ212" s="346"/>
      <c r="CK212" s="346"/>
      <c r="CL212" s="346"/>
      <c r="CM212" s="346"/>
      <c r="CN212" s="346"/>
      <c r="CO212" s="345"/>
      <c r="CP212" s="335"/>
      <c r="CQ212" s="335"/>
      <c r="CR212" s="347"/>
      <c r="CS212" s="347"/>
      <c r="CT212" s="319"/>
      <c r="CU212" s="156"/>
    </row>
    <row r="213" spans="1:99" ht="39" hidden="1" customHeight="1" outlineLevel="1">
      <c r="A213" s="333" t="s">
        <v>45</v>
      </c>
      <c r="B213" s="497" t="s">
        <v>3550</v>
      </c>
      <c r="C213" s="334" t="s">
        <v>304</v>
      </c>
      <c r="D213" s="335" t="s">
        <v>3545</v>
      </c>
      <c r="E213" s="498" t="s">
        <v>3364</v>
      </c>
      <c r="F213" s="334" t="s">
        <v>49</v>
      </c>
      <c r="G213" s="336"/>
      <c r="H213" s="336"/>
      <c r="I213" s="335" t="s">
        <v>3360</v>
      </c>
      <c r="J213" s="334" t="s">
        <v>49</v>
      </c>
      <c r="K213" s="336" t="s">
        <v>3364</v>
      </c>
      <c r="L213" s="331"/>
      <c r="M213" s="331"/>
      <c r="N213" s="337"/>
      <c r="O213" s="337"/>
      <c r="P213" s="338"/>
      <c r="Q213" s="338"/>
      <c r="R213" s="338"/>
      <c r="S213" s="332"/>
      <c r="T213" s="332"/>
      <c r="U213" s="332"/>
      <c r="V213" s="337" t="s">
        <v>3364</v>
      </c>
      <c r="W213" s="337" t="s">
        <v>3364</v>
      </c>
      <c r="X213" s="339" t="s">
        <v>3360</v>
      </c>
      <c r="Y213" s="340"/>
      <c r="Z213" s="340"/>
      <c r="AA213" s="340"/>
      <c r="AB213" s="340"/>
      <c r="AC213" s="332">
        <f t="shared" si="341"/>
        <v>15.264702</v>
      </c>
      <c r="AD213" s="338"/>
      <c r="AE213" s="338"/>
      <c r="AF213" s="186">
        <f t="shared" si="325"/>
        <v>15.264702</v>
      </c>
      <c r="AG213" s="303">
        <f t="shared" si="255"/>
        <v>0</v>
      </c>
      <c r="AH213" s="338"/>
      <c r="AI213" s="338"/>
      <c r="AJ213" s="332">
        <v>15.264702</v>
      </c>
      <c r="AK213" s="338"/>
      <c r="AL213" s="332">
        <v>314.71104000000003</v>
      </c>
      <c r="AM213" s="332">
        <f t="shared" si="342"/>
        <v>12.795</v>
      </c>
      <c r="AN213" s="338"/>
      <c r="AO213" s="338"/>
      <c r="AP213" s="332">
        <f t="shared" si="343"/>
        <v>12.795</v>
      </c>
      <c r="AQ213" s="338"/>
      <c r="AR213" s="338"/>
      <c r="AS213" s="338">
        <v>12.795</v>
      </c>
      <c r="AT213" s="338"/>
      <c r="AU213" s="332">
        <v>314.71104000000003</v>
      </c>
      <c r="AV213" s="332">
        <f t="shared" si="344"/>
        <v>12.795</v>
      </c>
      <c r="AW213" s="338"/>
      <c r="AX213" s="338"/>
      <c r="AY213" s="332">
        <f t="shared" si="345"/>
        <v>12.795</v>
      </c>
      <c r="AZ213" s="338"/>
      <c r="BA213" s="338"/>
      <c r="BB213" s="338">
        <v>12.795</v>
      </c>
      <c r="BC213" s="338"/>
      <c r="BD213" s="332">
        <v>314.71104000000003</v>
      </c>
      <c r="BE213" s="332">
        <f t="shared" si="330"/>
        <v>100</v>
      </c>
      <c r="BF213" s="332"/>
      <c r="BG213" s="338"/>
      <c r="BH213" s="338"/>
      <c r="BI213" s="332"/>
      <c r="BJ213" s="332"/>
      <c r="BK213" s="338"/>
      <c r="BL213" s="338"/>
      <c r="BM213" s="338"/>
      <c r="BN213" s="338"/>
      <c r="BO213" s="332"/>
      <c r="BP213" s="341"/>
      <c r="BQ213" s="338"/>
      <c r="BR213" s="338"/>
      <c r="BS213" s="338"/>
      <c r="BT213" s="338"/>
      <c r="BU213" s="338"/>
      <c r="BV213" s="338"/>
      <c r="BW213" s="338"/>
      <c r="BX213" s="332"/>
      <c r="BY213" s="342"/>
      <c r="BZ213" s="343"/>
      <c r="CA213" s="344"/>
      <c r="CB213" s="344"/>
      <c r="CC213" s="344"/>
      <c r="CD213" s="345"/>
      <c r="CE213" s="343"/>
      <c r="CF213" s="344"/>
      <c r="CG213" s="344"/>
      <c r="CH213" s="344"/>
      <c r="CI213" s="345"/>
      <c r="CJ213" s="346"/>
      <c r="CK213" s="346"/>
      <c r="CL213" s="346"/>
      <c r="CM213" s="346"/>
      <c r="CN213" s="346"/>
      <c r="CO213" s="345"/>
      <c r="CP213" s="335"/>
      <c r="CQ213" s="335"/>
      <c r="CR213" s="347"/>
      <c r="CS213" s="347"/>
      <c r="CT213" s="319"/>
      <c r="CU213" s="156"/>
    </row>
    <row r="214" spans="1:99" ht="39" hidden="1" customHeight="1" outlineLevel="1">
      <c r="A214" s="333" t="s">
        <v>45</v>
      </c>
      <c r="B214" s="497" t="s">
        <v>3551</v>
      </c>
      <c r="C214" s="334" t="s">
        <v>304</v>
      </c>
      <c r="D214" s="335" t="s">
        <v>3545</v>
      </c>
      <c r="E214" s="498" t="s">
        <v>3434</v>
      </c>
      <c r="F214" s="334" t="s">
        <v>49</v>
      </c>
      <c r="G214" s="336" t="s">
        <v>3049</v>
      </c>
      <c r="H214" s="336"/>
      <c r="I214" s="335" t="s">
        <v>3433</v>
      </c>
      <c r="J214" s="334" t="s">
        <v>49</v>
      </c>
      <c r="K214" s="336" t="s">
        <v>3434</v>
      </c>
      <c r="L214" s="331"/>
      <c r="M214" s="331"/>
      <c r="N214" s="337"/>
      <c r="O214" s="337"/>
      <c r="P214" s="338"/>
      <c r="Q214" s="338"/>
      <c r="R214" s="338"/>
      <c r="S214" s="332"/>
      <c r="T214" s="332"/>
      <c r="U214" s="332"/>
      <c r="V214" s="337" t="s">
        <v>3434</v>
      </c>
      <c r="W214" s="337" t="s">
        <v>3434</v>
      </c>
      <c r="X214" s="339" t="s">
        <v>3433</v>
      </c>
      <c r="Y214" s="340"/>
      <c r="Z214" s="340"/>
      <c r="AA214" s="340"/>
      <c r="AB214" s="340"/>
      <c r="AC214" s="332">
        <f t="shared" si="341"/>
        <v>347.24935799999997</v>
      </c>
      <c r="AD214" s="338">
        <v>288.99849999999998</v>
      </c>
      <c r="AE214" s="338"/>
      <c r="AF214" s="186">
        <f t="shared" si="325"/>
        <v>58.250858000000001</v>
      </c>
      <c r="AG214" s="303">
        <f t="shared" si="255"/>
        <v>0</v>
      </c>
      <c r="AH214" s="338"/>
      <c r="AI214" s="338"/>
      <c r="AJ214" s="332">
        <v>58.250858000000001</v>
      </c>
      <c r="AK214" s="338"/>
      <c r="AL214" s="332">
        <v>1727.5287920000001</v>
      </c>
      <c r="AM214" s="332">
        <f t="shared" si="342"/>
        <v>333.71949999999998</v>
      </c>
      <c r="AN214" s="338">
        <v>288.99849999999998</v>
      </c>
      <c r="AO214" s="338"/>
      <c r="AP214" s="332">
        <f t="shared" si="343"/>
        <v>44.720999999999997</v>
      </c>
      <c r="AQ214" s="338"/>
      <c r="AR214" s="338"/>
      <c r="AS214" s="338">
        <v>44.720999999999997</v>
      </c>
      <c r="AT214" s="338"/>
      <c r="AU214" s="332">
        <v>1727.5287920000001</v>
      </c>
      <c r="AV214" s="332">
        <f t="shared" si="344"/>
        <v>333.71949999999998</v>
      </c>
      <c r="AW214" s="338">
        <v>288.99849999999998</v>
      </c>
      <c r="AX214" s="338"/>
      <c r="AY214" s="332">
        <f t="shared" si="345"/>
        <v>44.720999999999997</v>
      </c>
      <c r="AZ214" s="338"/>
      <c r="BA214" s="338"/>
      <c r="BB214" s="338">
        <v>44.720999999999997</v>
      </c>
      <c r="BC214" s="338"/>
      <c r="BD214" s="332">
        <v>1727.5287920000001</v>
      </c>
      <c r="BE214" s="332">
        <f t="shared" si="330"/>
        <v>100</v>
      </c>
      <c r="BF214" s="332">
        <f t="shared" si="346"/>
        <v>0</v>
      </c>
      <c r="BG214" s="338"/>
      <c r="BH214" s="338"/>
      <c r="BI214" s="332"/>
      <c r="BJ214" s="332"/>
      <c r="BK214" s="338"/>
      <c r="BL214" s="338"/>
      <c r="BM214" s="338"/>
      <c r="BN214" s="338"/>
      <c r="BO214" s="332"/>
      <c r="BP214" s="341">
        <f t="shared" si="347"/>
        <v>0</v>
      </c>
      <c r="BQ214" s="338"/>
      <c r="BR214" s="338"/>
      <c r="BS214" s="338"/>
      <c r="BT214" s="338"/>
      <c r="BU214" s="338"/>
      <c r="BV214" s="338"/>
      <c r="BW214" s="338"/>
      <c r="BX214" s="332"/>
      <c r="BY214" s="342" t="e">
        <f t="shared" si="348"/>
        <v>#DIV/0!</v>
      </c>
      <c r="BZ214" s="343">
        <f t="shared" si="349"/>
        <v>0</v>
      </c>
      <c r="CA214" s="344"/>
      <c r="CB214" s="344"/>
      <c r="CC214" s="344"/>
      <c r="CD214" s="345"/>
      <c r="CE214" s="343">
        <f t="shared" si="350"/>
        <v>0</v>
      </c>
      <c r="CF214" s="344"/>
      <c r="CG214" s="344"/>
      <c r="CH214" s="344"/>
      <c r="CI214" s="345"/>
      <c r="CJ214" s="346"/>
      <c r="CK214" s="346"/>
      <c r="CL214" s="346"/>
      <c r="CM214" s="346"/>
      <c r="CN214" s="346"/>
      <c r="CO214" s="345">
        <f t="shared" si="351"/>
        <v>0</v>
      </c>
      <c r="CP214" s="335"/>
      <c r="CQ214" s="335"/>
      <c r="CR214" s="347"/>
      <c r="CS214" s="347"/>
      <c r="CT214" s="319"/>
      <c r="CU214" s="156"/>
    </row>
    <row r="215" spans="1:99" ht="39" hidden="1" customHeight="1" outlineLevel="1">
      <c r="A215" s="333" t="s">
        <v>45</v>
      </c>
      <c r="B215" s="497" t="s">
        <v>3552</v>
      </c>
      <c r="C215" s="334" t="s">
        <v>304</v>
      </c>
      <c r="D215" s="335" t="s">
        <v>3545</v>
      </c>
      <c r="E215" s="498" t="s">
        <v>3462</v>
      </c>
      <c r="F215" s="334" t="s">
        <v>49</v>
      </c>
      <c r="G215" s="336" t="s">
        <v>3049</v>
      </c>
      <c r="H215" s="336"/>
      <c r="I215" s="336" t="s">
        <v>3461</v>
      </c>
      <c r="J215" s="334" t="s">
        <v>49</v>
      </c>
      <c r="K215" s="336" t="s">
        <v>3462</v>
      </c>
      <c r="L215" s="331"/>
      <c r="M215" s="331"/>
      <c r="N215" s="337"/>
      <c r="O215" s="337"/>
      <c r="P215" s="338"/>
      <c r="Q215" s="338"/>
      <c r="R215" s="338"/>
      <c r="S215" s="332"/>
      <c r="T215" s="332"/>
      <c r="U215" s="332"/>
      <c r="V215" s="337" t="s">
        <v>3462</v>
      </c>
      <c r="W215" s="337" t="s">
        <v>3462</v>
      </c>
      <c r="X215" s="337" t="s">
        <v>3461</v>
      </c>
      <c r="Y215" s="340"/>
      <c r="Z215" s="340"/>
      <c r="AA215" s="340"/>
      <c r="AB215" s="340"/>
      <c r="AC215" s="332">
        <f t="shared" si="341"/>
        <v>277.86818199999999</v>
      </c>
      <c r="AD215" s="338">
        <v>248.88200000000001</v>
      </c>
      <c r="AE215" s="338"/>
      <c r="AF215" s="186">
        <f t="shared" si="325"/>
        <v>28.986181999999999</v>
      </c>
      <c r="AG215" s="303">
        <f t="shared" si="255"/>
        <v>0</v>
      </c>
      <c r="AH215" s="338"/>
      <c r="AI215" s="338"/>
      <c r="AJ215" s="332">
        <v>28.986181999999999</v>
      </c>
      <c r="AK215" s="338"/>
      <c r="AL215" s="332">
        <v>1251.398467</v>
      </c>
      <c r="AM215" s="332">
        <f t="shared" si="342"/>
        <v>267.65600000000001</v>
      </c>
      <c r="AN215" s="338">
        <v>248.88200000000001</v>
      </c>
      <c r="AO215" s="338"/>
      <c r="AP215" s="332">
        <f t="shared" si="343"/>
        <v>18.774000000000001</v>
      </c>
      <c r="AQ215" s="338"/>
      <c r="AR215" s="338"/>
      <c r="AS215" s="338">
        <v>18.774000000000001</v>
      </c>
      <c r="AT215" s="338"/>
      <c r="AU215" s="332">
        <v>1251.398467</v>
      </c>
      <c r="AV215" s="332">
        <f t="shared" si="344"/>
        <v>267.65600000000001</v>
      </c>
      <c r="AW215" s="338">
        <v>248.88200000000001</v>
      </c>
      <c r="AX215" s="338"/>
      <c r="AY215" s="332">
        <f t="shared" si="345"/>
        <v>18.774000000000001</v>
      </c>
      <c r="AZ215" s="338"/>
      <c r="BA215" s="338"/>
      <c r="BB215" s="338">
        <v>18.774000000000001</v>
      </c>
      <c r="BC215" s="338"/>
      <c r="BD215" s="332">
        <v>1251.398467</v>
      </c>
      <c r="BE215" s="332">
        <f t="shared" si="330"/>
        <v>100</v>
      </c>
      <c r="BF215" s="332">
        <f t="shared" si="346"/>
        <v>0</v>
      </c>
      <c r="BG215" s="338"/>
      <c r="BH215" s="338"/>
      <c r="BI215" s="332"/>
      <c r="BJ215" s="332"/>
      <c r="BK215" s="338"/>
      <c r="BL215" s="338"/>
      <c r="BM215" s="338"/>
      <c r="BN215" s="338"/>
      <c r="BO215" s="332"/>
      <c r="BP215" s="341">
        <f t="shared" si="347"/>
        <v>0</v>
      </c>
      <c r="BQ215" s="338"/>
      <c r="BR215" s="338"/>
      <c r="BS215" s="338"/>
      <c r="BT215" s="338"/>
      <c r="BU215" s="338"/>
      <c r="BV215" s="338"/>
      <c r="BW215" s="338"/>
      <c r="BX215" s="332"/>
      <c r="BY215" s="342" t="e">
        <f t="shared" si="348"/>
        <v>#DIV/0!</v>
      </c>
      <c r="BZ215" s="343">
        <f t="shared" si="349"/>
        <v>0</v>
      </c>
      <c r="CA215" s="344"/>
      <c r="CB215" s="344"/>
      <c r="CC215" s="344"/>
      <c r="CD215" s="345"/>
      <c r="CE215" s="343">
        <f t="shared" si="350"/>
        <v>0</v>
      </c>
      <c r="CF215" s="344"/>
      <c r="CG215" s="344"/>
      <c r="CH215" s="344"/>
      <c r="CI215" s="345"/>
      <c r="CJ215" s="346"/>
      <c r="CK215" s="346"/>
      <c r="CL215" s="346"/>
      <c r="CM215" s="346"/>
      <c r="CN215" s="346"/>
      <c r="CO215" s="345">
        <f t="shared" si="351"/>
        <v>0</v>
      </c>
      <c r="CP215" s="335"/>
      <c r="CQ215" s="335"/>
      <c r="CR215" s="347"/>
      <c r="CS215" s="347"/>
      <c r="CT215" s="319"/>
      <c r="CU215" s="156"/>
    </row>
    <row r="216" spans="1:99" ht="39" hidden="1" customHeight="1" outlineLevel="1">
      <c r="A216" s="333" t="s">
        <v>45</v>
      </c>
      <c r="B216" s="497" t="s">
        <v>3553</v>
      </c>
      <c r="C216" s="334" t="s">
        <v>304</v>
      </c>
      <c r="D216" s="335" t="s">
        <v>3545</v>
      </c>
      <c r="E216" s="498" t="s">
        <v>3465</v>
      </c>
      <c r="F216" s="334" t="s">
        <v>49</v>
      </c>
      <c r="G216" s="336" t="s">
        <v>3049</v>
      </c>
      <c r="H216" s="336"/>
      <c r="I216" s="336" t="s">
        <v>3461</v>
      </c>
      <c r="J216" s="334" t="s">
        <v>49</v>
      </c>
      <c r="K216" s="336" t="s">
        <v>3465</v>
      </c>
      <c r="L216" s="331"/>
      <c r="M216" s="331"/>
      <c r="N216" s="337"/>
      <c r="O216" s="337"/>
      <c r="P216" s="338"/>
      <c r="Q216" s="340"/>
      <c r="R216" s="340"/>
      <c r="S216" s="332"/>
      <c r="T216" s="332"/>
      <c r="U216" s="332"/>
      <c r="V216" s="337" t="s">
        <v>3465</v>
      </c>
      <c r="W216" s="337" t="s">
        <v>3462</v>
      </c>
      <c r="X216" s="337" t="s">
        <v>3461</v>
      </c>
      <c r="Y216" s="340"/>
      <c r="Z216" s="340"/>
      <c r="AA216" s="340"/>
      <c r="AB216" s="340"/>
      <c r="AC216" s="332">
        <f t="shared" si="341"/>
        <v>185.80636000000001</v>
      </c>
      <c r="AD216" s="340">
        <v>164.78</v>
      </c>
      <c r="AE216" s="340"/>
      <c r="AF216" s="186">
        <f t="shared" si="325"/>
        <v>21.02636</v>
      </c>
      <c r="AG216" s="303">
        <f t="shared" si="255"/>
        <v>0</v>
      </c>
      <c r="AH216" s="340"/>
      <c r="AI216" s="340"/>
      <c r="AJ216" s="332">
        <v>21.02636</v>
      </c>
      <c r="AK216" s="340"/>
      <c r="AL216" s="332">
        <v>865.45536000000004</v>
      </c>
      <c r="AM216" s="332">
        <f t="shared" si="342"/>
        <v>179.035</v>
      </c>
      <c r="AN216" s="340">
        <v>164.78</v>
      </c>
      <c r="AO216" s="340"/>
      <c r="AP216" s="332">
        <f t="shared" si="343"/>
        <v>14.255000000000001</v>
      </c>
      <c r="AQ216" s="340"/>
      <c r="AR216" s="340"/>
      <c r="AS216" s="340">
        <v>14.255000000000001</v>
      </c>
      <c r="AT216" s="340"/>
      <c r="AU216" s="332">
        <v>865.45536000000004</v>
      </c>
      <c r="AV216" s="332">
        <f t="shared" si="344"/>
        <v>179.035</v>
      </c>
      <c r="AW216" s="340">
        <v>164.78</v>
      </c>
      <c r="AX216" s="340"/>
      <c r="AY216" s="332">
        <f t="shared" si="345"/>
        <v>14.255000000000001</v>
      </c>
      <c r="AZ216" s="340"/>
      <c r="BA216" s="340"/>
      <c r="BB216" s="340">
        <v>14.255000000000001</v>
      </c>
      <c r="BC216" s="340"/>
      <c r="BD216" s="332">
        <v>865.45536000000004</v>
      </c>
      <c r="BE216" s="332">
        <f t="shared" si="330"/>
        <v>100</v>
      </c>
      <c r="BF216" s="332">
        <f t="shared" si="346"/>
        <v>0</v>
      </c>
      <c r="BG216" s="340"/>
      <c r="BH216" s="340"/>
      <c r="BI216" s="332"/>
      <c r="BJ216" s="332"/>
      <c r="BK216" s="340"/>
      <c r="BL216" s="340"/>
      <c r="BM216" s="340"/>
      <c r="BN216" s="340"/>
      <c r="BO216" s="332"/>
      <c r="BP216" s="341">
        <f t="shared" si="347"/>
        <v>0</v>
      </c>
      <c r="BQ216" s="340"/>
      <c r="BR216" s="340"/>
      <c r="BS216" s="340"/>
      <c r="BT216" s="340"/>
      <c r="BU216" s="340"/>
      <c r="BV216" s="340"/>
      <c r="BW216" s="340"/>
      <c r="BX216" s="332"/>
      <c r="BY216" s="342" t="e">
        <f t="shared" si="348"/>
        <v>#DIV/0!</v>
      </c>
      <c r="BZ216" s="343">
        <f t="shared" si="349"/>
        <v>0</v>
      </c>
      <c r="CA216" s="348"/>
      <c r="CB216" s="348"/>
      <c r="CC216" s="348"/>
      <c r="CD216" s="345"/>
      <c r="CE216" s="343">
        <f t="shared" si="350"/>
        <v>0</v>
      </c>
      <c r="CF216" s="348"/>
      <c r="CG216" s="348"/>
      <c r="CH216" s="348"/>
      <c r="CI216" s="345"/>
      <c r="CJ216" s="346"/>
      <c r="CK216" s="346"/>
      <c r="CL216" s="346"/>
      <c r="CM216" s="346"/>
      <c r="CN216" s="346"/>
      <c r="CO216" s="345">
        <f t="shared" si="351"/>
        <v>0</v>
      </c>
      <c r="CP216" s="335"/>
      <c r="CQ216" s="335"/>
      <c r="CR216" s="347"/>
      <c r="CS216" s="347"/>
      <c r="CT216" s="319"/>
      <c r="CU216" s="156"/>
    </row>
    <row r="217" spans="1:99" ht="57" hidden="1" customHeight="1" outlineLevel="1">
      <c r="A217" s="183">
        <v>16</v>
      </c>
      <c r="B217" s="326" t="s">
        <v>3554</v>
      </c>
      <c r="C217" s="183" t="s">
        <v>304</v>
      </c>
      <c r="D217" s="184" t="s">
        <v>3545</v>
      </c>
      <c r="E217" s="330" t="s">
        <v>3039</v>
      </c>
      <c r="F217" s="183" t="s">
        <v>49</v>
      </c>
      <c r="G217" s="183"/>
      <c r="H217" s="183"/>
      <c r="I217" s="184"/>
      <c r="J217" s="183" t="s">
        <v>49</v>
      </c>
      <c r="K217" s="322"/>
      <c r="L217" s="331">
        <v>2024</v>
      </c>
      <c r="M217" s="331">
        <v>2024</v>
      </c>
      <c r="N217" s="305"/>
      <c r="O217" s="305" t="s">
        <v>3555</v>
      </c>
      <c r="P217" s="320">
        <v>5815.5984539999999</v>
      </c>
      <c r="Q217" s="320">
        <f t="shared" ref="Q217:R217" si="352">SUM(Q218:Q221)</f>
        <v>0</v>
      </c>
      <c r="R217" s="320">
        <f t="shared" si="352"/>
        <v>0</v>
      </c>
      <c r="S217" s="320">
        <v>71.818535999999995</v>
      </c>
      <c r="T217" s="320">
        <v>5743.7799180000002</v>
      </c>
      <c r="U217" s="186"/>
      <c r="V217" s="305"/>
      <c r="W217" s="305"/>
      <c r="X217" s="282"/>
      <c r="Y217" s="283"/>
      <c r="Z217" s="283"/>
      <c r="AA217" s="283"/>
      <c r="AB217" s="283"/>
      <c r="AC217" s="186">
        <f>SUM(AC218:AC221)</f>
        <v>0</v>
      </c>
      <c r="AD217" s="186">
        <f t="shared" ref="AD217:BX217" si="353">SUM(AD218:AD221)</f>
        <v>0</v>
      </c>
      <c r="AE217" s="186">
        <f t="shared" si="353"/>
        <v>0</v>
      </c>
      <c r="AF217" s="186">
        <f t="shared" si="325"/>
        <v>72</v>
      </c>
      <c r="AG217" s="303">
        <f t="shared" si="255"/>
        <v>0</v>
      </c>
      <c r="AH217" s="186">
        <f t="shared" si="353"/>
        <v>0</v>
      </c>
      <c r="AI217" s="186">
        <f t="shared" si="353"/>
        <v>0</v>
      </c>
      <c r="AJ217" s="186">
        <v>72</v>
      </c>
      <c r="AK217" s="186">
        <f t="shared" si="353"/>
        <v>0</v>
      </c>
      <c r="AL217" s="186">
        <f t="shared" si="353"/>
        <v>0</v>
      </c>
      <c r="AM217" s="186">
        <f t="shared" si="353"/>
        <v>68.484999999999999</v>
      </c>
      <c r="AN217" s="186">
        <f t="shared" si="353"/>
        <v>0</v>
      </c>
      <c r="AO217" s="186">
        <f t="shared" si="353"/>
        <v>0</v>
      </c>
      <c r="AP217" s="186">
        <f t="shared" si="353"/>
        <v>68.484999999999999</v>
      </c>
      <c r="AQ217" s="186">
        <f t="shared" si="353"/>
        <v>0</v>
      </c>
      <c r="AR217" s="186">
        <f t="shared" si="353"/>
        <v>0</v>
      </c>
      <c r="AS217" s="186">
        <v>72</v>
      </c>
      <c r="AT217" s="186">
        <f t="shared" si="353"/>
        <v>0</v>
      </c>
      <c r="AU217" s="186">
        <f t="shared" si="353"/>
        <v>5743.7799180000002</v>
      </c>
      <c r="AV217" s="186">
        <f t="shared" si="353"/>
        <v>0</v>
      </c>
      <c r="AW217" s="186">
        <f t="shared" si="353"/>
        <v>0</v>
      </c>
      <c r="AX217" s="186">
        <f t="shared" si="353"/>
        <v>0</v>
      </c>
      <c r="AY217" s="186">
        <f t="shared" si="353"/>
        <v>0</v>
      </c>
      <c r="AZ217" s="186">
        <f t="shared" si="353"/>
        <v>0</v>
      </c>
      <c r="BA217" s="186">
        <f t="shared" si="353"/>
        <v>0</v>
      </c>
      <c r="BB217" s="186">
        <f t="shared" si="353"/>
        <v>0</v>
      </c>
      <c r="BC217" s="186">
        <f t="shared" si="353"/>
        <v>0</v>
      </c>
      <c r="BD217" s="186">
        <f t="shared" si="353"/>
        <v>5743.7799180000002</v>
      </c>
      <c r="BE217" s="186">
        <f t="shared" si="353"/>
        <v>0</v>
      </c>
      <c r="BF217" s="186">
        <f t="shared" si="353"/>
        <v>68.484999999999999</v>
      </c>
      <c r="BG217" s="186">
        <f t="shared" si="353"/>
        <v>0</v>
      </c>
      <c r="BH217" s="186">
        <f t="shared" si="353"/>
        <v>0</v>
      </c>
      <c r="BI217" s="186">
        <f t="shared" si="353"/>
        <v>68.484999999999999</v>
      </c>
      <c r="BJ217" s="186">
        <f t="shared" si="353"/>
        <v>0</v>
      </c>
      <c r="BK217" s="186">
        <f t="shared" si="353"/>
        <v>0</v>
      </c>
      <c r="BL217" s="186">
        <f t="shared" si="353"/>
        <v>0</v>
      </c>
      <c r="BM217" s="186">
        <f>SUM(BM218:BM221)</f>
        <v>68.484999999999999</v>
      </c>
      <c r="BN217" s="186">
        <f t="shared" si="353"/>
        <v>0</v>
      </c>
      <c r="BO217" s="284">
        <f t="shared" si="353"/>
        <v>5743.7799180000002</v>
      </c>
      <c r="BP217" s="284">
        <f t="shared" si="353"/>
        <v>0</v>
      </c>
      <c r="BQ217" s="284">
        <f t="shared" si="353"/>
        <v>0</v>
      </c>
      <c r="BR217" s="284">
        <f t="shared" si="353"/>
        <v>0</v>
      </c>
      <c r="BS217" s="284">
        <f t="shared" si="353"/>
        <v>0</v>
      </c>
      <c r="BT217" s="284">
        <f t="shared" si="353"/>
        <v>0</v>
      </c>
      <c r="BU217" s="284">
        <f t="shared" si="353"/>
        <v>0</v>
      </c>
      <c r="BV217" s="284">
        <f t="shared" si="353"/>
        <v>0</v>
      </c>
      <c r="BW217" s="284">
        <f t="shared" si="353"/>
        <v>0</v>
      </c>
      <c r="BX217" s="284">
        <f t="shared" si="353"/>
        <v>5743.7799180000002</v>
      </c>
      <c r="BY217" s="285"/>
      <c r="BZ217" s="286"/>
      <c r="CA217" s="324"/>
      <c r="CB217" s="324"/>
      <c r="CC217" s="324"/>
      <c r="CD217" s="187"/>
      <c r="CE217" s="286"/>
      <c r="CF217" s="324"/>
      <c r="CG217" s="324"/>
      <c r="CH217" s="324"/>
      <c r="CI217" s="187"/>
      <c r="CJ217" s="288"/>
      <c r="CK217" s="288"/>
      <c r="CL217" s="288"/>
      <c r="CM217" s="288"/>
      <c r="CN217" s="288"/>
      <c r="CO217" s="187"/>
      <c r="CP217" s="184"/>
      <c r="CQ217" s="184"/>
      <c r="CR217" s="289"/>
      <c r="CS217" s="289"/>
      <c r="CT217" s="291"/>
      <c r="CU217" s="160"/>
    </row>
    <row r="218" spans="1:99" ht="39" hidden="1" customHeight="1" outlineLevel="1">
      <c r="A218" s="333" t="s">
        <v>45</v>
      </c>
      <c r="B218" s="349" t="s">
        <v>3556</v>
      </c>
      <c r="C218" s="334" t="s">
        <v>304</v>
      </c>
      <c r="D218" s="335" t="s">
        <v>3545</v>
      </c>
      <c r="E218" s="336" t="s">
        <v>3461</v>
      </c>
      <c r="F218" s="334" t="s">
        <v>49</v>
      </c>
      <c r="G218" s="336" t="s">
        <v>3049</v>
      </c>
      <c r="H218" s="336"/>
      <c r="I218" s="335" t="s">
        <v>3461</v>
      </c>
      <c r="J218" s="334" t="s">
        <v>49</v>
      </c>
      <c r="K218" s="336" t="s">
        <v>3462</v>
      </c>
      <c r="L218" s="331"/>
      <c r="M218" s="331"/>
      <c r="N218" s="337"/>
      <c r="O218" s="337"/>
      <c r="P218" s="338"/>
      <c r="Q218" s="338"/>
      <c r="R218" s="338"/>
      <c r="S218" s="332"/>
      <c r="T218" s="332"/>
      <c r="U218" s="332"/>
      <c r="V218" s="337" t="s">
        <v>3462</v>
      </c>
      <c r="W218" s="337" t="s">
        <v>3462</v>
      </c>
      <c r="X218" s="339" t="s">
        <v>3461</v>
      </c>
      <c r="Y218" s="340"/>
      <c r="Z218" s="340"/>
      <c r="AA218" s="340"/>
      <c r="AB218" s="340"/>
      <c r="AC218" s="332">
        <f t="shared" si="324"/>
        <v>0</v>
      </c>
      <c r="AD218" s="338"/>
      <c r="AE218" s="338"/>
      <c r="AF218" s="332">
        <f t="shared" si="325"/>
        <v>0</v>
      </c>
      <c r="AG218" s="303">
        <f t="shared" si="255"/>
        <v>0</v>
      </c>
      <c r="AH218" s="338"/>
      <c r="AI218" s="338"/>
      <c r="AJ218" s="338"/>
      <c r="AK218" s="338"/>
      <c r="AL218" s="332"/>
      <c r="AM218" s="332">
        <f t="shared" si="326"/>
        <v>20.260999999999999</v>
      </c>
      <c r="AN218" s="338"/>
      <c r="AO218" s="338"/>
      <c r="AP218" s="332">
        <f t="shared" si="327"/>
        <v>20.260999999999999</v>
      </c>
      <c r="AQ218" s="338"/>
      <c r="AR218" s="338"/>
      <c r="AS218" s="338">
        <v>20.260999999999999</v>
      </c>
      <c r="AT218" s="338"/>
      <c r="AU218" s="332">
        <v>703.25851200000011</v>
      </c>
      <c r="AV218" s="332">
        <f t="shared" si="328"/>
        <v>0</v>
      </c>
      <c r="AW218" s="338"/>
      <c r="AX218" s="338"/>
      <c r="AY218" s="332">
        <f t="shared" si="329"/>
        <v>0</v>
      </c>
      <c r="AZ218" s="338"/>
      <c r="BA218" s="338"/>
      <c r="BB218" s="338"/>
      <c r="BC218" s="338"/>
      <c r="BD218" s="332">
        <v>703.25851200000011</v>
      </c>
      <c r="BE218" s="332">
        <f t="shared" si="330"/>
        <v>0</v>
      </c>
      <c r="BF218" s="332">
        <f t="shared" si="331"/>
        <v>20.260999999999999</v>
      </c>
      <c r="BG218" s="338"/>
      <c r="BH218" s="338"/>
      <c r="BI218" s="332">
        <f t="shared" si="332"/>
        <v>20.260999999999999</v>
      </c>
      <c r="BJ218" s="332">
        <f>BK218+BL218</f>
        <v>0</v>
      </c>
      <c r="BK218" s="338"/>
      <c r="BL218" s="338"/>
      <c r="BM218" s="338">
        <v>20.260999999999999</v>
      </c>
      <c r="BN218" s="338"/>
      <c r="BO218" s="332">
        <v>703.25851200000011</v>
      </c>
      <c r="BP218" s="341">
        <f t="shared" si="333"/>
        <v>0</v>
      </c>
      <c r="BQ218" s="338"/>
      <c r="BR218" s="338"/>
      <c r="BS218" s="338"/>
      <c r="BT218" s="338"/>
      <c r="BU218" s="338"/>
      <c r="BV218" s="338"/>
      <c r="BW218" s="338"/>
      <c r="BX218" s="332">
        <v>703.25851200000011</v>
      </c>
      <c r="BY218" s="342">
        <f t="shared" si="338"/>
        <v>0</v>
      </c>
      <c r="BZ218" s="343">
        <f t="shared" si="334"/>
        <v>0</v>
      </c>
      <c r="CA218" s="344"/>
      <c r="CB218" s="344"/>
      <c r="CC218" s="344"/>
      <c r="CD218" s="345"/>
      <c r="CE218" s="343">
        <f t="shared" si="335"/>
        <v>0</v>
      </c>
      <c r="CF218" s="344"/>
      <c r="CG218" s="344"/>
      <c r="CH218" s="344"/>
      <c r="CI218" s="345"/>
      <c r="CJ218" s="346"/>
      <c r="CK218" s="346"/>
      <c r="CL218" s="346"/>
      <c r="CM218" s="346"/>
      <c r="CN218" s="346"/>
      <c r="CO218" s="345">
        <f t="shared" si="336"/>
        <v>20.260999999999999</v>
      </c>
      <c r="CP218" s="335"/>
      <c r="CQ218" s="335"/>
      <c r="CR218" s="347"/>
      <c r="CS218" s="347"/>
      <c r="CT218" s="319"/>
      <c r="CU218" s="156"/>
    </row>
    <row r="219" spans="1:99" ht="39" hidden="1" customHeight="1" outlineLevel="1">
      <c r="A219" s="333" t="s">
        <v>45</v>
      </c>
      <c r="B219" s="349" t="s">
        <v>3557</v>
      </c>
      <c r="C219" s="334" t="s">
        <v>304</v>
      </c>
      <c r="D219" s="335" t="s">
        <v>3545</v>
      </c>
      <c r="E219" s="336" t="s">
        <v>3433</v>
      </c>
      <c r="F219" s="334" t="s">
        <v>49</v>
      </c>
      <c r="G219" s="336" t="s">
        <v>3049</v>
      </c>
      <c r="H219" s="336"/>
      <c r="I219" s="335" t="s">
        <v>3433</v>
      </c>
      <c r="J219" s="334" t="s">
        <v>49</v>
      </c>
      <c r="K219" s="336" t="s">
        <v>3434</v>
      </c>
      <c r="L219" s="331"/>
      <c r="M219" s="331"/>
      <c r="N219" s="337"/>
      <c r="O219" s="337"/>
      <c r="P219" s="338"/>
      <c r="Q219" s="338"/>
      <c r="R219" s="338"/>
      <c r="S219" s="332"/>
      <c r="T219" s="332"/>
      <c r="U219" s="332"/>
      <c r="V219" s="337" t="s">
        <v>3434</v>
      </c>
      <c r="W219" s="337" t="s">
        <v>3434</v>
      </c>
      <c r="X219" s="339" t="s">
        <v>3433</v>
      </c>
      <c r="Y219" s="340"/>
      <c r="Z219" s="340"/>
      <c r="AA219" s="340"/>
      <c r="AB219" s="340"/>
      <c r="AC219" s="332">
        <f t="shared" si="324"/>
        <v>0</v>
      </c>
      <c r="AD219" s="338"/>
      <c r="AE219" s="338"/>
      <c r="AF219" s="332">
        <f t="shared" si="325"/>
        <v>0</v>
      </c>
      <c r="AG219" s="303">
        <f t="shared" si="255"/>
        <v>0</v>
      </c>
      <c r="AH219" s="338"/>
      <c r="AI219" s="338"/>
      <c r="AJ219" s="338"/>
      <c r="AK219" s="338"/>
      <c r="AL219" s="332"/>
      <c r="AM219" s="332">
        <f t="shared" si="326"/>
        <v>8.3410000000000011</v>
      </c>
      <c r="AN219" s="338"/>
      <c r="AO219" s="338"/>
      <c r="AP219" s="332">
        <f t="shared" si="327"/>
        <v>8.3410000000000011</v>
      </c>
      <c r="AQ219" s="338"/>
      <c r="AR219" s="338"/>
      <c r="AS219" s="338">
        <v>8.3410000000000011</v>
      </c>
      <c r="AT219" s="338"/>
      <c r="AU219" s="332">
        <v>1045.6035080000001</v>
      </c>
      <c r="AV219" s="332">
        <f t="shared" si="328"/>
        <v>0</v>
      </c>
      <c r="AW219" s="338"/>
      <c r="AX219" s="338"/>
      <c r="AY219" s="332">
        <f t="shared" si="329"/>
        <v>0</v>
      </c>
      <c r="AZ219" s="338"/>
      <c r="BA219" s="338"/>
      <c r="BB219" s="338"/>
      <c r="BC219" s="338"/>
      <c r="BD219" s="332">
        <v>1045.6035080000001</v>
      </c>
      <c r="BE219" s="332">
        <f t="shared" si="330"/>
        <v>0</v>
      </c>
      <c r="BF219" s="332">
        <f t="shared" si="331"/>
        <v>8.3410000000000011</v>
      </c>
      <c r="BG219" s="338"/>
      <c r="BH219" s="338"/>
      <c r="BI219" s="332">
        <f t="shared" si="332"/>
        <v>8.3410000000000011</v>
      </c>
      <c r="BJ219" s="332">
        <f t="shared" ref="BJ219:BJ230" si="354">BK219+BL219</f>
        <v>0</v>
      </c>
      <c r="BK219" s="338"/>
      <c r="BL219" s="338"/>
      <c r="BM219" s="338">
        <v>8.3410000000000011</v>
      </c>
      <c r="BN219" s="338"/>
      <c r="BO219" s="332">
        <v>1045.6035080000001</v>
      </c>
      <c r="BP219" s="341">
        <f t="shared" si="333"/>
        <v>0</v>
      </c>
      <c r="BQ219" s="338"/>
      <c r="BR219" s="338"/>
      <c r="BS219" s="338"/>
      <c r="BT219" s="338"/>
      <c r="BU219" s="338"/>
      <c r="BV219" s="338"/>
      <c r="BW219" s="338"/>
      <c r="BX219" s="332">
        <v>1045.6035080000001</v>
      </c>
      <c r="BY219" s="342">
        <f t="shared" si="338"/>
        <v>0</v>
      </c>
      <c r="BZ219" s="343">
        <f t="shared" si="334"/>
        <v>0</v>
      </c>
      <c r="CA219" s="344"/>
      <c r="CB219" s="344"/>
      <c r="CC219" s="344"/>
      <c r="CD219" s="345"/>
      <c r="CE219" s="343">
        <f t="shared" si="335"/>
        <v>0</v>
      </c>
      <c r="CF219" s="344"/>
      <c r="CG219" s="344"/>
      <c r="CH219" s="344"/>
      <c r="CI219" s="345"/>
      <c r="CJ219" s="346"/>
      <c r="CK219" s="346"/>
      <c r="CL219" s="346"/>
      <c r="CM219" s="346"/>
      <c r="CN219" s="346"/>
      <c r="CO219" s="345">
        <f t="shared" si="336"/>
        <v>8.3410000000000011</v>
      </c>
      <c r="CP219" s="335"/>
      <c r="CQ219" s="335"/>
      <c r="CR219" s="347"/>
      <c r="CS219" s="347"/>
      <c r="CT219" s="319"/>
      <c r="CU219" s="156"/>
    </row>
    <row r="220" spans="1:99" ht="39" hidden="1" customHeight="1" outlineLevel="1">
      <c r="A220" s="333" t="s">
        <v>45</v>
      </c>
      <c r="B220" s="349" t="s">
        <v>3558</v>
      </c>
      <c r="C220" s="334" t="s">
        <v>304</v>
      </c>
      <c r="D220" s="335" t="s">
        <v>3545</v>
      </c>
      <c r="E220" s="336" t="s">
        <v>3384</v>
      </c>
      <c r="F220" s="334" t="s">
        <v>49</v>
      </c>
      <c r="G220" s="336" t="s">
        <v>3049</v>
      </c>
      <c r="H220" s="336"/>
      <c r="I220" s="335" t="s">
        <v>3360</v>
      </c>
      <c r="J220" s="334" t="s">
        <v>49</v>
      </c>
      <c r="K220" s="336" t="s">
        <v>3367</v>
      </c>
      <c r="L220" s="331"/>
      <c r="M220" s="331"/>
      <c r="N220" s="337"/>
      <c r="O220" s="337"/>
      <c r="P220" s="338"/>
      <c r="Q220" s="338"/>
      <c r="R220" s="338"/>
      <c r="S220" s="332"/>
      <c r="T220" s="332"/>
      <c r="U220" s="332"/>
      <c r="V220" s="337" t="s">
        <v>3367</v>
      </c>
      <c r="W220" s="337" t="s">
        <v>3364</v>
      </c>
      <c r="X220" s="339" t="s">
        <v>3360</v>
      </c>
      <c r="Y220" s="340"/>
      <c r="Z220" s="340"/>
      <c r="AA220" s="340"/>
      <c r="AB220" s="340"/>
      <c r="AC220" s="332">
        <f t="shared" si="324"/>
        <v>0</v>
      </c>
      <c r="AD220" s="338"/>
      <c r="AE220" s="338"/>
      <c r="AF220" s="332">
        <f t="shared" si="325"/>
        <v>0</v>
      </c>
      <c r="AG220" s="303">
        <f t="shared" si="255"/>
        <v>0</v>
      </c>
      <c r="AH220" s="338"/>
      <c r="AI220" s="338"/>
      <c r="AJ220" s="338"/>
      <c r="AK220" s="338"/>
      <c r="AL220" s="332"/>
      <c r="AM220" s="332">
        <f t="shared" si="326"/>
        <v>31.217000000000002</v>
      </c>
      <c r="AN220" s="338"/>
      <c r="AO220" s="338"/>
      <c r="AP220" s="332">
        <f t="shared" si="327"/>
        <v>31.217000000000002</v>
      </c>
      <c r="AQ220" s="338"/>
      <c r="AR220" s="338"/>
      <c r="AS220" s="338">
        <v>31.217000000000002</v>
      </c>
      <c r="AT220" s="338"/>
      <c r="AU220" s="332">
        <v>2819.9881449999998</v>
      </c>
      <c r="AV220" s="332">
        <f t="shared" si="328"/>
        <v>0</v>
      </c>
      <c r="AW220" s="338"/>
      <c r="AX220" s="338"/>
      <c r="AY220" s="332">
        <f t="shared" si="329"/>
        <v>0</v>
      </c>
      <c r="AZ220" s="338"/>
      <c r="BA220" s="338"/>
      <c r="BB220" s="338"/>
      <c r="BC220" s="338"/>
      <c r="BD220" s="332">
        <v>2819.9881449999998</v>
      </c>
      <c r="BE220" s="332">
        <f t="shared" si="330"/>
        <v>0</v>
      </c>
      <c r="BF220" s="332">
        <f t="shared" si="331"/>
        <v>31.217000000000002</v>
      </c>
      <c r="BG220" s="338"/>
      <c r="BH220" s="338"/>
      <c r="BI220" s="332">
        <f t="shared" si="332"/>
        <v>31.217000000000002</v>
      </c>
      <c r="BJ220" s="332">
        <f t="shared" si="354"/>
        <v>0</v>
      </c>
      <c r="BK220" s="338"/>
      <c r="BL220" s="338"/>
      <c r="BM220" s="338">
        <v>31.217000000000002</v>
      </c>
      <c r="BN220" s="338"/>
      <c r="BO220" s="332">
        <v>2819.9881449999998</v>
      </c>
      <c r="BP220" s="341">
        <f t="shared" si="333"/>
        <v>0</v>
      </c>
      <c r="BQ220" s="338"/>
      <c r="BR220" s="338"/>
      <c r="BS220" s="338"/>
      <c r="BT220" s="338"/>
      <c r="BU220" s="338"/>
      <c r="BV220" s="338"/>
      <c r="BW220" s="338"/>
      <c r="BX220" s="332">
        <v>2819.9881449999998</v>
      </c>
      <c r="BY220" s="342">
        <f t="shared" si="338"/>
        <v>0</v>
      </c>
      <c r="BZ220" s="343">
        <f t="shared" si="334"/>
        <v>0</v>
      </c>
      <c r="CA220" s="344"/>
      <c r="CB220" s="344"/>
      <c r="CC220" s="344"/>
      <c r="CD220" s="345"/>
      <c r="CE220" s="343">
        <f t="shared" si="335"/>
        <v>0</v>
      </c>
      <c r="CF220" s="344"/>
      <c r="CG220" s="344"/>
      <c r="CH220" s="344"/>
      <c r="CI220" s="345"/>
      <c r="CJ220" s="346"/>
      <c r="CK220" s="346"/>
      <c r="CL220" s="346"/>
      <c r="CM220" s="346"/>
      <c r="CN220" s="346"/>
      <c r="CO220" s="345">
        <f t="shared" si="336"/>
        <v>31.217000000000002</v>
      </c>
      <c r="CP220" s="335"/>
      <c r="CQ220" s="335"/>
      <c r="CR220" s="347"/>
      <c r="CS220" s="347"/>
      <c r="CT220" s="319"/>
      <c r="CU220" s="156"/>
    </row>
    <row r="221" spans="1:99" ht="39" hidden="1" customHeight="1" outlineLevel="1">
      <c r="A221" s="333" t="s">
        <v>45</v>
      </c>
      <c r="B221" s="349" t="s">
        <v>3559</v>
      </c>
      <c r="C221" s="334" t="s">
        <v>304</v>
      </c>
      <c r="D221" s="335" t="s">
        <v>3545</v>
      </c>
      <c r="E221" s="336" t="s">
        <v>274</v>
      </c>
      <c r="F221" s="334" t="s">
        <v>49</v>
      </c>
      <c r="G221" s="336" t="s">
        <v>3049</v>
      </c>
      <c r="H221" s="336"/>
      <c r="I221" s="335" t="s">
        <v>3062</v>
      </c>
      <c r="J221" s="334" t="s">
        <v>49</v>
      </c>
      <c r="K221" s="336" t="s">
        <v>3084</v>
      </c>
      <c r="L221" s="331"/>
      <c r="M221" s="331"/>
      <c r="N221" s="337"/>
      <c r="O221" s="337"/>
      <c r="P221" s="338"/>
      <c r="Q221" s="340"/>
      <c r="R221" s="340"/>
      <c r="S221" s="332"/>
      <c r="T221" s="332"/>
      <c r="U221" s="332"/>
      <c r="V221" s="337" t="s">
        <v>3084</v>
      </c>
      <c r="W221" s="337" t="s">
        <v>3069</v>
      </c>
      <c r="X221" s="339" t="s">
        <v>3062</v>
      </c>
      <c r="Y221" s="340"/>
      <c r="Z221" s="340"/>
      <c r="AA221" s="340"/>
      <c r="AB221" s="340"/>
      <c r="AC221" s="332">
        <f t="shared" si="324"/>
        <v>0</v>
      </c>
      <c r="AD221" s="340"/>
      <c r="AE221" s="340"/>
      <c r="AF221" s="332">
        <f t="shared" si="325"/>
        <v>0</v>
      </c>
      <c r="AG221" s="303">
        <f t="shared" si="255"/>
        <v>0</v>
      </c>
      <c r="AH221" s="340"/>
      <c r="AI221" s="340"/>
      <c r="AJ221" s="340"/>
      <c r="AK221" s="340"/>
      <c r="AL221" s="332"/>
      <c r="AM221" s="332">
        <f t="shared" si="326"/>
        <v>8.6660000000000004</v>
      </c>
      <c r="AN221" s="340"/>
      <c r="AO221" s="340"/>
      <c r="AP221" s="332">
        <f t="shared" si="327"/>
        <v>8.6660000000000004</v>
      </c>
      <c r="AQ221" s="340"/>
      <c r="AR221" s="340"/>
      <c r="AS221" s="340">
        <v>8.6660000000000004</v>
      </c>
      <c r="AT221" s="340"/>
      <c r="AU221" s="332">
        <v>1174.9297529999999</v>
      </c>
      <c r="AV221" s="332">
        <f t="shared" si="328"/>
        <v>0</v>
      </c>
      <c r="AW221" s="340"/>
      <c r="AX221" s="340"/>
      <c r="AY221" s="332">
        <f t="shared" si="329"/>
        <v>0</v>
      </c>
      <c r="AZ221" s="340"/>
      <c r="BA221" s="340"/>
      <c r="BB221" s="340"/>
      <c r="BC221" s="340"/>
      <c r="BD221" s="332">
        <v>1174.9297529999999</v>
      </c>
      <c r="BE221" s="332">
        <f t="shared" si="330"/>
        <v>0</v>
      </c>
      <c r="BF221" s="332">
        <f t="shared" si="331"/>
        <v>8.6660000000000004</v>
      </c>
      <c r="BG221" s="340"/>
      <c r="BH221" s="340"/>
      <c r="BI221" s="332">
        <f t="shared" si="332"/>
        <v>8.6660000000000004</v>
      </c>
      <c r="BJ221" s="332">
        <f t="shared" si="354"/>
        <v>0</v>
      </c>
      <c r="BK221" s="340"/>
      <c r="BL221" s="340"/>
      <c r="BM221" s="340">
        <v>8.6660000000000004</v>
      </c>
      <c r="BN221" s="340"/>
      <c r="BO221" s="332">
        <v>1174.9297529999999</v>
      </c>
      <c r="BP221" s="341">
        <f t="shared" si="333"/>
        <v>0</v>
      </c>
      <c r="BQ221" s="340"/>
      <c r="BR221" s="340"/>
      <c r="BS221" s="340"/>
      <c r="BT221" s="340"/>
      <c r="BU221" s="340"/>
      <c r="BV221" s="340"/>
      <c r="BW221" s="340"/>
      <c r="BX221" s="332">
        <v>1174.9297529999999</v>
      </c>
      <c r="BY221" s="342">
        <f t="shared" si="338"/>
        <v>0</v>
      </c>
      <c r="BZ221" s="343">
        <f t="shared" si="334"/>
        <v>0</v>
      </c>
      <c r="CA221" s="348"/>
      <c r="CB221" s="348"/>
      <c r="CC221" s="348"/>
      <c r="CD221" s="345"/>
      <c r="CE221" s="343">
        <f t="shared" si="335"/>
        <v>0</v>
      </c>
      <c r="CF221" s="348"/>
      <c r="CG221" s="348"/>
      <c r="CH221" s="348"/>
      <c r="CI221" s="345"/>
      <c r="CJ221" s="346"/>
      <c r="CK221" s="346"/>
      <c r="CL221" s="346"/>
      <c r="CM221" s="346"/>
      <c r="CN221" s="346"/>
      <c r="CO221" s="345">
        <f t="shared" si="336"/>
        <v>8.6660000000000004</v>
      </c>
      <c r="CP221" s="335"/>
      <c r="CQ221" s="335"/>
      <c r="CR221" s="347"/>
      <c r="CS221" s="347"/>
      <c r="CT221" s="319"/>
      <c r="CU221" s="156"/>
    </row>
    <row r="222" spans="1:99" ht="57" hidden="1" customHeight="1" outlineLevel="1">
      <c r="A222" s="183">
        <v>17</v>
      </c>
      <c r="B222" s="326" t="s">
        <v>3560</v>
      </c>
      <c r="C222" s="183" t="s">
        <v>304</v>
      </c>
      <c r="D222" s="184" t="s">
        <v>3531</v>
      </c>
      <c r="E222" s="330" t="s">
        <v>3039</v>
      </c>
      <c r="F222" s="183" t="s">
        <v>49</v>
      </c>
      <c r="G222" s="183"/>
      <c r="H222" s="183"/>
      <c r="I222" s="184"/>
      <c r="J222" s="183" t="s">
        <v>49</v>
      </c>
      <c r="K222" s="322"/>
      <c r="L222" s="334">
        <v>2025</v>
      </c>
      <c r="M222" s="334">
        <v>2025</v>
      </c>
      <c r="N222" s="339" t="s">
        <v>3561</v>
      </c>
      <c r="O222" s="339" t="s">
        <v>3562</v>
      </c>
      <c r="P222" s="320">
        <v>2728</v>
      </c>
      <c r="Q222" s="320">
        <f>P222-S222</f>
        <v>2480</v>
      </c>
      <c r="R222" s="320">
        <f t="shared" ref="R222:T222" si="355">SUM(R223:R226)</f>
        <v>0</v>
      </c>
      <c r="S222" s="320">
        <v>248</v>
      </c>
      <c r="T222" s="320">
        <f t="shared" si="355"/>
        <v>0</v>
      </c>
      <c r="U222" s="186"/>
      <c r="V222" s="305"/>
      <c r="W222" s="305"/>
      <c r="X222" s="282"/>
      <c r="Y222" s="283"/>
      <c r="Z222" s="283"/>
      <c r="AA222" s="283"/>
      <c r="AB222" s="283"/>
      <c r="AC222" s="186">
        <f>SUM(AC223:AC226)</f>
        <v>1400</v>
      </c>
      <c r="AD222" s="186">
        <f t="shared" ref="AD222:AE222" si="356">SUM(AD223:AD226)</f>
        <v>1400</v>
      </c>
      <c r="AE222" s="186">
        <f t="shared" si="356"/>
        <v>0</v>
      </c>
      <c r="AF222" s="186">
        <f t="shared" si="325"/>
        <v>248</v>
      </c>
      <c r="AG222" s="303">
        <f t="shared" si="255"/>
        <v>0</v>
      </c>
      <c r="AH222" s="186">
        <f t="shared" ref="AH222:AI222" si="357">SUM(AH223:AH226)</f>
        <v>0</v>
      </c>
      <c r="AI222" s="186">
        <f t="shared" si="357"/>
        <v>0</v>
      </c>
      <c r="AJ222" s="186">
        <v>248</v>
      </c>
      <c r="AK222" s="186">
        <f t="shared" ref="AK222:AL222" si="358">SUM(AK223:AK226)</f>
        <v>0</v>
      </c>
      <c r="AL222" s="186">
        <f t="shared" si="358"/>
        <v>0</v>
      </c>
      <c r="AM222" s="186">
        <f>SUM(AM223:AM226)</f>
        <v>1400</v>
      </c>
      <c r="AN222" s="186">
        <f t="shared" ref="AN222:AR222" si="359">SUM(AN223:AN226)</f>
        <v>1400</v>
      </c>
      <c r="AO222" s="186">
        <f t="shared" si="359"/>
        <v>0</v>
      </c>
      <c r="AP222" s="186">
        <f t="shared" si="359"/>
        <v>0</v>
      </c>
      <c r="AQ222" s="186">
        <f t="shared" si="359"/>
        <v>0</v>
      </c>
      <c r="AR222" s="186">
        <f t="shared" si="359"/>
        <v>0</v>
      </c>
      <c r="AS222" s="186">
        <v>248</v>
      </c>
      <c r="AT222" s="186">
        <f t="shared" ref="AT222:BL222" si="360">SUM(AT223:AT226)</f>
        <v>0</v>
      </c>
      <c r="AU222" s="186">
        <f t="shared" si="360"/>
        <v>0</v>
      </c>
      <c r="AV222" s="186">
        <f t="shared" si="360"/>
        <v>0</v>
      </c>
      <c r="AW222" s="186">
        <f t="shared" si="360"/>
        <v>0</v>
      </c>
      <c r="AX222" s="186">
        <f t="shared" si="360"/>
        <v>0</v>
      </c>
      <c r="AY222" s="186">
        <f t="shared" si="360"/>
        <v>0</v>
      </c>
      <c r="AZ222" s="186">
        <f t="shared" si="360"/>
        <v>0</v>
      </c>
      <c r="BA222" s="186">
        <f t="shared" si="360"/>
        <v>0</v>
      </c>
      <c r="BB222" s="186">
        <f t="shared" si="360"/>
        <v>0</v>
      </c>
      <c r="BC222" s="186">
        <f t="shared" si="360"/>
        <v>0</v>
      </c>
      <c r="BD222" s="186">
        <f t="shared" si="360"/>
        <v>0</v>
      </c>
      <c r="BE222" s="186">
        <f t="shared" si="360"/>
        <v>0</v>
      </c>
      <c r="BF222" s="186">
        <f t="shared" si="360"/>
        <v>1542</v>
      </c>
      <c r="BG222" s="186">
        <f t="shared" si="360"/>
        <v>1400</v>
      </c>
      <c r="BH222" s="186">
        <f t="shared" si="360"/>
        <v>0</v>
      </c>
      <c r="BI222" s="186">
        <f t="shared" si="360"/>
        <v>142</v>
      </c>
      <c r="BJ222" s="186">
        <f>SUM(BJ223:BJ226)</f>
        <v>0</v>
      </c>
      <c r="BK222" s="186">
        <f t="shared" si="360"/>
        <v>0</v>
      </c>
      <c r="BL222" s="186">
        <f t="shared" si="360"/>
        <v>0</v>
      </c>
      <c r="BM222" s="186">
        <f>SUM(BM223:BM226)</f>
        <v>142</v>
      </c>
      <c r="BN222" s="186">
        <f t="shared" ref="BN222:BX222" si="361">SUM(BN223:BN226)</f>
        <v>0</v>
      </c>
      <c r="BO222" s="284">
        <f t="shared" si="361"/>
        <v>0</v>
      </c>
      <c r="BP222" s="284">
        <f t="shared" si="361"/>
        <v>0</v>
      </c>
      <c r="BQ222" s="284">
        <f t="shared" si="361"/>
        <v>0</v>
      </c>
      <c r="BR222" s="284">
        <f t="shared" si="361"/>
        <v>0</v>
      </c>
      <c r="BS222" s="284">
        <f t="shared" si="361"/>
        <v>0</v>
      </c>
      <c r="BT222" s="284">
        <f t="shared" si="361"/>
        <v>0</v>
      </c>
      <c r="BU222" s="284">
        <f t="shared" si="361"/>
        <v>0</v>
      </c>
      <c r="BV222" s="284">
        <f t="shared" si="361"/>
        <v>0</v>
      </c>
      <c r="BW222" s="284">
        <f t="shared" si="361"/>
        <v>0</v>
      </c>
      <c r="BX222" s="284">
        <f t="shared" si="361"/>
        <v>0</v>
      </c>
      <c r="BY222" s="285"/>
      <c r="BZ222" s="286"/>
      <c r="CA222" s="324"/>
      <c r="CB222" s="324"/>
      <c r="CC222" s="324"/>
      <c r="CD222" s="187"/>
      <c r="CE222" s="286"/>
      <c r="CF222" s="324"/>
      <c r="CG222" s="324"/>
      <c r="CH222" s="324"/>
      <c r="CI222" s="187"/>
      <c r="CJ222" s="288"/>
      <c r="CK222" s="288"/>
      <c r="CL222" s="288"/>
      <c r="CM222" s="288"/>
      <c r="CN222" s="288"/>
      <c r="CO222" s="187"/>
      <c r="CP222" s="184"/>
      <c r="CQ222" s="184"/>
      <c r="CR222" s="289"/>
      <c r="CS222" s="289"/>
      <c r="CT222" s="291"/>
      <c r="CU222" s="160"/>
    </row>
    <row r="223" spans="1:99" ht="39" hidden="1" customHeight="1" outlineLevel="1">
      <c r="A223" s="333" t="s">
        <v>45</v>
      </c>
      <c r="B223" s="350" t="s">
        <v>3563</v>
      </c>
      <c r="C223" s="334" t="s">
        <v>304</v>
      </c>
      <c r="D223" s="335" t="s">
        <v>3531</v>
      </c>
      <c r="E223" s="334" t="s">
        <v>3062</v>
      </c>
      <c r="F223" s="334" t="s">
        <v>49</v>
      </c>
      <c r="G223" s="336" t="s">
        <v>3049</v>
      </c>
      <c r="H223" s="336" t="s">
        <v>3564</v>
      </c>
      <c r="I223" s="335" t="s">
        <v>3062</v>
      </c>
      <c r="J223" s="334" t="s">
        <v>49</v>
      </c>
      <c r="K223" s="334" t="s">
        <v>3057</v>
      </c>
      <c r="L223" s="334"/>
      <c r="M223" s="334"/>
      <c r="N223" s="339"/>
      <c r="O223" s="339"/>
      <c r="P223" s="340"/>
      <c r="Q223" s="340"/>
      <c r="R223" s="340"/>
      <c r="S223" s="332"/>
      <c r="T223" s="332"/>
      <c r="U223" s="332"/>
      <c r="V223" s="339" t="s">
        <v>3057</v>
      </c>
      <c r="W223" s="339" t="s">
        <v>3057</v>
      </c>
      <c r="X223" s="339" t="s">
        <v>3062</v>
      </c>
      <c r="Y223" s="340"/>
      <c r="Z223" s="340"/>
      <c r="AA223" s="340"/>
      <c r="AB223" s="340"/>
      <c r="AC223" s="332">
        <f t="shared" si="324"/>
        <v>360</v>
      </c>
      <c r="AD223" s="340">
        <v>360</v>
      </c>
      <c r="AE223" s="340"/>
      <c r="AF223" s="332">
        <f t="shared" si="325"/>
        <v>0</v>
      </c>
      <c r="AG223" s="303">
        <f t="shared" si="255"/>
        <v>0</v>
      </c>
      <c r="AH223" s="340"/>
      <c r="AI223" s="340"/>
      <c r="AJ223" s="340"/>
      <c r="AK223" s="340"/>
      <c r="AL223" s="332"/>
      <c r="AM223" s="332">
        <f t="shared" si="326"/>
        <v>360</v>
      </c>
      <c r="AN223" s="340">
        <v>360</v>
      </c>
      <c r="AO223" s="340"/>
      <c r="AP223" s="332">
        <f t="shared" si="327"/>
        <v>0</v>
      </c>
      <c r="AQ223" s="340"/>
      <c r="AR223" s="340"/>
      <c r="AS223" s="340"/>
      <c r="AT223" s="340"/>
      <c r="AU223" s="332"/>
      <c r="AV223" s="332">
        <f t="shared" si="328"/>
        <v>0</v>
      </c>
      <c r="AW223" s="340"/>
      <c r="AX223" s="340"/>
      <c r="AY223" s="332">
        <f t="shared" si="329"/>
        <v>0</v>
      </c>
      <c r="AZ223" s="340"/>
      <c r="BA223" s="340"/>
      <c r="BB223" s="340"/>
      <c r="BC223" s="340"/>
      <c r="BD223" s="332"/>
      <c r="BE223" s="332">
        <f t="shared" si="330"/>
        <v>0</v>
      </c>
      <c r="BF223" s="332">
        <f t="shared" si="331"/>
        <v>396</v>
      </c>
      <c r="BG223" s="340">
        <v>360</v>
      </c>
      <c r="BH223" s="340"/>
      <c r="BI223" s="332">
        <f>SUM(BK223:BN223)</f>
        <v>36</v>
      </c>
      <c r="BJ223" s="332">
        <f t="shared" si="354"/>
        <v>0</v>
      </c>
      <c r="BK223" s="340"/>
      <c r="BL223" s="340"/>
      <c r="BM223" s="340">
        <v>36</v>
      </c>
      <c r="BN223" s="340"/>
      <c r="BO223" s="332"/>
      <c r="BP223" s="341">
        <f t="shared" si="333"/>
        <v>0</v>
      </c>
      <c r="BQ223" s="340"/>
      <c r="BR223" s="340"/>
      <c r="BS223" s="340"/>
      <c r="BT223" s="340"/>
      <c r="BU223" s="340"/>
      <c r="BV223" s="340"/>
      <c r="BW223" s="340"/>
      <c r="BX223" s="332"/>
      <c r="BY223" s="342">
        <f t="shared" si="338"/>
        <v>0</v>
      </c>
      <c r="BZ223" s="343">
        <f t="shared" si="334"/>
        <v>0</v>
      </c>
      <c r="CA223" s="348"/>
      <c r="CB223" s="348"/>
      <c r="CC223" s="348"/>
      <c r="CD223" s="345"/>
      <c r="CE223" s="343">
        <f t="shared" si="335"/>
        <v>0</v>
      </c>
      <c r="CF223" s="348"/>
      <c r="CG223" s="348"/>
      <c r="CH223" s="348"/>
      <c r="CI223" s="345"/>
      <c r="CJ223" s="346"/>
      <c r="CK223" s="346"/>
      <c r="CL223" s="346"/>
      <c r="CM223" s="346"/>
      <c r="CN223" s="346"/>
      <c r="CO223" s="345">
        <f t="shared" si="336"/>
        <v>396</v>
      </c>
      <c r="CP223" s="335"/>
      <c r="CQ223" s="335"/>
      <c r="CR223" s="347"/>
      <c r="CS223" s="347"/>
      <c r="CT223" s="319"/>
      <c r="CU223" s="156"/>
    </row>
    <row r="224" spans="1:99" ht="39" hidden="1" customHeight="1" outlineLevel="1">
      <c r="A224" s="333" t="s">
        <v>45</v>
      </c>
      <c r="B224" s="350" t="s">
        <v>3565</v>
      </c>
      <c r="C224" s="334" t="s">
        <v>304</v>
      </c>
      <c r="D224" s="335" t="s">
        <v>3531</v>
      </c>
      <c r="E224" s="334" t="s">
        <v>274</v>
      </c>
      <c r="F224" s="334" t="s">
        <v>49</v>
      </c>
      <c r="G224" s="336" t="s">
        <v>3049</v>
      </c>
      <c r="H224" s="336" t="s">
        <v>3564</v>
      </c>
      <c r="I224" s="335" t="s">
        <v>3062</v>
      </c>
      <c r="J224" s="334" t="s">
        <v>49</v>
      </c>
      <c r="K224" s="334" t="s">
        <v>276</v>
      </c>
      <c r="L224" s="334"/>
      <c r="M224" s="334"/>
      <c r="N224" s="339"/>
      <c r="O224" s="339"/>
      <c r="P224" s="340"/>
      <c r="Q224" s="340"/>
      <c r="R224" s="340"/>
      <c r="S224" s="332"/>
      <c r="T224" s="332"/>
      <c r="U224" s="332"/>
      <c r="V224" s="339" t="s">
        <v>276</v>
      </c>
      <c r="W224" s="337" t="s">
        <v>3069</v>
      </c>
      <c r="X224" s="339" t="s">
        <v>3062</v>
      </c>
      <c r="Y224" s="340"/>
      <c r="Z224" s="340"/>
      <c r="AA224" s="340"/>
      <c r="AB224" s="340"/>
      <c r="AC224" s="332">
        <f t="shared" si="324"/>
        <v>600</v>
      </c>
      <c r="AD224" s="340">
        <v>600</v>
      </c>
      <c r="AE224" s="340"/>
      <c r="AF224" s="332">
        <f t="shared" si="325"/>
        <v>0</v>
      </c>
      <c r="AG224" s="303">
        <f t="shared" ref="AG224:AG232" si="362">AH224+AI224</f>
        <v>0</v>
      </c>
      <c r="AH224" s="340"/>
      <c r="AI224" s="340"/>
      <c r="AJ224" s="340"/>
      <c r="AK224" s="340"/>
      <c r="AL224" s="332"/>
      <c r="AM224" s="332">
        <f t="shared" si="326"/>
        <v>600</v>
      </c>
      <c r="AN224" s="340">
        <v>600</v>
      </c>
      <c r="AO224" s="340"/>
      <c r="AP224" s="332">
        <f t="shared" si="327"/>
        <v>0</v>
      </c>
      <c r="AQ224" s="340"/>
      <c r="AR224" s="340"/>
      <c r="AS224" s="340"/>
      <c r="AT224" s="340"/>
      <c r="AU224" s="332"/>
      <c r="AV224" s="332">
        <f t="shared" si="328"/>
        <v>0</v>
      </c>
      <c r="AW224" s="340"/>
      <c r="AX224" s="340"/>
      <c r="AY224" s="332">
        <f t="shared" si="329"/>
        <v>0</v>
      </c>
      <c r="AZ224" s="340"/>
      <c r="BA224" s="340"/>
      <c r="BB224" s="340"/>
      <c r="BC224" s="340"/>
      <c r="BD224" s="332"/>
      <c r="BE224" s="332">
        <f t="shared" si="330"/>
        <v>0</v>
      </c>
      <c r="BF224" s="332">
        <f t="shared" si="331"/>
        <v>660</v>
      </c>
      <c r="BG224" s="340">
        <v>600</v>
      </c>
      <c r="BH224" s="340"/>
      <c r="BI224" s="332">
        <f t="shared" si="332"/>
        <v>60</v>
      </c>
      <c r="BJ224" s="332">
        <f t="shared" si="354"/>
        <v>0</v>
      </c>
      <c r="BK224" s="340"/>
      <c r="BL224" s="340"/>
      <c r="BM224" s="340">
        <v>60</v>
      </c>
      <c r="BN224" s="340"/>
      <c r="BO224" s="332"/>
      <c r="BP224" s="341">
        <f t="shared" si="333"/>
        <v>0</v>
      </c>
      <c r="BQ224" s="340"/>
      <c r="BR224" s="340"/>
      <c r="BS224" s="340"/>
      <c r="BT224" s="340"/>
      <c r="BU224" s="340"/>
      <c r="BV224" s="340"/>
      <c r="BW224" s="340"/>
      <c r="BX224" s="332"/>
      <c r="BY224" s="342">
        <f t="shared" si="338"/>
        <v>0</v>
      </c>
      <c r="BZ224" s="343">
        <f t="shared" si="334"/>
        <v>0</v>
      </c>
      <c r="CA224" s="348"/>
      <c r="CB224" s="348"/>
      <c r="CC224" s="348"/>
      <c r="CD224" s="345"/>
      <c r="CE224" s="343">
        <f t="shared" si="335"/>
        <v>0</v>
      </c>
      <c r="CF224" s="348"/>
      <c r="CG224" s="348"/>
      <c r="CH224" s="348"/>
      <c r="CI224" s="345"/>
      <c r="CJ224" s="346"/>
      <c r="CK224" s="346"/>
      <c r="CL224" s="346"/>
      <c r="CM224" s="346"/>
      <c r="CN224" s="346"/>
      <c r="CO224" s="345">
        <f t="shared" si="336"/>
        <v>660</v>
      </c>
      <c r="CP224" s="335"/>
      <c r="CQ224" s="335"/>
      <c r="CR224" s="347"/>
      <c r="CS224" s="347"/>
      <c r="CT224" s="319"/>
      <c r="CU224" s="156"/>
    </row>
    <row r="225" spans="1:99" ht="39" hidden="1" customHeight="1" outlineLevel="1">
      <c r="A225" s="333" t="s">
        <v>45</v>
      </c>
      <c r="B225" s="350" t="s">
        <v>3566</v>
      </c>
      <c r="C225" s="334" t="s">
        <v>304</v>
      </c>
      <c r="D225" s="335" t="s">
        <v>3531</v>
      </c>
      <c r="E225" s="334" t="s">
        <v>3461</v>
      </c>
      <c r="F225" s="334" t="s">
        <v>49</v>
      </c>
      <c r="G225" s="336" t="s">
        <v>3049</v>
      </c>
      <c r="H225" s="336" t="s">
        <v>3564</v>
      </c>
      <c r="I225" s="335" t="s">
        <v>3461</v>
      </c>
      <c r="J225" s="334" t="s">
        <v>49</v>
      </c>
      <c r="K225" s="334" t="s">
        <v>3458</v>
      </c>
      <c r="L225" s="334"/>
      <c r="M225" s="334"/>
      <c r="N225" s="339"/>
      <c r="O225" s="339"/>
      <c r="P225" s="340"/>
      <c r="Q225" s="340"/>
      <c r="R225" s="340"/>
      <c r="S225" s="332"/>
      <c r="T225" s="332"/>
      <c r="U225" s="332"/>
      <c r="V225" s="339" t="s">
        <v>3458</v>
      </c>
      <c r="W225" s="339" t="s">
        <v>3458</v>
      </c>
      <c r="X225" s="339" t="s">
        <v>3461</v>
      </c>
      <c r="Y225" s="340"/>
      <c r="Z225" s="340"/>
      <c r="AA225" s="340"/>
      <c r="AB225" s="340"/>
      <c r="AC225" s="332">
        <f t="shared" si="324"/>
        <v>360</v>
      </c>
      <c r="AD225" s="340">
        <v>360</v>
      </c>
      <c r="AE225" s="340"/>
      <c r="AF225" s="332">
        <f t="shared" si="325"/>
        <v>0</v>
      </c>
      <c r="AG225" s="303">
        <f t="shared" si="362"/>
        <v>0</v>
      </c>
      <c r="AH225" s="340"/>
      <c r="AI225" s="340"/>
      <c r="AJ225" s="340"/>
      <c r="AK225" s="340"/>
      <c r="AL225" s="332"/>
      <c r="AM225" s="332">
        <f t="shared" si="326"/>
        <v>360</v>
      </c>
      <c r="AN225" s="340">
        <v>360</v>
      </c>
      <c r="AO225" s="340"/>
      <c r="AP225" s="332">
        <f t="shared" si="327"/>
        <v>0</v>
      </c>
      <c r="AQ225" s="340"/>
      <c r="AR225" s="340"/>
      <c r="AS225" s="340"/>
      <c r="AT225" s="340"/>
      <c r="AU225" s="332"/>
      <c r="AV225" s="332">
        <f t="shared" si="328"/>
        <v>0</v>
      </c>
      <c r="AW225" s="340"/>
      <c r="AX225" s="340"/>
      <c r="AY225" s="332">
        <f t="shared" si="329"/>
        <v>0</v>
      </c>
      <c r="AZ225" s="340"/>
      <c r="BA225" s="340"/>
      <c r="BB225" s="340"/>
      <c r="BC225" s="340"/>
      <c r="BD225" s="332"/>
      <c r="BE225" s="332">
        <f t="shared" si="330"/>
        <v>0</v>
      </c>
      <c r="BF225" s="332">
        <f t="shared" si="331"/>
        <v>396</v>
      </c>
      <c r="BG225" s="340">
        <v>360</v>
      </c>
      <c r="BH225" s="340"/>
      <c r="BI225" s="332">
        <f t="shared" si="332"/>
        <v>36</v>
      </c>
      <c r="BJ225" s="332">
        <f t="shared" si="354"/>
        <v>0</v>
      </c>
      <c r="BK225" s="340"/>
      <c r="BL225" s="340"/>
      <c r="BM225" s="340">
        <v>36</v>
      </c>
      <c r="BN225" s="340"/>
      <c r="BO225" s="332"/>
      <c r="BP225" s="341">
        <f t="shared" si="333"/>
        <v>0</v>
      </c>
      <c r="BQ225" s="340"/>
      <c r="BR225" s="340"/>
      <c r="BS225" s="340"/>
      <c r="BT225" s="340"/>
      <c r="BU225" s="340"/>
      <c r="BV225" s="340"/>
      <c r="BW225" s="340"/>
      <c r="BX225" s="332"/>
      <c r="BY225" s="342">
        <f t="shared" si="338"/>
        <v>0</v>
      </c>
      <c r="BZ225" s="343">
        <f t="shared" si="334"/>
        <v>0</v>
      </c>
      <c r="CA225" s="348"/>
      <c r="CB225" s="348"/>
      <c r="CC225" s="348"/>
      <c r="CD225" s="345"/>
      <c r="CE225" s="343">
        <f t="shared" si="335"/>
        <v>0</v>
      </c>
      <c r="CF225" s="348"/>
      <c r="CG225" s="348"/>
      <c r="CH225" s="348"/>
      <c r="CI225" s="345"/>
      <c r="CJ225" s="346"/>
      <c r="CK225" s="346"/>
      <c r="CL225" s="346"/>
      <c r="CM225" s="346"/>
      <c r="CN225" s="346"/>
      <c r="CO225" s="345">
        <f t="shared" si="336"/>
        <v>396</v>
      </c>
      <c r="CP225" s="335"/>
      <c r="CQ225" s="335"/>
      <c r="CR225" s="347"/>
      <c r="CS225" s="347"/>
      <c r="CT225" s="319"/>
      <c r="CU225" s="156"/>
    </row>
    <row r="226" spans="1:99" ht="39" hidden="1" customHeight="1" outlineLevel="1">
      <c r="A226" s="333" t="s">
        <v>45</v>
      </c>
      <c r="B226" s="350" t="s">
        <v>3567</v>
      </c>
      <c r="C226" s="334" t="s">
        <v>304</v>
      </c>
      <c r="D226" s="335" t="s">
        <v>3531</v>
      </c>
      <c r="E226" s="334" t="s">
        <v>3505</v>
      </c>
      <c r="F226" s="334" t="s">
        <v>49</v>
      </c>
      <c r="G226" s="336" t="s">
        <v>3049</v>
      </c>
      <c r="H226" s="336" t="s">
        <v>3564</v>
      </c>
      <c r="I226" s="335" t="s">
        <v>3461</v>
      </c>
      <c r="J226" s="334" t="s">
        <v>49</v>
      </c>
      <c r="K226" s="334" t="s">
        <v>3568</v>
      </c>
      <c r="L226" s="334"/>
      <c r="M226" s="334"/>
      <c r="N226" s="339"/>
      <c r="O226" s="339"/>
      <c r="P226" s="340"/>
      <c r="Q226" s="340"/>
      <c r="R226" s="340"/>
      <c r="S226" s="332"/>
      <c r="T226" s="332"/>
      <c r="U226" s="332"/>
      <c r="V226" s="339" t="s">
        <v>3568</v>
      </c>
      <c r="W226" s="339" t="s">
        <v>3458</v>
      </c>
      <c r="X226" s="339" t="s">
        <v>3461</v>
      </c>
      <c r="Y226" s="340"/>
      <c r="Z226" s="340"/>
      <c r="AA226" s="340"/>
      <c r="AB226" s="340"/>
      <c r="AC226" s="332">
        <f t="shared" si="324"/>
        <v>80</v>
      </c>
      <c r="AD226" s="340">
        <v>80</v>
      </c>
      <c r="AE226" s="340"/>
      <c r="AF226" s="332">
        <f t="shared" si="325"/>
        <v>0</v>
      </c>
      <c r="AG226" s="303">
        <f t="shared" si="362"/>
        <v>0</v>
      </c>
      <c r="AH226" s="340"/>
      <c r="AI226" s="340"/>
      <c r="AJ226" s="340"/>
      <c r="AK226" s="340"/>
      <c r="AL226" s="332"/>
      <c r="AM226" s="332">
        <f t="shared" si="326"/>
        <v>80</v>
      </c>
      <c r="AN226" s="340">
        <v>80</v>
      </c>
      <c r="AO226" s="340"/>
      <c r="AP226" s="332">
        <f t="shared" si="327"/>
        <v>0</v>
      </c>
      <c r="AQ226" s="340"/>
      <c r="AR226" s="340"/>
      <c r="AS226" s="340"/>
      <c r="AT226" s="340"/>
      <c r="AU226" s="332"/>
      <c r="AV226" s="332">
        <f t="shared" si="328"/>
        <v>0</v>
      </c>
      <c r="AW226" s="340"/>
      <c r="AX226" s="340"/>
      <c r="AY226" s="332">
        <f t="shared" si="329"/>
        <v>0</v>
      </c>
      <c r="AZ226" s="340"/>
      <c r="BA226" s="340"/>
      <c r="BB226" s="340"/>
      <c r="BC226" s="340"/>
      <c r="BD226" s="332"/>
      <c r="BE226" s="332">
        <f t="shared" si="330"/>
        <v>0</v>
      </c>
      <c r="BF226" s="332">
        <f t="shared" si="331"/>
        <v>90</v>
      </c>
      <c r="BG226" s="340">
        <v>80</v>
      </c>
      <c r="BH226" s="340"/>
      <c r="BI226" s="332">
        <f t="shared" si="332"/>
        <v>10</v>
      </c>
      <c r="BJ226" s="332">
        <f t="shared" si="354"/>
        <v>0</v>
      </c>
      <c r="BK226" s="340"/>
      <c r="BL226" s="340"/>
      <c r="BM226" s="340">
        <v>10</v>
      </c>
      <c r="BN226" s="340"/>
      <c r="BO226" s="332"/>
      <c r="BP226" s="341">
        <f t="shared" si="333"/>
        <v>0</v>
      </c>
      <c r="BQ226" s="340"/>
      <c r="BR226" s="340"/>
      <c r="BS226" s="340"/>
      <c r="BT226" s="340"/>
      <c r="BU226" s="340"/>
      <c r="BV226" s="340"/>
      <c r="BW226" s="340"/>
      <c r="BX226" s="332"/>
      <c r="BY226" s="342">
        <f t="shared" si="338"/>
        <v>0</v>
      </c>
      <c r="BZ226" s="343">
        <f t="shared" si="334"/>
        <v>0</v>
      </c>
      <c r="CA226" s="348"/>
      <c r="CB226" s="348"/>
      <c r="CC226" s="348"/>
      <c r="CD226" s="345"/>
      <c r="CE226" s="343">
        <f t="shared" si="335"/>
        <v>0</v>
      </c>
      <c r="CF226" s="348"/>
      <c r="CG226" s="348"/>
      <c r="CH226" s="348"/>
      <c r="CI226" s="345"/>
      <c r="CJ226" s="346"/>
      <c r="CK226" s="346"/>
      <c r="CL226" s="346"/>
      <c r="CM226" s="346"/>
      <c r="CN226" s="346"/>
      <c r="CO226" s="345">
        <f t="shared" si="336"/>
        <v>90</v>
      </c>
      <c r="CP226" s="335"/>
      <c r="CQ226" s="335"/>
      <c r="CR226" s="347"/>
      <c r="CS226" s="347"/>
      <c r="CT226" s="319"/>
      <c r="CU226" s="156"/>
    </row>
    <row r="227" spans="1:99" ht="39" hidden="1" customHeight="1" outlineLevel="1">
      <c r="A227" s="183">
        <v>18</v>
      </c>
      <c r="B227" s="279" t="s">
        <v>3569</v>
      </c>
      <c r="C227" s="183" t="s">
        <v>304</v>
      </c>
      <c r="D227" s="184" t="s">
        <v>3570</v>
      </c>
      <c r="E227" s="183" t="s">
        <v>3433</v>
      </c>
      <c r="F227" s="183" t="s">
        <v>49</v>
      </c>
      <c r="G227" s="183" t="s">
        <v>82</v>
      </c>
      <c r="H227" s="183">
        <v>8140598</v>
      </c>
      <c r="I227" s="184" t="s">
        <v>3433</v>
      </c>
      <c r="J227" s="183" t="s">
        <v>49</v>
      </c>
      <c r="K227" s="183" t="s">
        <v>3434</v>
      </c>
      <c r="L227" s="183">
        <v>2025</v>
      </c>
      <c r="M227" s="183">
        <v>2025</v>
      </c>
      <c r="N227" s="282"/>
      <c r="O227" s="282" t="s">
        <v>3571</v>
      </c>
      <c r="P227" s="283">
        <v>638</v>
      </c>
      <c r="Q227" s="283">
        <v>580</v>
      </c>
      <c r="R227" s="283"/>
      <c r="S227" s="283">
        <v>58</v>
      </c>
      <c r="T227" s="186"/>
      <c r="U227" s="186"/>
      <c r="V227" s="282" t="s">
        <v>3434</v>
      </c>
      <c r="W227" s="282" t="s">
        <v>3434</v>
      </c>
      <c r="X227" s="282" t="s">
        <v>3433</v>
      </c>
      <c r="Y227" s="283"/>
      <c r="Z227" s="283"/>
      <c r="AA227" s="283"/>
      <c r="AB227" s="283"/>
      <c r="AC227" s="186">
        <f t="shared" si="324"/>
        <v>638</v>
      </c>
      <c r="AD227" s="283">
        <v>580</v>
      </c>
      <c r="AE227" s="283"/>
      <c r="AF227" s="186">
        <f t="shared" si="325"/>
        <v>58</v>
      </c>
      <c r="AG227" s="303">
        <f t="shared" si="362"/>
        <v>0</v>
      </c>
      <c r="AH227" s="283"/>
      <c r="AI227" s="283"/>
      <c r="AJ227" s="283">
        <v>58</v>
      </c>
      <c r="AK227" s="283"/>
      <c r="AL227" s="186"/>
      <c r="AM227" s="186">
        <f t="shared" si="326"/>
        <v>638</v>
      </c>
      <c r="AN227" s="283">
        <v>580</v>
      </c>
      <c r="AO227" s="283"/>
      <c r="AP227" s="186">
        <f t="shared" si="327"/>
        <v>58</v>
      </c>
      <c r="AQ227" s="283"/>
      <c r="AR227" s="283"/>
      <c r="AS227" s="283">
        <v>58</v>
      </c>
      <c r="AT227" s="283"/>
      <c r="AU227" s="186"/>
      <c r="AV227" s="186">
        <f t="shared" si="328"/>
        <v>638</v>
      </c>
      <c r="AW227" s="283">
        <v>580</v>
      </c>
      <c r="AX227" s="283"/>
      <c r="AY227" s="186">
        <f t="shared" si="329"/>
        <v>58</v>
      </c>
      <c r="AZ227" s="283"/>
      <c r="BA227" s="283"/>
      <c r="BB227" s="283">
        <v>58</v>
      </c>
      <c r="BC227" s="283"/>
      <c r="BD227" s="186"/>
      <c r="BE227" s="186">
        <f t="shared" si="330"/>
        <v>100</v>
      </c>
      <c r="BF227" s="186">
        <f t="shared" si="331"/>
        <v>638</v>
      </c>
      <c r="BG227" s="283">
        <v>580</v>
      </c>
      <c r="BH227" s="283"/>
      <c r="BI227" s="186">
        <f>SUM(BK227:BN227)</f>
        <v>58</v>
      </c>
      <c r="BJ227" s="332">
        <f t="shared" si="354"/>
        <v>0</v>
      </c>
      <c r="BK227" s="283"/>
      <c r="BL227" s="283"/>
      <c r="BM227" s="283">
        <v>58</v>
      </c>
      <c r="BN227" s="283"/>
      <c r="BO227" s="186"/>
      <c r="BP227" s="284">
        <f t="shared" si="333"/>
        <v>610.20439599999997</v>
      </c>
      <c r="BQ227" s="283">
        <v>579.43579399999999</v>
      </c>
      <c r="BR227" s="283"/>
      <c r="BS227" s="284">
        <f t="shared" ref="BS227:BS230" si="363">SUM(BT227:BW227)</f>
        <v>30.768602000000001</v>
      </c>
      <c r="BT227" s="283"/>
      <c r="BU227" s="283"/>
      <c r="BV227" s="283">
        <v>30.768602000000001</v>
      </c>
      <c r="BW227" s="283"/>
      <c r="BX227" s="186"/>
      <c r="BY227" s="285">
        <f t="shared" si="338"/>
        <v>95.643322257053285</v>
      </c>
      <c r="BZ227" s="286">
        <f t="shared" si="334"/>
        <v>0</v>
      </c>
      <c r="CA227" s="287"/>
      <c r="CB227" s="287"/>
      <c r="CC227" s="287"/>
      <c r="CD227" s="187"/>
      <c r="CE227" s="286">
        <f t="shared" si="335"/>
        <v>0</v>
      </c>
      <c r="CF227" s="287"/>
      <c r="CG227" s="287"/>
      <c r="CH227" s="287"/>
      <c r="CI227" s="187"/>
      <c r="CJ227" s="288"/>
      <c r="CK227" s="288"/>
      <c r="CL227" s="288"/>
      <c r="CM227" s="288"/>
      <c r="CN227" s="288"/>
      <c r="CO227" s="187">
        <f t="shared" si="336"/>
        <v>27.795604000000026</v>
      </c>
      <c r="CP227" s="184"/>
      <c r="CQ227" s="184"/>
      <c r="CR227" s="289"/>
      <c r="CS227" s="289"/>
      <c r="CT227" s="291"/>
      <c r="CU227" s="160"/>
    </row>
    <row r="228" spans="1:99" ht="39" hidden="1" customHeight="1" outlineLevel="1">
      <c r="A228" s="183">
        <v>19</v>
      </c>
      <c r="B228" s="279" t="s">
        <v>3572</v>
      </c>
      <c r="C228" s="183" t="s">
        <v>304</v>
      </c>
      <c r="D228" s="184" t="s">
        <v>3570</v>
      </c>
      <c r="E228" s="183" t="s">
        <v>3573</v>
      </c>
      <c r="F228" s="183" t="s">
        <v>49</v>
      </c>
      <c r="G228" s="183" t="s">
        <v>82</v>
      </c>
      <c r="H228" s="183">
        <v>8156248</v>
      </c>
      <c r="I228" s="184" t="s">
        <v>3461</v>
      </c>
      <c r="J228" s="183" t="s">
        <v>49</v>
      </c>
      <c r="K228" s="183" t="s">
        <v>3465</v>
      </c>
      <c r="L228" s="183">
        <v>2025</v>
      </c>
      <c r="M228" s="183">
        <v>2025</v>
      </c>
      <c r="N228" s="282"/>
      <c r="O228" s="282" t="s">
        <v>3574</v>
      </c>
      <c r="P228" s="283">
        <v>357</v>
      </c>
      <c r="Q228" s="283">
        <v>325</v>
      </c>
      <c r="R228" s="283"/>
      <c r="S228" s="283">
        <v>32</v>
      </c>
      <c r="T228" s="186"/>
      <c r="U228" s="186"/>
      <c r="V228" s="282" t="s">
        <v>3465</v>
      </c>
      <c r="W228" s="282" t="s">
        <v>3458</v>
      </c>
      <c r="X228" s="282" t="s">
        <v>3461</v>
      </c>
      <c r="Y228" s="283"/>
      <c r="Z228" s="283"/>
      <c r="AA228" s="283"/>
      <c r="AB228" s="283"/>
      <c r="AC228" s="186">
        <f t="shared" si="324"/>
        <v>357</v>
      </c>
      <c r="AD228" s="283">
        <v>325</v>
      </c>
      <c r="AE228" s="283"/>
      <c r="AF228" s="186">
        <f t="shared" si="325"/>
        <v>32</v>
      </c>
      <c r="AG228" s="303">
        <f t="shared" si="362"/>
        <v>0</v>
      </c>
      <c r="AH228" s="283"/>
      <c r="AI228" s="283"/>
      <c r="AJ228" s="283">
        <v>32</v>
      </c>
      <c r="AK228" s="283"/>
      <c r="AL228" s="186"/>
      <c r="AM228" s="186">
        <f t="shared" si="326"/>
        <v>357</v>
      </c>
      <c r="AN228" s="283">
        <v>325</v>
      </c>
      <c r="AO228" s="283"/>
      <c r="AP228" s="186">
        <f t="shared" si="327"/>
        <v>32</v>
      </c>
      <c r="AQ228" s="283"/>
      <c r="AR228" s="283"/>
      <c r="AS228" s="283">
        <v>32</v>
      </c>
      <c r="AT228" s="283"/>
      <c r="AU228" s="186"/>
      <c r="AV228" s="186">
        <f t="shared" si="328"/>
        <v>32</v>
      </c>
      <c r="AW228" s="283"/>
      <c r="AX228" s="283"/>
      <c r="AY228" s="186">
        <f t="shared" si="329"/>
        <v>32</v>
      </c>
      <c r="AZ228" s="283"/>
      <c r="BA228" s="283"/>
      <c r="BB228" s="283">
        <v>32</v>
      </c>
      <c r="BC228" s="283"/>
      <c r="BD228" s="186"/>
      <c r="BE228" s="186">
        <f t="shared" si="330"/>
        <v>8.9635854341736696</v>
      </c>
      <c r="BF228" s="186">
        <f t="shared" si="331"/>
        <v>357</v>
      </c>
      <c r="BG228" s="283">
        <v>325</v>
      </c>
      <c r="BH228" s="283"/>
      <c r="BI228" s="186">
        <f t="shared" si="332"/>
        <v>32</v>
      </c>
      <c r="BJ228" s="332">
        <f t="shared" si="354"/>
        <v>0</v>
      </c>
      <c r="BK228" s="283"/>
      <c r="BL228" s="283"/>
      <c r="BM228" s="283">
        <v>32</v>
      </c>
      <c r="BN228" s="283"/>
      <c r="BO228" s="186"/>
      <c r="BP228" s="284">
        <f t="shared" si="333"/>
        <v>14.748332</v>
      </c>
      <c r="BQ228" s="283">
        <v>14.748332</v>
      </c>
      <c r="BR228" s="283"/>
      <c r="BS228" s="284">
        <f t="shared" si="363"/>
        <v>0</v>
      </c>
      <c r="BT228" s="283"/>
      <c r="BU228" s="283"/>
      <c r="BV228" s="283"/>
      <c r="BW228" s="283"/>
      <c r="BX228" s="186"/>
      <c r="BY228" s="285">
        <f t="shared" si="338"/>
        <v>4.1311854341736698</v>
      </c>
      <c r="BZ228" s="286">
        <f t="shared" si="334"/>
        <v>0</v>
      </c>
      <c r="CA228" s="287"/>
      <c r="CB228" s="287"/>
      <c r="CC228" s="287"/>
      <c r="CD228" s="187"/>
      <c r="CE228" s="286">
        <f t="shared" si="335"/>
        <v>0</v>
      </c>
      <c r="CF228" s="287"/>
      <c r="CG228" s="287"/>
      <c r="CH228" s="287"/>
      <c r="CI228" s="187"/>
      <c r="CJ228" s="288"/>
      <c r="CK228" s="288"/>
      <c r="CL228" s="288"/>
      <c r="CM228" s="288"/>
      <c r="CN228" s="288"/>
      <c r="CO228" s="187">
        <f t="shared" si="336"/>
        <v>342.251668</v>
      </c>
      <c r="CP228" s="184"/>
      <c r="CQ228" s="184"/>
      <c r="CR228" s="289"/>
      <c r="CS228" s="289"/>
      <c r="CT228" s="291"/>
      <c r="CU228" s="160"/>
    </row>
    <row r="229" spans="1:99" ht="97.5" hidden="1" customHeight="1" collapsed="1">
      <c r="A229" s="183">
        <v>18</v>
      </c>
      <c r="B229" s="292" t="s">
        <v>3575</v>
      </c>
      <c r="C229" s="280" t="s">
        <v>3082</v>
      </c>
      <c r="D229" s="280" t="s">
        <v>3576</v>
      </c>
      <c r="E229" s="183" t="s">
        <v>3061</v>
      </c>
      <c r="F229" s="183" t="s">
        <v>49</v>
      </c>
      <c r="G229" s="183" t="s">
        <v>55</v>
      </c>
      <c r="H229" s="183">
        <v>8110516</v>
      </c>
      <c r="I229" s="184" t="s">
        <v>3062</v>
      </c>
      <c r="J229" s="183" t="s">
        <v>49</v>
      </c>
      <c r="K229" s="280" t="s">
        <v>3084</v>
      </c>
      <c r="L229" s="280" t="s">
        <v>84</v>
      </c>
      <c r="M229" s="280">
        <v>2024</v>
      </c>
      <c r="N229" s="282"/>
      <c r="O229" s="282" t="s">
        <v>3577</v>
      </c>
      <c r="P229" s="283">
        <v>3674</v>
      </c>
      <c r="Q229" s="283">
        <v>1623</v>
      </c>
      <c r="R229" s="283"/>
      <c r="S229" s="283">
        <v>2051</v>
      </c>
      <c r="T229" s="186">
        <v>0</v>
      </c>
      <c r="U229" s="186"/>
      <c r="V229" s="282" t="s">
        <v>3084</v>
      </c>
      <c r="W229" s="282" t="s">
        <v>3069</v>
      </c>
      <c r="X229" s="282" t="s">
        <v>3062</v>
      </c>
      <c r="Y229" s="186"/>
      <c r="Z229" s="186"/>
      <c r="AA229" s="186"/>
      <c r="AB229" s="186"/>
      <c r="AC229" s="186">
        <f>AD229+AE229+AF229</f>
        <v>3674</v>
      </c>
      <c r="AD229" s="283">
        <v>1623</v>
      </c>
      <c r="AE229" s="283"/>
      <c r="AF229" s="186">
        <f>SUM(AH229:AK229)</f>
        <v>2051</v>
      </c>
      <c r="AG229" s="303">
        <f t="shared" si="362"/>
        <v>2051</v>
      </c>
      <c r="AH229" s="186">
        <v>2051</v>
      </c>
      <c r="AI229" s="283"/>
      <c r="AJ229" s="283"/>
      <c r="AK229" s="186"/>
      <c r="AL229" s="186">
        <v>0</v>
      </c>
      <c r="AM229" s="186">
        <f>AN229+AO229+AP229</f>
        <v>3674</v>
      </c>
      <c r="AN229" s="283">
        <v>1623</v>
      </c>
      <c r="AO229" s="283"/>
      <c r="AP229" s="186">
        <f>SUM(AQ229:AT229)</f>
        <v>2051</v>
      </c>
      <c r="AQ229" s="283">
        <v>2051</v>
      </c>
      <c r="AR229" s="283"/>
      <c r="AS229" s="283"/>
      <c r="AT229" s="283"/>
      <c r="AU229" s="186">
        <v>0</v>
      </c>
      <c r="AV229" s="186">
        <f>AW229+AX229+AY229</f>
        <v>3425.8861429999997</v>
      </c>
      <c r="AW229" s="283">
        <v>1623</v>
      </c>
      <c r="AX229" s="283"/>
      <c r="AY229" s="186">
        <f>SUM(AZ229:BC229)</f>
        <v>1802.8861429999999</v>
      </c>
      <c r="AZ229" s="283">
        <f>2051-248.113857</f>
        <v>1802.8861429999999</v>
      </c>
      <c r="BA229" s="283"/>
      <c r="BB229" s="283"/>
      <c r="BC229" s="283"/>
      <c r="BD229" s="186">
        <v>0</v>
      </c>
      <c r="BE229" s="186">
        <f>AV229/AM229*100</f>
        <v>93.246764915623288</v>
      </c>
      <c r="BF229" s="186">
        <f>BG229+BH229+BI229</f>
        <v>551</v>
      </c>
      <c r="BG229" s="283"/>
      <c r="BH229" s="283"/>
      <c r="BI229" s="186">
        <f>SUM(BK229:BN229)</f>
        <v>551</v>
      </c>
      <c r="BJ229" s="332">
        <f t="shared" si="354"/>
        <v>551</v>
      </c>
      <c r="BK229" s="283">
        <v>551</v>
      </c>
      <c r="BL229" s="283"/>
      <c r="BM229" s="283"/>
      <c r="BN229" s="283"/>
      <c r="BO229" s="186">
        <v>0</v>
      </c>
      <c r="BP229" s="284">
        <f>BQ229+BR229+BS229</f>
        <v>302.886143</v>
      </c>
      <c r="BQ229" s="283"/>
      <c r="BR229" s="283"/>
      <c r="BS229" s="283">
        <f>SUM(BT229:BW229)</f>
        <v>302.886143</v>
      </c>
      <c r="BT229" s="283">
        <f>BK229-248.113857</f>
        <v>302.886143</v>
      </c>
      <c r="BU229" s="283"/>
      <c r="BV229" s="283"/>
      <c r="BW229" s="283"/>
      <c r="BX229" s="186">
        <v>0</v>
      </c>
      <c r="BY229" s="285">
        <f>BP229/BF229*100</f>
        <v>54.970261887477314</v>
      </c>
      <c r="BZ229" s="286">
        <f>CA229+CC229+CD229</f>
        <v>0</v>
      </c>
      <c r="CA229" s="287"/>
      <c r="CB229" s="287"/>
      <c r="CC229" s="287"/>
      <c r="CD229" s="187">
        <v>0</v>
      </c>
      <c r="CE229" s="286">
        <f>CF229+CH229+CI229</f>
        <v>0</v>
      </c>
      <c r="CF229" s="287"/>
      <c r="CG229" s="287"/>
      <c r="CH229" s="287"/>
      <c r="CI229" s="187"/>
      <c r="CJ229" s="288"/>
      <c r="CK229" s="288"/>
      <c r="CL229" s="288"/>
      <c r="CM229" s="288"/>
      <c r="CN229" s="288"/>
      <c r="CO229" s="187">
        <f>BF229-BP229</f>
        <v>248.113857</v>
      </c>
      <c r="CP229" s="184" t="s">
        <v>3578</v>
      </c>
      <c r="CQ229" s="184"/>
      <c r="CR229" s="289" t="s">
        <v>3087</v>
      </c>
      <c r="CS229" s="289"/>
      <c r="CT229" s="291"/>
      <c r="CU229" s="160"/>
    </row>
    <row r="230" spans="1:99" ht="67.5" hidden="1" customHeight="1" outlineLevel="1">
      <c r="A230" s="183">
        <v>19</v>
      </c>
      <c r="B230" s="279" t="s">
        <v>3579</v>
      </c>
      <c r="C230" s="183" t="s">
        <v>304</v>
      </c>
      <c r="D230" s="184" t="s">
        <v>3580</v>
      </c>
      <c r="E230" s="183" t="s">
        <v>3509</v>
      </c>
      <c r="F230" s="183" t="s">
        <v>49</v>
      </c>
      <c r="G230" s="183" t="s">
        <v>82</v>
      </c>
      <c r="H230" s="183">
        <v>8133148</v>
      </c>
      <c r="I230" s="184" t="s">
        <v>311</v>
      </c>
      <c r="J230" s="183" t="s">
        <v>49</v>
      </c>
      <c r="K230" s="183" t="s">
        <v>3367</v>
      </c>
      <c r="L230" s="183" t="s">
        <v>1206</v>
      </c>
      <c r="M230" s="183">
        <v>2025</v>
      </c>
      <c r="N230" s="282"/>
      <c r="O230" s="282" t="s">
        <v>3581</v>
      </c>
      <c r="P230" s="283">
        <v>2000</v>
      </c>
      <c r="Q230" s="283">
        <v>200</v>
      </c>
      <c r="R230" s="283"/>
      <c r="S230" s="283">
        <v>1800</v>
      </c>
      <c r="T230" s="186"/>
      <c r="U230" s="186"/>
      <c r="V230" s="282" t="s">
        <v>3367</v>
      </c>
      <c r="W230" s="305" t="s">
        <v>3364</v>
      </c>
      <c r="X230" s="282" t="s">
        <v>311</v>
      </c>
      <c r="Y230" s="283"/>
      <c r="Z230" s="283"/>
      <c r="AA230" s="283"/>
      <c r="AB230" s="283"/>
      <c r="AC230" s="186">
        <f t="shared" si="324"/>
        <v>2000</v>
      </c>
      <c r="AD230" s="283">
        <v>200</v>
      </c>
      <c r="AE230" s="283"/>
      <c r="AF230" s="186">
        <f>SUM(AH230:AK230)</f>
        <v>1800</v>
      </c>
      <c r="AG230" s="303">
        <f>AH230+AI230</f>
        <v>0</v>
      </c>
      <c r="AH230" s="283"/>
      <c r="AI230" s="283"/>
      <c r="AJ230" s="283">
        <v>1800</v>
      </c>
      <c r="AK230" s="283"/>
      <c r="AL230" s="186"/>
      <c r="AM230" s="186">
        <f t="shared" si="326"/>
        <v>2000</v>
      </c>
      <c r="AN230" s="283">
        <v>200</v>
      </c>
      <c r="AO230" s="283"/>
      <c r="AP230" s="186">
        <f t="shared" si="327"/>
        <v>1800</v>
      </c>
      <c r="AQ230" s="283"/>
      <c r="AR230" s="283"/>
      <c r="AS230" s="283">
        <v>1800</v>
      </c>
      <c r="AT230" s="283"/>
      <c r="AU230" s="186"/>
      <c r="AV230" s="186">
        <f t="shared" si="328"/>
        <v>648.62029000000007</v>
      </c>
      <c r="AW230" s="283">
        <f>200-71.81271</f>
        <v>128.18729000000002</v>
      </c>
      <c r="AX230" s="283"/>
      <c r="AY230" s="186">
        <f t="shared" si="329"/>
        <v>520.43299999999999</v>
      </c>
      <c r="AZ230" s="283"/>
      <c r="BA230" s="283"/>
      <c r="BB230" s="283">
        <v>520.43299999999999</v>
      </c>
      <c r="BC230" s="283"/>
      <c r="BD230" s="186"/>
      <c r="BE230" s="186">
        <f t="shared" si="330"/>
        <v>32.431014500000003</v>
      </c>
      <c r="BF230" s="186">
        <f t="shared" si="331"/>
        <v>2000</v>
      </c>
      <c r="BG230" s="283">
        <v>200</v>
      </c>
      <c r="BH230" s="283"/>
      <c r="BI230" s="186">
        <f>SUM(BK230:BN230)</f>
        <v>1800</v>
      </c>
      <c r="BJ230" s="332">
        <f t="shared" si="354"/>
        <v>0</v>
      </c>
      <c r="BK230" s="283"/>
      <c r="BL230" s="283"/>
      <c r="BM230" s="283">
        <v>1800</v>
      </c>
      <c r="BN230" s="283"/>
      <c r="BO230" s="186"/>
      <c r="BP230" s="284">
        <f t="shared" si="333"/>
        <v>1899.1382899999999</v>
      </c>
      <c r="BQ230" s="283">
        <v>180.04829000000001</v>
      </c>
      <c r="BR230" s="283"/>
      <c r="BS230" s="284">
        <f t="shared" si="363"/>
        <v>1719.09</v>
      </c>
      <c r="BT230" s="283"/>
      <c r="BU230" s="283"/>
      <c r="BV230" s="283">
        <v>1719.09</v>
      </c>
      <c r="BW230" s="283"/>
      <c r="BX230" s="186"/>
      <c r="BY230" s="285">
        <f t="shared" si="338"/>
        <v>94.956914499999982</v>
      </c>
      <c r="BZ230" s="286">
        <f t="shared" si="334"/>
        <v>0</v>
      </c>
      <c r="CA230" s="287"/>
      <c r="CB230" s="287"/>
      <c r="CC230" s="287"/>
      <c r="CD230" s="187"/>
      <c r="CE230" s="286">
        <f t="shared" si="335"/>
        <v>0</v>
      </c>
      <c r="CF230" s="287"/>
      <c r="CG230" s="287"/>
      <c r="CH230" s="287"/>
      <c r="CI230" s="187"/>
      <c r="CJ230" s="288"/>
      <c r="CK230" s="288"/>
      <c r="CL230" s="288"/>
      <c r="CM230" s="288"/>
      <c r="CN230" s="288"/>
      <c r="CO230" s="187">
        <f t="shared" si="336"/>
        <v>100.86171000000013</v>
      </c>
      <c r="CP230" s="184"/>
      <c r="CQ230" s="184"/>
      <c r="CR230" s="289" t="s">
        <v>3087</v>
      </c>
      <c r="CS230" s="289"/>
      <c r="CT230" s="291"/>
      <c r="CU230" s="160"/>
    </row>
    <row r="231" spans="1:99" ht="47.25" customHeight="1" collapsed="1">
      <c r="A231" s="191" t="s">
        <v>3666</v>
      </c>
      <c r="B231" s="309" t="s">
        <v>3637</v>
      </c>
      <c r="C231" s="309"/>
      <c r="D231" s="191"/>
      <c r="E231" s="191"/>
      <c r="F231" s="191"/>
      <c r="G231" s="191"/>
      <c r="H231" s="191"/>
      <c r="I231" s="192"/>
      <c r="J231" s="191"/>
      <c r="K231" s="196"/>
      <c r="L231" s="191"/>
      <c r="M231" s="191"/>
      <c r="N231" s="298"/>
      <c r="O231" s="298"/>
      <c r="P231" s="194">
        <f>P232+P233</f>
        <v>8025.8365039999999</v>
      </c>
      <c r="Q231" s="194">
        <f t="shared" ref="Q231:BN231" si="364">Q232+Q233</f>
        <v>0</v>
      </c>
      <c r="R231" s="194">
        <f t="shared" si="364"/>
        <v>0</v>
      </c>
      <c r="S231" s="194">
        <f t="shared" si="364"/>
        <v>20183.855503999999</v>
      </c>
      <c r="T231" s="194">
        <f t="shared" si="364"/>
        <v>0</v>
      </c>
      <c r="U231" s="194">
        <f t="shared" si="364"/>
        <v>0</v>
      </c>
      <c r="V231" s="299" t="e">
        <f t="shared" si="364"/>
        <v>#VALUE!</v>
      </c>
      <c r="W231" s="299" t="e">
        <f t="shared" si="364"/>
        <v>#VALUE!</v>
      </c>
      <c r="X231" s="299" t="e">
        <f t="shared" si="364"/>
        <v>#VALUE!</v>
      </c>
      <c r="Y231" s="194">
        <f t="shared" si="364"/>
        <v>0</v>
      </c>
      <c r="Z231" s="194">
        <f t="shared" si="364"/>
        <v>0</v>
      </c>
      <c r="AA231" s="194">
        <f t="shared" si="364"/>
        <v>0</v>
      </c>
      <c r="AB231" s="194">
        <f t="shared" si="364"/>
        <v>0</v>
      </c>
      <c r="AC231" s="194">
        <f t="shared" si="364"/>
        <v>20321.445925</v>
      </c>
      <c r="AD231" s="194">
        <f t="shared" si="364"/>
        <v>0</v>
      </c>
      <c r="AE231" s="194">
        <f t="shared" si="364"/>
        <v>0</v>
      </c>
      <c r="AF231" s="194">
        <f t="shared" si="364"/>
        <v>20321.445925</v>
      </c>
      <c r="AG231" s="194">
        <f t="shared" si="364"/>
        <v>3233.0190000000002</v>
      </c>
      <c r="AH231" s="194">
        <f t="shared" si="364"/>
        <v>3233.0190000000002</v>
      </c>
      <c r="AI231" s="194">
        <f t="shared" si="364"/>
        <v>0</v>
      </c>
      <c r="AJ231" s="194">
        <f t="shared" si="364"/>
        <v>14088.426925</v>
      </c>
      <c r="AK231" s="194">
        <f t="shared" si="364"/>
        <v>3000</v>
      </c>
      <c r="AL231" s="194">
        <f t="shared" si="364"/>
        <v>0</v>
      </c>
      <c r="AM231" s="194">
        <f t="shared" si="364"/>
        <v>0</v>
      </c>
      <c r="AN231" s="194">
        <f t="shared" si="364"/>
        <v>0</v>
      </c>
      <c r="AO231" s="194">
        <f t="shared" si="364"/>
        <v>0</v>
      </c>
      <c r="AP231" s="194">
        <f t="shared" si="364"/>
        <v>0</v>
      </c>
      <c r="AQ231" s="194">
        <f t="shared" si="364"/>
        <v>0</v>
      </c>
      <c r="AR231" s="194">
        <f t="shared" si="364"/>
        <v>0</v>
      </c>
      <c r="AS231" s="194">
        <f t="shared" si="364"/>
        <v>0</v>
      </c>
      <c r="AT231" s="194">
        <f t="shared" si="364"/>
        <v>0</v>
      </c>
      <c r="AU231" s="194">
        <f t="shared" si="364"/>
        <v>0</v>
      </c>
      <c r="AV231" s="194">
        <f t="shared" si="364"/>
        <v>0</v>
      </c>
      <c r="AW231" s="194">
        <f t="shared" si="364"/>
        <v>0</v>
      </c>
      <c r="AX231" s="194">
        <f t="shared" si="364"/>
        <v>0</v>
      </c>
      <c r="AY231" s="194">
        <f t="shared" si="364"/>
        <v>0</v>
      </c>
      <c r="AZ231" s="194">
        <f t="shared" si="364"/>
        <v>0</v>
      </c>
      <c r="BA231" s="194">
        <f t="shared" si="364"/>
        <v>0</v>
      </c>
      <c r="BB231" s="194">
        <f t="shared" si="364"/>
        <v>0</v>
      </c>
      <c r="BC231" s="194">
        <f t="shared" si="364"/>
        <v>0</v>
      </c>
      <c r="BD231" s="194">
        <f t="shared" si="364"/>
        <v>0</v>
      </c>
      <c r="BE231" s="194">
        <f t="shared" si="364"/>
        <v>0</v>
      </c>
      <c r="BF231" s="194">
        <f t="shared" si="364"/>
        <v>1039.0190000000002</v>
      </c>
      <c r="BG231" s="194">
        <f t="shared" si="364"/>
        <v>0</v>
      </c>
      <c r="BH231" s="194">
        <f t="shared" si="364"/>
        <v>0</v>
      </c>
      <c r="BI231" s="194">
        <f t="shared" si="364"/>
        <v>1039.0190000000002</v>
      </c>
      <c r="BJ231" s="194">
        <f t="shared" si="364"/>
        <v>1039.0190000000002</v>
      </c>
      <c r="BK231" s="194">
        <f t="shared" si="364"/>
        <v>1039.0190000000002</v>
      </c>
      <c r="BL231" s="194">
        <f t="shared" si="364"/>
        <v>0</v>
      </c>
      <c r="BM231" s="194">
        <f t="shared" si="364"/>
        <v>0</v>
      </c>
      <c r="BN231" s="194">
        <f t="shared" si="364"/>
        <v>0</v>
      </c>
      <c r="BO231" s="311" t="e">
        <f>#REF!+#REF!+BO232+BO233</f>
        <v>#REF!</v>
      </c>
      <c r="BP231" s="311">
        <f t="shared" ref="BP231:BX231" si="365">SUM(BP232:BP233)</f>
        <v>0</v>
      </c>
      <c r="BQ231" s="311">
        <f t="shared" si="365"/>
        <v>0</v>
      </c>
      <c r="BR231" s="311">
        <f t="shared" si="365"/>
        <v>0</v>
      </c>
      <c r="BS231" s="311">
        <f t="shared" si="365"/>
        <v>0</v>
      </c>
      <c r="BT231" s="311">
        <f t="shared" si="365"/>
        <v>0</v>
      </c>
      <c r="BU231" s="311">
        <f t="shared" si="365"/>
        <v>0</v>
      </c>
      <c r="BV231" s="311">
        <f t="shared" si="365"/>
        <v>0</v>
      </c>
      <c r="BW231" s="311">
        <f t="shared" si="365"/>
        <v>0</v>
      </c>
      <c r="BX231" s="311">
        <f t="shared" si="365"/>
        <v>0</v>
      </c>
      <c r="BY231" s="311"/>
      <c r="BZ231" s="196">
        <f t="shared" ref="BZ231:CJ231" si="366">SUM(BZ232:BZ234)</f>
        <v>0</v>
      </c>
      <c r="CA231" s="196">
        <f t="shared" si="366"/>
        <v>0</v>
      </c>
      <c r="CB231" s="196">
        <f t="shared" si="366"/>
        <v>0</v>
      </c>
      <c r="CC231" s="196">
        <f t="shared" si="366"/>
        <v>0</v>
      </c>
      <c r="CD231" s="196">
        <f t="shared" si="366"/>
        <v>0</v>
      </c>
      <c r="CE231" s="196">
        <f t="shared" si="366"/>
        <v>0</v>
      </c>
      <c r="CF231" s="196">
        <f t="shared" si="366"/>
        <v>0</v>
      </c>
      <c r="CG231" s="196">
        <f t="shared" si="366"/>
        <v>0</v>
      </c>
      <c r="CH231" s="196">
        <f t="shared" si="366"/>
        <v>0</v>
      </c>
      <c r="CI231" s="196">
        <f t="shared" si="366"/>
        <v>0</v>
      </c>
      <c r="CJ231" s="196">
        <f t="shared" si="366"/>
        <v>0</v>
      </c>
      <c r="CK231" s="196"/>
      <c r="CL231" s="196"/>
      <c r="CM231" s="196"/>
      <c r="CN231" s="196"/>
      <c r="CO231" s="196">
        <f>SUM(CO232:CO234)</f>
        <v>0</v>
      </c>
      <c r="CP231" s="192"/>
      <c r="CQ231" s="192"/>
      <c r="CR231" s="310"/>
      <c r="CS231" s="310"/>
      <c r="CT231" s="301"/>
      <c r="CU231" s="161"/>
    </row>
    <row r="232" spans="1:99" ht="43.5" customHeight="1">
      <c r="A232" s="183">
        <v>1</v>
      </c>
      <c r="B232" s="481" t="s">
        <v>3582</v>
      </c>
      <c r="C232" s="183" t="s">
        <v>304</v>
      </c>
      <c r="D232" s="183"/>
      <c r="E232" s="183"/>
      <c r="F232" s="183"/>
      <c r="G232" s="183"/>
      <c r="H232" s="183"/>
      <c r="I232" s="184"/>
      <c r="J232" s="183"/>
      <c r="K232" s="183"/>
      <c r="L232" s="183"/>
      <c r="M232" s="183"/>
      <c r="N232" s="282"/>
      <c r="O232" s="282"/>
      <c r="P232" s="186">
        <v>5025.8365039999999</v>
      </c>
      <c r="Q232" s="186"/>
      <c r="R232" s="186"/>
      <c r="S232" s="186">
        <v>5025.8365039999999</v>
      </c>
      <c r="T232" s="186"/>
      <c r="U232" s="186"/>
      <c r="V232" s="282" t="s">
        <v>3037</v>
      </c>
      <c r="W232" s="282" t="s">
        <v>3039</v>
      </c>
      <c r="X232" s="282" t="s">
        <v>311</v>
      </c>
      <c r="Y232" s="186"/>
      <c r="Z232" s="186"/>
      <c r="AA232" s="186"/>
      <c r="AB232" s="186"/>
      <c r="AC232" s="186">
        <f t="shared" ref="AC232:AC233" si="367">AD232+AE232+AF232</f>
        <v>5025.8365039999999</v>
      </c>
      <c r="AD232" s="186"/>
      <c r="AE232" s="186"/>
      <c r="AF232" s="186">
        <f>SUM(AH232:AJ232)</f>
        <v>5025.8365039999999</v>
      </c>
      <c r="AG232" s="283">
        <f t="shared" si="362"/>
        <v>0</v>
      </c>
      <c r="AH232" s="186"/>
      <c r="AI232" s="186"/>
      <c r="AJ232" s="186">
        <v>5025.8365039999999</v>
      </c>
      <c r="AK232" s="186"/>
      <c r="AL232" s="186"/>
      <c r="AM232" s="186">
        <f t="shared" ref="AM232" si="368">AN232+AO232+AP232</f>
        <v>0</v>
      </c>
      <c r="AN232" s="186"/>
      <c r="AO232" s="186"/>
      <c r="AP232" s="186">
        <f t="shared" ref="AP232:AP233" si="369">SUM(AQ232:AT232)</f>
        <v>0</v>
      </c>
      <c r="AQ232" s="186"/>
      <c r="AR232" s="186">
        <v>0</v>
      </c>
      <c r="AS232" s="186">
        <v>0</v>
      </c>
      <c r="AT232" s="186"/>
      <c r="AU232" s="186"/>
      <c r="AV232" s="186"/>
      <c r="AW232" s="186"/>
      <c r="AX232" s="186"/>
      <c r="AY232" s="186"/>
      <c r="AZ232" s="186"/>
      <c r="BA232" s="186"/>
      <c r="BB232" s="186"/>
      <c r="BC232" s="186"/>
      <c r="BD232" s="186"/>
      <c r="BE232" s="186"/>
      <c r="BF232" s="186"/>
      <c r="BG232" s="186"/>
      <c r="BH232" s="186"/>
      <c r="BI232" s="186"/>
      <c r="BJ232" s="283">
        <f t="shared" ref="BJ232" si="370">BK232+BL232</f>
        <v>0</v>
      </c>
      <c r="BK232" s="186"/>
      <c r="BL232" s="186"/>
      <c r="BM232" s="186"/>
      <c r="BN232" s="186"/>
      <c r="BO232" s="186"/>
      <c r="BP232" s="284"/>
      <c r="BQ232" s="186"/>
      <c r="BR232" s="186"/>
      <c r="BS232" s="186"/>
      <c r="BT232" s="186"/>
      <c r="BU232" s="186"/>
      <c r="BV232" s="186"/>
      <c r="BW232" s="186"/>
      <c r="BX232" s="186"/>
      <c r="BY232" s="285"/>
      <c r="BZ232" s="286"/>
      <c r="CA232" s="187"/>
      <c r="CB232" s="187"/>
      <c r="CC232" s="187"/>
      <c r="CD232" s="187"/>
      <c r="CE232" s="286"/>
      <c r="CF232" s="187"/>
      <c r="CG232" s="187"/>
      <c r="CH232" s="187"/>
      <c r="CI232" s="187"/>
      <c r="CJ232" s="288"/>
      <c r="CK232" s="288"/>
      <c r="CL232" s="288"/>
      <c r="CM232" s="288"/>
      <c r="CN232" s="288"/>
      <c r="CO232" s="187"/>
      <c r="CP232" s="184"/>
      <c r="CQ232" s="184"/>
      <c r="CR232" s="289"/>
      <c r="CS232" s="289"/>
      <c r="CT232" s="291"/>
      <c r="CU232" s="160"/>
    </row>
    <row r="233" spans="1:99" ht="46.5" customHeight="1">
      <c r="A233" s="351">
        <v>2</v>
      </c>
      <c r="B233" s="352" t="s">
        <v>3583</v>
      </c>
      <c r="C233" s="353" t="s">
        <v>3584</v>
      </c>
      <c r="D233" s="354" t="s">
        <v>3585</v>
      </c>
      <c r="E233" s="351"/>
      <c r="F233" s="351"/>
      <c r="G233" s="351" t="s">
        <v>3118</v>
      </c>
      <c r="H233" s="351"/>
      <c r="I233" s="354"/>
      <c r="J233" s="351"/>
      <c r="K233" s="353"/>
      <c r="L233" s="351"/>
      <c r="M233" s="351"/>
      <c r="N233" s="355"/>
      <c r="O233" s="355"/>
      <c r="P233" s="356">
        <v>3000</v>
      </c>
      <c r="Q233" s="356"/>
      <c r="R233" s="356"/>
      <c r="S233" s="356">
        <v>15158.019</v>
      </c>
      <c r="T233" s="356">
        <v>0</v>
      </c>
      <c r="U233" s="356"/>
      <c r="V233" s="355" t="s">
        <v>3037</v>
      </c>
      <c r="W233" s="355" t="s">
        <v>3039</v>
      </c>
      <c r="X233" s="355" t="s">
        <v>311</v>
      </c>
      <c r="Y233" s="357"/>
      <c r="Z233" s="357"/>
      <c r="AA233" s="357"/>
      <c r="AB233" s="357"/>
      <c r="AC233" s="356">
        <f t="shared" si="367"/>
        <v>15295.609421000001</v>
      </c>
      <c r="AD233" s="356"/>
      <c r="AE233" s="356"/>
      <c r="AF233" s="356">
        <f>SUM(AH233:AK233)</f>
        <v>15295.609421000001</v>
      </c>
      <c r="AG233" s="357">
        <f>AH233+AI233</f>
        <v>3233.0190000000002</v>
      </c>
      <c r="AH233" s="357">
        <f>1039.019+2202-8</f>
        <v>3233.0190000000002</v>
      </c>
      <c r="AI233" s="356"/>
      <c r="AJ233" s="356">
        <f>24016-AJ194</f>
        <v>9062.5904210000008</v>
      </c>
      <c r="AK233" s="356">
        <v>3000</v>
      </c>
      <c r="AL233" s="356">
        <v>0</v>
      </c>
      <c r="AM233" s="356"/>
      <c r="AN233" s="356"/>
      <c r="AO233" s="356"/>
      <c r="AP233" s="356">
        <f t="shared" si="369"/>
        <v>0</v>
      </c>
      <c r="AQ233" s="356"/>
      <c r="AR233" s="356">
        <v>0</v>
      </c>
      <c r="AS233" s="356"/>
      <c r="AT233" s="356"/>
      <c r="AU233" s="356"/>
      <c r="AV233" s="356">
        <f>AW233+AX233+AY233</f>
        <v>0</v>
      </c>
      <c r="AW233" s="356"/>
      <c r="AX233" s="356"/>
      <c r="AY233" s="356">
        <f>SUM(AZ233:BC233)</f>
        <v>0</v>
      </c>
      <c r="AZ233" s="356"/>
      <c r="BA233" s="356"/>
      <c r="BB233" s="356"/>
      <c r="BC233" s="356"/>
      <c r="BD233" s="356"/>
      <c r="BE233" s="356"/>
      <c r="BF233" s="356">
        <f>BG233+BH233+BI233</f>
        <v>1039.0190000000002</v>
      </c>
      <c r="BG233" s="356"/>
      <c r="BH233" s="356"/>
      <c r="BI233" s="356">
        <f>SUM(BK233:BN233)</f>
        <v>1039.0190000000002</v>
      </c>
      <c r="BJ233" s="357">
        <f>BK233+BL233</f>
        <v>1039.0190000000002</v>
      </c>
      <c r="BK233" s="357">
        <f>4682-BK195</f>
        <v>1039.0190000000002</v>
      </c>
      <c r="BL233" s="356"/>
      <c r="BM233" s="356"/>
      <c r="BN233" s="356"/>
      <c r="BO233" s="356"/>
      <c r="BP233" s="358"/>
      <c r="BQ233" s="358"/>
      <c r="BR233" s="358"/>
      <c r="BS233" s="358"/>
      <c r="BT233" s="358"/>
      <c r="BU233" s="358"/>
      <c r="BV233" s="358"/>
      <c r="BW233" s="358"/>
      <c r="BX233" s="356"/>
      <c r="BY233" s="359"/>
      <c r="BZ233" s="360"/>
      <c r="CA233" s="360"/>
      <c r="CB233" s="360"/>
      <c r="CC233" s="360"/>
      <c r="CD233" s="361"/>
      <c r="CE233" s="360"/>
      <c r="CF233" s="360"/>
      <c r="CG233" s="360"/>
      <c r="CH233" s="360"/>
      <c r="CI233" s="361"/>
      <c r="CJ233" s="362"/>
      <c r="CK233" s="362"/>
      <c r="CL233" s="362"/>
      <c r="CM233" s="362"/>
      <c r="CN233" s="362"/>
      <c r="CO233" s="361"/>
      <c r="CP233" s="354"/>
      <c r="CQ233" s="354"/>
      <c r="CR233" s="363" t="s">
        <v>3040</v>
      </c>
      <c r="CS233" s="363"/>
      <c r="CT233" s="364"/>
      <c r="CU233" s="160"/>
    </row>
    <row r="234" spans="1:99" s="141" customFormat="1" ht="15.4">
      <c r="A234" s="800" t="s">
        <v>3688</v>
      </c>
      <c r="B234" s="801"/>
      <c r="C234" s="801"/>
      <c r="D234" s="801"/>
      <c r="E234" s="801"/>
      <c r="F234" s="801"/>
      <c r="G234" s="801"/>
      <c r="H234" s="801"/>
      <c r="I234" s="801"/>
      <c r="J234" s="801"/>
      <c r="K234" s="801"/>
      <c r="L234" s="801"/>
      <c r="M234" s="801"/>
      <c r="N234" s="801"/>
      <c r="O234" s="801"/>
      <c r="P234" s="801"/>
      <c r="Q234" s="801"/>
      <c r="R234" s="801"/>
      <c r="S234" s="801"/>
      <c r="T234" s="801"/>
      <c r="U234" s="801"/>
      <c r="V234" s="801"/>
      <c r="W234" s="801"/>
      <c r="X234" s="801"/>
      <c r="Y234" s="801"/>
      <c r="Z234" s="801"/>
      <c r="AA234" s="801"/>
      <c r="AB234" s="801"/>
      <c r="AC234" s="801"/>
      <c r="AD234" s="801"/>
      <c r="AE234" s="801"/>
      <c r="AF234" s="801"/>
      <c r="AG234" s="801"/>
      <c r="AH234" s="801"/>
      <c r="AI234" s="801"/>
      <c r="AJ234" s="801"/>
      <c r="AK234" s="801"/>
      <c r="AL234" s="801"/>
      <c r="AM234" s="801"/>
      <c r="AN234" s="801"/>
      <c r="AO234" s="801"/>
      <c r="AP234" s="801"/>
      <c r="AQ234" s="801"/>
      <c r="AR234" s="801"/>
      <c r="AS234" s="801"/>
      <c r="AT234" s="801"/>
      <c r="AU234" s="801"/>
      <c r="AV234" s="801"/>
      <c r="AW234" s="801"/>
      <c r="AX234" s="801"/>
      <c r="AY234" s="801"/>
      <c r="AZ234" s="801"/>
      <c r="BA234" s="801"/>
      <c r="BB234" s="801"/>
      <c r="BC234" s="801"/>
      <c r="BD234" s="801"/>
      <c r="BE234" s="801"/>
      <c r="BF234" s="801"/>
      <c r="BG234" s="801"/>
      <c r="BH234" s="801"/>
      <c r="BI234" s="801"/>
      <c r="BJ234" s="801"/>
      <c r="BK234" s="801"/>
      <c r="BL234" s="801"/>
      <c r="BM234" s="801"/>
      <c r="BN234" s="801"/>
      <c r="BO234" s="801"/>
      <c r="BP234" s="801"/>
      <c r="BQ234" s="801"/>
      <c r="BR234" s="801"/>
      <c r="BS234" s="801"/>
      <c r="BT234" s="801"/>
      <c r="BU234" s="801"/>
      <c r="BV234" s="801"/>
      <c r="BW234" s="801"/>
      <c r="BX234" s="801"/>
      <c r="BY234" s="801"/>
      <c r="BZ234" s="387"/>
      <c r="CA234" s="387"/>
      <c r="CB234" s="387"/>
      <c r="CC234" s="387"/>
      <c r="CD234" s="387"/>
      <c r="CE234" s="387"/>
      <c r="CF234" s="387"/>
      <c r="CG234" s="387"/>
      <c r="CH234" s="387"/>
      <c r="CI234" s="387"/>
      <c r="CJ234" s="387"/>
      <c r="CK234" s="387"/>
      <c r="CL234" s="387"/>
      <c r="CM234" s="387"/>
      <c r="CN234" s="387"/>
      <c r="CO234" s="387"/>
      <c r="CP234" s="387"/>
      <c r="CQ234" s="387"/>
      <c r="CR234" s="387"/>
      <c r="CS234" s="387"/>
      <c r="CT234" s="387"/>
    </row>
    <row r="235" spans="1:99" s="141" customFormat="1" ht="36" customHeight="1">
      <c r="A235" s="802"/>
      <c r="B235" s="802"/>
      <c r="C235" s="802"/>
      <c r="D235" s="802"/>
      <c r="E235" s="802"/>
      <c r="F235" s="802"/>
      <c r="G235" s="802"/>
      <c r="H235" s="802"/>
      <c r="I235" s="802"/>
      <c r="J235" s="802"/>
      <c r="K235" s="802"/>
      <c r="L235" s="802"/>
      <c r="M235" s="802"/>
      <c r="N235" s="802"/>
      <c r="O235" s="802"/>
      <c r="P235" s="802"/>
      <c r="Q235" s="802"/>
      <c r="R235" s="802"/>
      <c r="S235" s="802"/>
      <c r="T235" s="802"/>
      <c r="U235" s="802"/>
      <c r="V235" s="802"/>
      <c r="W235" s="802"/>
      <c r="X235" s="802"/>
      <c r="Y235" s="802"/>
      <c r="Z235" s="802"/>
      <c r="AA235" s="802"/>
      <c r="AB235" s="802"/>
      <c r="AC235" s="802"/>
      <c r="AD235" s="802"/>
      <c r="AE235" s="802"/>
      <c r="AF235" s="802"/>
      <c r="AG235" s="802"/>
      <c r="AH235" s="802"/>
      <c r="AI235" s="802"/>
      <c r="AJ235" s="802"/>
      <c r="AK235" s="802"/>
      <c r="AL235" s="802"/>
      <c r="AM235" s="802"/>
      <c r="AN235" s="802"/>
      <c r="AO235" s="802"/>
      <c r="AP235" s="802"/>
      <c r="AQ235" s="802"/>
      <c r="AR235" s="802"/>
      <c r="AS235" s="802"/>
      <c r="AT235" s="802"/>
      <c r="AU235" s="802"/>
      <c r="AV235" s="802"/>
      <c r="AW235" s="802"/>
      <c r="AX235" s="802"/>
      <c r="AY235" s="802"/>
      <c r="AZ235" s="802"/>
      <c r="BA235" s="802"/>
      <c r="BB235" s="802"/>
      <c r="BC235" s="802"/>
      <c r="BD235" s="802"/>
      <c r="BE235" s="802"/>
      <c r="BF235" s="802"/>
      <c r="BG235" s="802"/>
      <c r="BH235" s="802"/>
      <c r="BI235" s="802"/>
      <c r="BJ235" s="802"/>
      <c r="BK235" s="802"/>
      <c r="BL235" s="802"/>
      <c r="BM235" s="802"/>
      <c r="BN235" s="802"/>
      <c r="BO235" s="802"/>
      <c r="BP235" s="802"/>
      <c r="BQ235" s="802"/>
      <c r="BR235" s="802"/>
      <c r="BS235" s="802"/>
      <c r="BT235" s="802"/>
      <c r="BU235" s="802"/>
      <c r="BV235" s="802"/>
      <c r="BW235" s="802"/>
      <c r="BX235" s="802"/>
      <c r="BY235" s="802"/>
      <c r="BZ235" s="387"/>
      <c r="CA235" s="387"/>
      <c r="CB235" s="387"/>
      <c r="CC235" s="387"/>
      <c r="CD235" s="387"/>
      <c r="CE235" s="387"/>
      <c r="CF235" s="387"/>
      <c r="CG235" s="387"/>
      <c r="CH235" s="387"/>
      <c r="CI235" s="387"/>
      <c r="CJ235" s="387"/>
      <c r="CK235" s="387"/>
      <c r="CL235" s="387"/>
      <c r="CM235" s="387"/>
      <c r="CN235" s="387"/>
      <c r="CO235" s="387"/>
      <c r="CP235" s="387"/>
      <c r="CQ235" s="387"/>
      <c r="CR235" s="387"/>
      <c r="CS235" s="387"/>
      <c r="CT235" s="387"/>
    </row>
  </sheetData>
  <mergeCells count="116">
    <mergeCell ref="CS8:CS12"/>
    <mergeCell ref="J8:J12"/>
    <mergeCell ref="A234:BY235"/>
    <mergeCell ref="Z11:Z12"/>
    <mergeCell ref="AA11:AA12"/>
    <mergeCell ref="AB11:AB12"/>
    <mergeCell ref="AD11:AD12"/>
    <mergeCell ref="AE11:AE12"/>
    <mergeCell ref="AL11:AL12"/>
    <mergeCell ref="BZ10:BZ12"/>
    <mergeCell ref="CA10:CD10"/>
    <mergeCell ref="Q11:Q12"/>
    <mergeCell ref="T11:T12"/>
    <mergeCell ref="F8:F12"/>
    <mergeCell ref="G8:G12"/>
    <mergeCell ref="H8:H12"/>
    <mergeCell ref="I8:I12"/>
    <mergeCell ref="K8:K12"/>
    <mergeCell ref="L8:L12"/>
    <mergeCell ref="AC10:AC12"/>
    <mergeCell ref="AG10:AG12"/>
    <mergeCell ref="AH10:AH12"/>
    <mergeCell ref="AI10:AI12"/>
    <mergeCell ref="CE10:CE12"/>
    <mergeCell ref="BX11:BX12"/>
    <mergeCell ref="CA11:CA12"/>
    <mergeCell ref="BQ10:BX10"/>
    <mergeCell ref="AN10:AU10"/>
    <mergeCell ref="BE9:BE12"/>
    <mergeCell ref="BY9:BY12"/>
    <mergeCell ref="BZ9:CD9"/>
    <mergeCell ref="CF10:CI10"/>
    <mergeCell ref="BG11:BG12"/>
    <mergeCell ref="BH11:BH12"/>
    <mergeCell ref="BO11:BO12"/>
    <mergeCell ref="BQ11:BQ12"/>
    <mergeCell ref="BR11:BR12"/>
    <mergeCell ref="BS11:BS12"/>
    <mergeCell ref="AN11:AN12"/>
    <mergeCell ref="AO11:AO12"/>
    <mergeCell ref="AP11:AP12"/>
    <mergeCell ref="AQ11:AT11"/>
    <mergeCell ref="AU11:AU12"/>
    <mergeCell ref="AW11:AW12"/>
    <mergeCell ref="CK10:CK12"/>
    <mergeCell ref="CL10:CN10"/>
    <mergeCell ref="CF11:CF12"/>
    <mergeCell ref="CG11:CG12"/>
    <mergeCell ref="CH11:CH12"/>
    <mergeCell ref="CI11:CI12"/>
    <mergeCell ref="AV10:AV12"/>
    <mergeCell ref="AW10:BD10"/>
    <mergeCell ref="BF10:BF12"/>
    <mergeCell ref="BJ10:BJ12"/>
    <mergeCell ref="BK10:BK12"/>
    <mergeCell ref="BL10:BL12"/>
    <mergeCell ref="AX11:AX12"/>
    <mergeCell ref="AY11:AY12"/>
    <mergeCell ref="AZ11:BC11"/>
    <mergeCell ref="BD11:BD12"/>
    <mergeCell ref="CL11:CL12"/>
    <mergeCell ref="CM11:CM12"/>
    <mergeCell ref="CN11:CN12"/>
    <mergeCell ref="CB11:CB12"/>
    <mergeCell ref="CC11:CC12"/>
    <mergeCell ref="CD11:CD12"/>
    <mergeCell ref="BI9:BI12"/>
    <mergeCell ref="BT11:BW11"/>
    <mergeCell ref="AK10:AK12"/>
    <mergeCell ref="AM10:AM12"/>
    <mergeCell ref="A2:CT3"/>
    <mergeCell ref="CP8:CP12"/>
    <mergeCell ref="CQ8:CQ12"/>
    <mergeCell ref="CR8:CR12"/>
    <mergeCell ref="CT8:CT12"/>
    <mergeCell ref="N9:N12"/>
    <mergeCell ref="O9:O12"/>
    <mergeCell ref="P9:P12"/>
    <mergeCell ref="Q9:T10"/>
    <mergeCell ref="Y9:Y12"/>
    <mergeCell ref="Z9:AB10"/>
    <mergeCell ref="Y8:AB8"/>
    <mergeCell ref="BF8:BY8"/>
    <mergeCell ref="BZ8:CJ8"/>
    <mergeCell ref="CK8:CN9"/>
    <mergeCell ref="CO8:CO12"/>
    <mergeCell ref="AF9:AF12"/>
    <mergeCell ref="AG9:AK9"/>
    <mergeCell ref="AM9:AU9"/>
    <mergeCell ref="AV9:BD9"/>
    <mergeCell ref="CE9:CI9"/>
    <mergeCell ref="CJ9:CJ12"/>
    <mergeCell ref="A1:CT1"/>
    <mergeCell ref="A4:CT4"/>
    <mergeCell ref="A5:CT5"/>
    <mergeCell ref="BM7:CT7"/>
    <mergeCell ref="S11:S12"/>
    <mergeCell ref="R11:R12"/>
    <mergeCell ref="AF8:AK8"/>
    <mergeCell ref="A8:A12"/>
    <mergeCell ref="B8:B12"/>
    <mergeCell ref="C8:C12"/>
    <mergeCell ref="D8:D12"/>
    <mergeCell ref="E8:E12"/>
    <mergeCell ref="M8:M12"/>
    <mergeCell ref="N8:T8"/>
    <mergeCell ref="U8:U12"/>
    <mergeCell ref="V8:V12"/>
    <mergeCell ref="W8:W12"/>
    <mergeCell ref="X8:X12"/>
    <mergeCell ref="BJ9:BN9"/>
    <mergeCell ref="BP9:BX9"/>
    <mergeCell ref="BM10:BM12"/>
    <mergeCell ref="BN10:BN12"/>
    <mergeCell ref="BP10:BP12"/>
    <mergeCell ref="AJ10:AJ12"/>
  </mergeCells>
  <conditionalFormatting sqref="B19:B22 B229">
    <cfRule type="expression" dxfId="17" priority="19" stopIfTrue="1">
      <formula>AND(COUNTIF($B$230:$B$230, B19)+COUNTIF(#REF!, B19)&gt;1,NOT(ISBLANK(B19)))</formula>
    </cfRule>
  </conditionalFormatting>
  <conditionalFormatting sqref="B22">
    <cfRule type="duplicateValues" dxfId="16" priority="2"/>
  </conditionalFormatting>
  <conditionalFormatting sqref="B36">
    <cfRule type="duplicateValues" dxfId="15" priority="18"/>
  </conditionalFormatting>
  <conditionalFormatting sqref="B38:B39">
    <cfRule type="expression" dxfId="14" priority="16" stopIfTrue="1">
      <formula>AND(COUNTIF($B$171:$B$171, B38)+COUNTIF($B$173:$B$173, B38)&gt;1,NOT(ISBLANK(B38)))</formula>
    </cfRule>
  </conditionalFormatting>
  <conditionalFormatting sqref="B80">
    <cfRule type="expression" dxfId="13" priority="1" stopIfTrue="1">
      <formula>AND(COUNTIF($B$230:$B$230, B80)+COUNTIF(#REF!, B80)&gt;1,NOT(ISBLANK(B80)))</formula>
    </cfRule>
  </conditionalFormatting>
  <conditionalFormatting sqref="B88:B89">
    <cfRule type="duplicateValues" dxfId="12" priority="15"/>
  </conditionalFormatting>
  <conditionalFormatting sqref="B122">
    <cfRule type="duplicateValues" dxfId="11" priority="14"/>
  </conditionalFormatting>
  <conditionalFormatting sqref="B123:B124">
    <cfRule type="duplicateValues" dxfId="10" priority="13"/>
  </conditionalFormatting>
  <conditionalFormatting sqref="B125">
    <cfRule type="duplicateValues" dxfId="9" priority="12"/>
  </conditionalFormatting>
  <conditionalFormatting sqref="B126">
    <cfRule type="duplicateValues" dxfId="8" priority="11"/>
  </conditionalFormatting>
  <conditionalFormatting sqref="B127:B128">
    <cfRule type="duplicateValues" dxfId="7" priority="10"/>
  </conditionalFormatting>
  <conditionalFormatting sqref="B160:B164">
    <cfRule type="duplicateValues" dxfId="6" priority="9"/>
  </conditionalFormatting>
  <conditionalFormatting sqref="B166">
    <cfRule type="duplicateValues" dxfId="5" priority="8"/>
  </conditionalFormatting>
  <conditionalFormatting sqref="B167">
    <cfRule type="duplicateValues" dxfId="4" priority="7"/>
  </conditionalFormatting>
  <conditionalFormatting sqref="B189">
    <cfRule type="duplicateValues" dxfId="3" priority="6"/>
  </conditionalFormatting>
  <conditionalFormatting sqref="B190">
    <cfRule type="duplicateValues" dxfId="2" priority="5"/>
  </conditionalFormatting>
  <conditionalFormatting sqref="B232">
    <cfRule type="duplicateValues" dxfId="1" priority="4"/>
  </conditionalFormatting>
  <conditionalFormatting sqref="B233">
    <cfRule type="duplicateValues" dxfId="0" priority="3"/>
  </conditionalFormatting>
  <printOptions horizontalCentered="1"/>
  <pageMargins left="0.23622047244094491" right="0.23622047244094491" top="0.55118110236220474" bottom="0.51181102362204722" header="0.31496062992125984" footer="0.23622047244094491"/>
  <pageSetup paperSize="9" scale="45" orientation="landscape" r:id="rId1"/>
  <headerFooter>
    <oddHeader>&amp;R&amp;"Times New Roman,Bold Italic"&amp;12Đăk Hà</oddHeader>
    <oddFooter>&amp;R&amp;P/&amp;N</oddFooter>
  </headerFooter>
  <colBreaks count="1" manualBreakCount="1">
    <brk id="98" max="232"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19"/>
  <sheetViews>
    <sheetView zoomScale="70" zoomScaleNormal="70" workbookViewId="0">
      <selection activeCell="AV23" sqref="AV23"/>
    </sheetView>
  </sheetViews>
  <sheetFormatPr defaultRowHeight="15.4" outlineLevelRow="1"/>
  <cols>
    <col min="1" max="1" width="5.3984375" style="130" customWidth="1"/>
    <col min="2" max="2" width="52.73046875" style="115" customWidth="1"/>
    <col min="3" max="3" width="17.59765625" style="115" customWidth="1"/>
    <col min="4" max="4" width="18.1328125" style="115" customWidth="1"/>
    <col min="5" max="5" width="9.1328125" style="115"/>
    <col min="6" max="6" width="13.1328125" style="115" customWidth="1"/>
    <col min="7" max="7" width="12.1328125" style="115" hidden="1" customWidth="1"/>
    <col min="8" max="10" width="9.1328125" style="115" hidden="1" customWidth="1"/>
    <col min="11" max="11" width="14" style="115" customWidth="1"/>
    <col min="12" max="12" width="9.1328125" style="115" hidden="1" customWidth="1"/>
    <col min="13" max="13" width="9" style="115" hidden="1" customWidth="1"/>
    <col min="14" max="14" width="12.86328125" style="115" customWidth="1"/>
    <col min="15" max="15" width="11.59765625" style="115" customWidth="1"/>
    <col min="16" max="16" width="12" style="115" hidden="1" customWidth="1"/>
    <col min="17" max="17" width="10.59765625" style="115" hidden="1" customWidth="1"/>
    <col min="18" max="18" width="15.3984375" style="115" customWidth="1"/>
    <col min="19" max="19" width="12.86328125" style="115" hidden="1" customWidth="1"/>
    <col min="20" max="20" width="12.59765625" style="115" hidden="1" customWidth="1"/>
    <col min="21" max="21" width="12.1328125" style="115" customWidth="1"/>
    <col min="22" max="23" width="9.1328125" style="115" hidden="1" customWidth="1"/>
    <col min="24" max="24" width="14.3984375" style="115" customWidth="1"/>
    <col min="25" max="25" width="11.59765625" style="115" hidden="1" customWidth="1"/>
    <col min="26" max="27" width="9.1328125" style="115" hidden="1" customWidth="1"/>
    <col min="28" max="28" width="11.3984375" style="115" customWidth="1"/>
    <col min="29" max="29" width="11.59765625" style="115" customWidth="1"/>
    <col min="30" max="31" width="9.1328125" style="115" hidden="1" customWidth="1"/>
    <col min="32" max="32" width="11.1328125" style="115" customWidth="1"/>
    <col min="33" max="33" width="12.3984375" style="115" bestFit="1" customWidth="1"/>
    <col min="34" max="34" width="12" style="115" hidden="1" customWidth="1"/>
    <col min="35" max="36" width="9.1328125" style="115" hidden="1" customWidth="1"/>
    <col min="37" max="37" width="12.3984375" style="115" hidden="1" customWidth="1"/>
    <col min="38" max="42" width="9.1328125" style="115" hidden="1" customWidth="1"/>
    <col min="43" max="43" width="10.59765625" style="115" hidden="1" customWidth="1"/>
    <col min="44" max="45" width="9.1328125" style="115" hidden="1" customWidth="1"/>
    <col min="46" max="46" width="10.59765625" style="115" hidden="1" customWidth="1"/>
    <col min="47" max="54" width="9.1328125" style="115" hidden="1" customWidth="1"/>
    <col min="55" max="55" width="11" style="115" customWidth="1"/>
    <col min="56" max="56" width="12.3984375" style="115" bestFit="1" customWidth="1"/>
    <col min="57" max="58" width="9.1328125" style="115" hidden="1" customWidth="1"/>
    <col min="59" max="59" width="12.3984375" style="115" bestFit="1" customWidth="1"/>
    <col min="60" max="60" width="11.3984375" style="115" customWidth="1"/>
    <col min="61" max="80" width="9.1328125" style="115" hidden="1" customWidth="1"/>
    <col min="81" max="81" width="16.1328125" style="115" hidden="1" customWidth="1"/>
    <col min="82" max="82" width="16.3984375" style="115" customWidth="1"/>
    <col min="83" max="83" width="26.86328125" style="115" hidden="1" customWidth="1"/>
  </cols>
  <sheetData>
    <row r="1" spans="1:86" ht="24" customHeight="1">
      <c r="A1" s="768" t="s">
        <v>3652</v>
      </c>
      <c r="B1" s="768"/>
      <c r="C1" s="768"/>
      <c r="D1" s="768"/>
      <c r="E1" s="768"/>
      <c r="F1" s="768"/>
      <c r="G1" s="768"/>
      <c r="H1" s="768"/>
      <c r="I1" s="768"/>
      <c r="J1" s="768"/>
      <c r="K1" s="768"/>
      <c r="L1" s="768"/>
      <c r="M1" s="768"/>
      <c r="N1" s="768"/>
      <c r="O1" s="768"/>
      <c r="P1" s="768"/>
      <c r="Q1" s="768"/>
      <c r="R1" s="768"/>
      <c r="S1" s="768"/>
      <c r="T1" s="768"/>
      <c r="U1" s="768"/>
      <c r="V1" s="768"/>
      <c r="W1" s="768"/>
      <c r="X1" s="768"/>
      <c r="Y1" s="768"/>
      <c r="Z1" s="768"/>
      <c r="AA1" s="768"/>
      <c r="AB1" s="768"/>
      <c r="AC1" s="768"/>
      <c r="AD1" s="768"/>
      <c r="AE1" s="768"/>
      <c r="AF1" s="768"/>
      <c r="AG1" s="768"/>
      <c r="AH1" s="768"/>
      <c r="AI1" s="768"/>
      <c r="AJ1" s="768"/>
      <c r="AK1" s="768"/>
      <c r="AL1" s="768"/>
      <c r="AM1" s="768"/>
      <c r="AN1" s="768"/>
      <c r="AO1" s="768"/>
      <c r="AP1" s="768"/>
      <c r="AQ1" s="768"/>
      <c r="AR1" s="768"/>
      <c r="AS1" s="768"/>
      <c r="AT1" s="768"/>
      <c r="AU1" s="768"/>
      <c r="AV1" s="768"/>
      <c r="AW1" s="768"/>
      <c r="AX1" s="768"/>
      <c r="AY1" s="768"/>
      <c r="AZ1" s="768"/>
      <c r="BA1" s="768"/>
      <c r="BB1" s="768"/>
      <c r="BC1" s="768"/>
      <c r="BD1" s="768"/>
      <c r="BE1" s="768"/>
      <c r="BF1" s="768"/>
      <c r="BG1" s="768"/>
      <c r="BH1" s="768"/>
      <c r="BI1" s="768"/>
      <c r="BJ1" s="768"/>
      <c r="BK1" s="768"/>
      <c r="BL1" s="768"/>
      <c r="BM1" s="768"/>
      <c r="BN1" s="768"/>
      <c r="BO1" s="768"/>
      <c r="BP1" s="768"/>
      <c r="BQ1" s="768"/>
      <c r="BR1" s="768"/>
      <c r="BS1" s="768"/>
      <c r="BT1" s="768"/>
      <c r="BU1" s="768"/>
      <c r="BV1" s="768"/>
      <c r="BW1" s="768"/>
      <c r="BX1" s="387"/>
      <c r="BY1" s="387"/>
      <c r="BZ1" s="387"/>
      <c r="CA1" s="387"/>
      <c r="CB1" s="387"/>
      <c r="CC1" s="387"/>
      <c r="CD1" s="387"/>
      <c r="CE1" s="387"/>
    </row>
    <row r="2" spans="1:86" ht="24" customHeight="1">
      <c r="A2" s="769" t="s">
        <v>3691</v>
      </c>
      <c r="B2" s="769"/>
      <c r="C2" s="769"/>
      <c r="D2" s="769"/>
      <c r="E2" s="769"/>
      <c r="F2" s="769"/>
      <c r="G2" s="769"/>
      <c r="H2" s="769"/>
      <c r="I2" s="769"/>
      <c r="J2" s="769"/>
      <c r="K2" s="769"/>
      <c r="L2" s="769"/>
      <c r="M2" s="769"/>
      <c r="N2" s="769"/>
      <c r="O2" s="769"/>
      <c r="P2" s="769"/>
      <c r="Q2" s="769"/>
      <c r="R2" s="769"/>
      <c r="S2" s="769"/>
      <c r="T2" s="769"/>
      <c r="U2" s="769"/>
      <c r="V2" s="769"/>
      <c r="W2" s="769"/>
      <c r="X2" s="769"/>
      <c r="Y2" s="769"/>
      <c r="Z2" s="769"/>
      <c r="AA2" s="769"/>
      <c r="AB2" s="769"/>
      <c r="AC2" s="769"/>
      <c r="AD2" s="769"/>
      <c r="AE2" s="769"/>
      <c r="AF2" s="769"/>
      <c r="AG2" s="769"/>
      <c r="AH2" s="769"/>
      <c r="AI2" s="769"/>
      <c r="AJ2" s="769"/>
      <c r="AK2" s="769"/>
      <c r="AL2" s="769"/>
      <c r="AM2" s="769"/>
      <c r="AN2" s="769"/>
      <c r="AO2" s="769"/>
      <c r="AP2" s="769"/>
      <c r="AQ2" s="769"/>
      <c r="AR2" s="769"/>
      <c r="AS2" s="769"/>
      <c r="AT2" s="769"/>
      <c r="AU2" s="769"/>
      <c r="AV2" s="769"/>
      <c r="AW2" s="769"/>
      <c r="AX2" s="769"/>
      <c r="AY2" s="769"/>
      <c r="AZ2" s="769"/>
      <c r="BA2" s="769"/>
      <c r="BB2" s="769"/>
      <c r="BC2" s="769"/>
      <c r="BD2" s="769"/>
      <c r="BE2" s="769"/>
      <c r="BF2" s="769"/>
      <c r="BG2" s="769"/>
      <c r="BH2" s="769"/>
      <c r="BI2" s="769"/>
      <c r="BJ2" s="769"/>
      <c r="BK2" s="769"/>
      <c r="BL2" s="769"/>
      <c r="BM2" s="769"/>
      <c r="BN2" s="769"/>
      <c r="BO2" s="769"/>
      <c r="BP2" s="769"/>
      <c r="BQ2" s="769"/>
      <c r="BR2" s="769"/>
      <c r="BS2" s="769"/>
      <c r="BT2" s="769"/>
      <c r="BU2" s="769"/>
      <c r="BV2" s="769"/>
      <c r="BW2" s="769"/>
      <c r="BX2" s="769"/>
      <c r="BY2" s="769"/>
      <c r="BZ2" s="769"/>
      <c r="CA2" s="769"/>
      <c r="CB2" s="769"/>
      <c r="CC2" s="769"/>
      <c r="CD2" s="769"/>
      <c r="CE2" s="388"/>
    </row>
    <row r="3" spans="1:86" ht="4.5" customHeight="1">
      <c r="A3" s="769"/>
      <c r="B3" s="769"/>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69"/>
      <c r="AZ3" s="769"/>
      <c r="BA3" s="769"/>
      <c r="BB3" s="769"/>
      <c r="BC3" s="769"/>
      <c r="BD3" s="769"/>
      <c r="BE3" s="769"/>
      <c r="BF3" s="769"/>
      <c r="BG3" s="769"/>
      <c r="BH3" s="769"/>
      <c r="BI3" s="769"/>
      <c r="BJ3" s="769"/>
      <c r="BK3" s="769"/>
      <c r="BL3" s="769"/>
      <c r="BM3" s="769"/>
      <c r="BN3" s="769"/>
      <c r="BO3" s="769"/>
      <c r="BP3" s="769"/>
      <c r="BQ3" s="769"/>
      <c r="BR3" s="769"/>
      <c r="BS3" s="769"/>
      <c r="BT3" s="769"/>
      <c r="BU3" s="769"/>
      <c r="BV3" s="769"/>
      <c r="BW3" s="769"/>
      <c r="BX3" s="769"/>
      <c r="BY3" s="769"/>
      <c r="BZ3" s="769"/>
      <c r="CA3" s="769"/>
      <c r="CB3" s="769"/>
      <c r="CC3" s="769"/>
      <c r="CD3" s="769"/>
      <c r="CE3" s="388"/>
    </row>
    <row r="4" spans="1:86" ht="24" customHeight="1">
      <c r="A4" s="769" t="s">
        <v>875</v>
      </c>
      <c r="B4" s="769"/>
      <c r="C4" s="769"/>
      <c r="D4" s="769"/>
      <c r="E4" s="769"/>
      <c r="F4" s="769"/>
      <c r="G4" s="769"/>
      <c r="H4" s="769"/>
      <c r="I4" s="769"/>
      <c r="J4" s="769"/>
      <c r="K4" s="769"/>
      <c r="L4" s="769"/>
      <c r="M4" s="769"/>
      <c r="N4" s="769"/>
      <c r="O4" s="769"/>
      <c r="P4" s="769"/>
      <c r="Q4" s="769"/>
      <c r="R4" s="769"/>
      <c r="S4" s="769"/>
      <c r="T4" s="769"/>
      <c r="U4" s="769"/>
      <c r="V4" s="769"/>
      <c r="W4" s="769"/>
      <c r="X4" s="769"/>
      <c r="Y4" s="769"/>
      <c r="Z4" s="769"/>
      <c r="AA4" s="769"/>
      <c r="AB4" s="769"/>
      <c r="AC4" s="769"/>
      <c r="AD4" s="769"/>
      <c r="AE4" s="769"/>
      <c r="AF4" s="769"/>
      <c r="AG4" s="769"/>
      <c r="AH4" s="769"/>
      <c r="AI4" s="769"/>
      <c r="AJ4" s="769"/>
      <c r="AK4" s="769"/>
      <c r="AL4" s="769"/>
      <c r="AM4" s="769"/>
      <c r="AN4" s="769"/>
      <c r="AO4" s="769"/>
      <c r="AP4" s="769"/>
      <c r="AQ4" s="769"/>
      <c r="AR4" s="769"/>
      <c r="AS4" s="769"/>
      <c r="AT4" s="769"/>
      <c r="AU4" s="769"/>
      <c r="AV4" s="769"/>
      <c r="AW4" s="769"/>
      <c r="AX4" s="769"/>
      <c r="AY4" s="769"/>
      <c r="AZ4" s="769"/>
      <c r="BA4" s="769"/>
      <c r="BB4" s="769"/>
      <c r="BC4" s="769"/>
      <c r="BD4" s="769"/>
      <c r="BE4" s="769"/>
      <c r="BF4" s="769"/>
      <c r="BG4" s="769"/>
      <c r="BH4" s="769"/>
      <c r="BI4" s="769"/>
      <c r="BJ4" s="769"/>
      <c r="BK4" s="769"/>
      <c r="BL4" s="769"/>
      <c r="BM4" s="769"/>
      <c r="BN4" s="769"/>
      <c r="BO4" s="769"/>
      <c r="BP4" s="769"/>
      <c r="BQ4" s="769"/>
      <c r="BR4" s="769"/>
      <c r="BS4" s="769"/>
      <c r="BT4" s="769"/>
      <c r="BU4" s="769"/>
      <c r="BV4" s="769"/>
      <c r="BW4" s="769"/>
      <c r="BX4" s="388"/>
      <c r="BY4" s="388"/>
      <c r="BZ4" s="388"/>
      <c r="CA4" s="388"/>
      <c r="CB4" s="388"/>
      <c r="CC4" s="388"/>
      <c r="CD4" s="388"/>
      <c r="CE4" s="388"/>
    </row>
    <row r="5" spans="1:86" ht="24" customHeight="1">
      <c r="A5" s="770" t="str">
        <f>'3.13.Thành phố Kon Tum'!A5:BY5</f>
        <v>(Kèm theo Nghị quyết số 22/NQ-HĐND ngày 22 tháng 8 năm 2025 của Hội đồng nhân dân tỉnh)</v>
      </c>
      <c r="B5" s="770"/>
      <c r="C5" s="770"/>
      <c r="D5" s="770"/>
      <c r="E5" s="770"/>
      <c r="F5" s="770"/>
      <c r="G5" s="770"/>
      <c r="H5" s="770"/>
      <c r="I5" s="770"/>
      <c r="J5" s="770"/>
      <c r="K5" s="770"/>
      <c r="L5" s="770"/>
      <c r="M5" s="770"/>
      <c r="N5" s="770"/>
      <c r="O5" s="770"/>
      <c r="P5" s="770"/>
      <c r="Q5" s="770"/>
      <c r="R5" s="770"/>
      <c r="S5" s="770"/>
      <c r="T5" s="770"/>
      <c r="U5" s="770"/>
      <c r="V5" s="770"/>
      <c r="W5" s="770"/>
      <c r="X5" s="770"/>
      <c r="Y5" s="770"/>
      <c r="Z5" s="770"/>
      <c r="AA5" s="770"/>
      <c r="AB5" s="770"/>
      <c r="AC5" s="770"/>
      <c r="AD5" s="770"/>
      <c r="AE5" s="770"/>
      <c r="AF5" s="770"/>
      <c r="AG5" s="770"/>
      <c r="AH5" s="770"/>
      <c r="AI5" s="770"/>
      <c r="AJ5" s="770"/>
      <c r="AK5" s="770"/>
      <c r="AL5" s="770"/>
      <c r="AM5" s="770"/>
      <c r="AN5" s="770"/>
      <c r="AO5" s="770"/>
      <c r="AP5" s="770"/>
      <c r="AQ5" s="770"/>
      <c r="AR5" s="770"/>
      <c r="AS5" s="770"/>
      <c r="AT5" s="770"/>
      <c r="AU5" s="770"/>
      <c r="AV5" s="770"/>
      <c r="AW5" s="770"/>
      <c r="AX5" s="770"/>
      <c r="AY5" s="770"/>
      <c r="AZ5" s="770"/>
      <c r="BA5" s="770"/>
      <c r="BB5" s="770"/>
      <c r="BC5" s="770"/>
      <c r="BD5" s="770"/>
      <c r="BE5" s="770"/>
      <c r="BF5" s="770"/>
      <c r="BG5" s="770"/>
      <c r="BH5" s="770"/>
      <c r="BI5" s="770"/>
      <c r="BJ5" s="770"/>
      <c r="BK5" s="770"/>
      <c r="BL5" s="770"/>
      <c r="BM5" s="770"/>
      <c r="BN5" s="770"/>
      <c r="BO5" s="770"/>
      <c r="BP5" s="770"/>
      <c r="BQ5" s="770"/>
      <c r="BR5" s="770"/>
      <c r="BS5" s="770"/>
      <c r="BT5" s="770"/>
      <c r="BU5" s="770"/>
      <c r="BV5" s="770"/>
      <c r="BW5" s="770"/>
      <c r="BX5" s="388"/>
      <c r="BY5" s="388"/>
      <c r="BZ5" s="388"/>
      <c r="CA5" s="388"/>
      <c r="CB5" s="388"/>
      <c r="CC5" s="388"/>
      <c r="CD5" s="388"/>
      <c r="CE5" s="388"/>
    </row>
    <row r="6" spans="1:86" ht="18.75" customHeight="1" outlineLevel="1">
      <c r="A6" s="117"/>
      <c r="B6" s="118"/>
      <c r="C6" s="118"/>
      <c r="D6" s="118"/>
      <c r="E6" s="118"/>
      <c r="F6" s="118"/>
      <c r="G6" s="119"/>
      <c r="H6" s="119"/>
      <c r="I6" s="118"/>
      <c r="J6" s="118"/>
      <c r="K6" s="118"/>
      <c r="L6" s="120"/>
      <c r="M6" s="118"/>
      <c r="N6" s="118"/>
      <c r="O6" s="118"/>
      <c r="P6" s="118"/>
      <c r="Q6" s="118"/>
      <c r="R6" s="118"/>
      <c r="S6" s="118"/>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832" t="s">
        <v>1224</v>
      </c>
      <c r="BH6" s="832"/>
      <c r="BI6" s="832"/>
      <c r="BJ6" s="832"/>
      <c r="BK6" s="832"/>
      <c r="BL6" s="832"/>
      <c r="BM6" s="832"/>
      <c r="BN6" s="832"/>
      <c r="BO6" s="832"/>
      <c r="BP6" s="832"/>
      <c r="BQ6" s="832"/>
      <c r="BR6" s="832"/>
      <c r="BS6" s="832"/>
      <c r="BT6" s="832"/>
      <c r="BU6" s="832"/>
      <c r="BV6" s="832"/>
      <c r="BW6" s="832"/>
      <c r="BX6" s="832"/>
      <c r="BY6" s="832"/>
      <c r="BZ6" s="832"/>
      <c r="CA6" s="832"/>
      <c r="CB6" s="832"/>
      <c r="CC6" s="832"/>
      <c r="CD6" s="832"/>
      <c r="CE6" s="121"/>
    </row>
    <row r="7" spans="1:86" ht="33.6" customHeight="1">
      <c r="A7" s="815" t="s">
        <v>16</v>
      </c>
      <c r="B7" s="815" t="s">
        <v>301</v>
      </c>
      <c r="C7" s="816" t="s">
        <v>17</v>
      </c>
      <c r="D7" s="816" t="s">
        <v>3673</v>
      </c>
      <c r="E7" s="816" t="s">
        <v>18</v>
      </c>
      <c r="F7" s="815" t="s">
        <v>21</v>
      </c>
      <c r="G7" s="815" t="s">
        <v>22</v>
      </c>
      <c r="H7" s="816" t="s">
        <v>876</v>
      </c>
      <c r="I7" s="816" t="s">
        <v>19</v>
      </c>
      <c r="J7" s="815" t="s">
        <v>20</v>
      </c>
      <c r="K7" s="816" t="s">
        <v>23</v>
      </c>
      <c r="L7" s="813" t="s">
        <v>24</v>
      </c>
      <c r="M7" s="122"/>
      <c r="N7" s="815" t="s">
        <v>1904</v>
      </c>
      <c r="O7" s="815"/>
      <c r="P7" s="815"/>
      <c r="Q7" s="815"/>
      <c r="R7" s="815"/>
      <c r="S7" s="815" t="s">
        <v>25</v>
      </c>
      <c r="T7" s="815" t="s">
        <v>876</v>
      </c>
      <c r="U7" s="815" t="s">
        <v>26</v>
      </c>
      <c r="V7" s="815"/>
      <c r="W7" s="815"/>
      <c r="X7" s="815"/>
      <c r="Y7" s="827" t="s">
        <v>317</v>
      </c>
      <c r="Z7" s="828"/>
      <c r="AA7" s="828"/>
      <c r="AB7" s="828"/>
      <c r="AC7" s="828"/>
      <c r="AD7" s="828"/>
      <c r="AE7" s="828"/>
      <c r="AF7" s="828"/>
      <c r="AG7" s="829"/>
      <c r="AH7" s="815" t="s">
        <v>877</v>
      </c>
      <c r="AI7" s="815"/>
      <c r="AJ7" s="815"/>
      <c r="AK7" s="815"/>
      <c r="AL7" s="815"/>
      <c r="AM7" s="815"/>
      <c r="AN7" s="815"/>
      <c r="AO7" s="815"/>
      <c r="AP7" s="815"/>
      <c r="AQ7" s="815"/>
      <c r="AR7" s="815"/>
      <c r="AS7" s="815"/>
      <c r="AT7" s="815"/>
      <c r="AU7" s="815"/>
      <c r="AV7" s="815"/>
      <c r="AW7" s="815"/>
      <c r="AX7" s="815"/>
      <c r="AY7" s="815"/>
      <c r="AZ7" s="815" t="s">
        <v>64</v>
      </c>
      <c r="BA7" s="815"/>
      <c r="BB7" s="815"/>
      <c r="BC7" s="815"/>
      <c r="BD7" s="815"/>
      <c r="BE7" s="815"/>
      <c r="BF7" s="815"/>
      <c r="BG7" s="815"/>
      <c r="BH7" s="815"/>
      <c r="BI7" s="815"/>
      <c r="BJ7" s="815"/>
      <c r="BK7" s="815"/>
      <c r="BL7" s="815"/>
      <c r="BM7" s="815"/>
      <c r="BN7" s="815"/>
      <c r="BO7" s="815"/>
      <c r="BP7" s="815"/>
      <c r="BQ7" s="815" t="s">
        <v>28</v>
      </c>
      <c r="BR7" s="815"/>
      <c r="BS7" s="815"/>
      <c r="BT7" s="815"/>
      <c r="BU7" s="815"/>
      <c r="BV7" s="815"/>
      <c r="BW7" s="815"/>
      <c r="BX7" s="815"/>
      <c r="BY7" s="382"/>
      <c r="BZ7" s="382"/>
      <c r="CA7" s="382"/>
      <c r="CB7" s="382"/>
      <c r="CC7" s="815" t="s">
        <v>3662</v>
      </c>
      <c r="CD7" s="815" t="s">
        <v>0</v>
      </c>
      <c r="CE7" s="815" t="s">
        <v>0</v>
      </c>
    </row>
    <row r="8" spans="1:86" ht="21" customHeight="1">
      <c r="A8" s="815"/>
      <c r="B8" s="815"/>
      <c r="C8" s="817"/>
      <c r="D8" s="817"/>
      <c r="E8" s="817"/>
      <c r="F8" s="815"/>
      <c r="G8" s="815"/>
      <c r="H8" s="817"/>
      <c r="I8" s="817"/>
      <c r="J8" s="815"/>
      <c r="K8" s="817"/>
      <c r="L8" s="814"/>
      <c r="M8" s="123"/>
      <c r="N8" s="815" t="s">
        <v>32</v>
      </c>
      <c r="O8" s="815" t="s">
        <v>33</v>
      </c>
      <c r="P8" s="815" t="s">
        <v>300</v>
      </c>
      <c r="Q8" s="815"/>
      <c r="R8" s="815"/>
      <c r="S8" s="815"/>
      <c r="T8" s="815"/>
      <c r="U8" s="815" t="s">
        <v>29</v>
      </c>
      <c r="V8" s="815" t="s">
        <v>42</v>
      </c>
      <c r="W8" s="815"/>
      <c r="X8" s="815"/>
      <c r="Y8" s="815" t="s">
        <v>29</v>
      </c>
      <c r="Z8" s="124"/>
      <c r="AA8" s="124"/>
      <c r="AB8" s="816" t="s">
        <v>29</v>
      </c>
      <c r="AC8" s="821" t="s">
        <v>42</v>
      </c>
      <c r="AD8" s="822"/>
      <c r="AE8" s="822"/>
      <c r="AF8" s="822"/>
      <c r="AG8" s="823"/>
      <c r="AH8" s="815" t="s">
        <v>29</v>
      </c>
      <c r="AI8" s="124"/>
      <c r="AJ8" s="124"/>
      <c r="AK8" s="815" t="s">
        <v>29</v>
      </c>
      <c r="AL8" s="819" t="s">
        <v>42</v>
      </c>
      <c r="AM8" s="819"/>
      <c r="AN8" s="819"/>
      <c r="AO8" s="819"/>
      <c r="AP8" s="819"/>
      <c r="AQ8" s="815" t="s">
        <v>66</v>
      </c>
      <c r="AR8" s="815"/>
      <c r="AS8" s="815"/>
      <c r="AT8" s="815"/>
      <c r="AU8" s="815"/>
      <c r="AV8" s="815"/>
      <c r="AW8" s="815"/>
      <c r="AX8" s="815"/>
      <c r="AY8" s="815"/>
      <c r="AZ8" s="124"/>
      <c r="BA8" s="124"/>
      <c r="BB8" s="124"/>
      <c r="BC8" s="815" t="s">
        <v>29</v>
      </c>
      <c r="BD8" s="819" t="s">
        <v>42</v>
      </c>
      <c r="BE8" s="819"/>
      <c r="BF8" s="819"/>
      <c r="BG8" s="819"/>
      <c r="BH8" s="819"/>
      <c r="BI8" s="815" t="s">
        <v>89</v>
      </c>
      <c r="BJ8" s="815"/>
      <c r="BK8" s="815"/>
      <c r="BL8" s="815"/>
      <c r="BM8" s="815"/>
      <c r="BN8" s="815"/>
      <c r="BO8" s="815"/>
      <c r="BP8" s="815"/>
      <c r="BQ8" s="815" t="s">
        <v>30</v>
      </c>
      <c r="BR8" s="815"/>
      <c r="BS8" s="815"/>
      <c r="BT8" s="815"/>
      <c r="BU8" s="815" t="s">
        <v>89</v>
      </c>
      <c r="BV8" s="815"/>
      <c r="BW8" s="815"/>
      <c r="BX8" s="815"/>
      <c r="BY8" s="771" t="s">
        <v>318</v>
      </c>
      <c r="BZ8" s="771"/>
      <c r="CA8" s="771"/>
      <c r="CB8" s="771"/>
      <c r="CC8" s="815"/>
      <c r="CD8" s="815"/>
      <c r="CE8" s="815"/>
    </row>
    <row r="9" spans="1:86" ht="3" customHeight="1">
      <c r="A9" s="815"/>
      <c r="B9" s="815"/>
      <c r="C9" s="817"/>
      <c r="D9" s="817"/>
      <c r="E9" s="817"/>
      <c r="F9" s="815"/>
      <c r="G9" s="815"/>
      <c r="H9" s="817"/>
      <c r="I9" s="817"/>
      <c r="J9" s="815"/>
      <c r="K9" s="817"/>
      <c r="L9" s="814"/>
      <c r="M9" s="830" t="s">
        <v>31</v>
      </c>
      <c r="N9" s="815"/>
      <c r="O9" s="815"/>
      <c r="P9" s="815"/>
      <c r="Q9" s="815"/>
      <c r="R9" s="815"/>
      <c r="S9" s="815"/>
      <c r="T9" s="815"/>
      <c r="U9" s="815"/>
      <c r="V9" s="815"/>
      <c r="W9" s="815"/>
      <c r="X9" s="815"/>
      <c r="Y9" s="815"/>
      <c r="Z9" s="815" t="s">
        <v>34</v>
      </c>
      <c r="AA9" s="815" t="s">
        <v>35</v>
      </c>
      <c r="AB9" s="817"/>
      <c r="AC9" s="824"/>
      <c r="AD9" s="825"/>
      <c r="AE9" s="825"/>
      <c r="AF9" s="825"/>
      <c r="AG9" s="826"/>
      <c r="AH9" s="815"/>
      <c r="AI9" s="124"/>
      <c r="AJ9" s="124"/>
      <c r="AK9" s="815"/>
      <c r="AL9" s="819"/>
      <c r="AM9" s="819"/>
      <c r="AN9" s="819"/>
      <c r="AO9" s="819"/>
      <c r="AP9" s="819"/>
      <c r="AQ9" s="815"/>
      <c r="AR9" s="815"/>
      <c r="AS9" s="815"/>
      <c r="AT9" s="815"/>
      <c r="AU9" s="815"/>
      <c r="AV9" s="815"/>
      <c r="AW9" s="815"/>
      <c r="AX9" s="815"/>
      <c r="AY9" s="815"/>
      <c r="AZ9" s="124"/>
      <c r="BA9" s="124"/>
      <c r="BB9" s="124"/>
      <c r="BC9" s="815"/>
      <c r="BD9" s="819"/>
      <c r="BE9" s="819"/>
      <c r="BF9" s="819"/>
      <c r="BG9" s="819"/>
      <c r="BH9" s="819"/>
      <c r="BI9" s="815" t="s">
        <v>29</v>
      </c>
      <c r="BJ9" s="815" t="s">
        <v>1</v>
      </c>
      <c r="BK9" s="815"/>
      <c r="BL9" s="815"/>
      <c r="BM9" s="815"/>
      <c r="BN9" s="815"/>
      <c r="BO9" s="815"/>
      <c r="BP9" s="815"/>
      <c r="BQ9" s="815" t="s">
        <v>29</v>
      </c>
      <c r="BR9" s="815" t="s">
        <v>1</v>
      </c>
      <c r="BS9" s="815"/>
      <c r="BT9" s="815"/>
      <c r="BU9" s="815" t="s">
        <v>29</v>
      </c>
      <c r="BV9" s="815" t="s">
        <v>1</v>
      </c>
      <c r="BW9" s="815"/>
      <c r="BX9" s="815"/>
      <c r="BY9" s="771" t="s">
        <v>30</v>
      </c>
      <c r="BZ9" s="771"/>
      <c r="CA9" s="771"/>
      <c r="CB9" s="771"/>
      <c r="CC9" s="815"/>
      <c r="CD9" s="815"/>
      <c r="CE9" s="815"/>
    </row>
    <row r="10" spans="1:86" ht="3.75" customHeight="1">
      <c r="A10" s="815"/>
      <c r="B10" s="815"/>
      <c r="C10" s="817"/>
      <c r="D10" s="817"/>
      <c r="E10" s="817"/>
      <c r="F10" s="815"/>
      <c r="G10" s="815"/>
      <c r="H10" s="817"/>
      <c r="I10" s="817"/>
      <c r="J10" s="815"/>
      <c r="K10" s="817"/>
      <c r="L10" s="814"/>
      <c r="M10" s="831"/>
      <c r="N10" s="815"/>
      <c r="O10" s="815"/>
      <c r="P10" s="815" t="s">
        <v>878</v>
      </c>
      <c r="Q10" s="815" t="s">
        <v>79</v>
      </c>
      <c r="R10" s="815" t="s">
        <v>36</v>
      </c>
      <c r="S10" s="815"/>
      <c r="T10" s="815"/>
      <c r="U10" s="815"/>
      <c r="V10" s="815" t="s">
        <v>878</v>
      </c>
      <c r="W10" s="815" t="s">
        <v>79</v>
      </c>
      <c r="X10" s="815" t="s">
        <v>36</v>
      </c>
      <c r="Y10" s="815"/>
      <c r="Z10" s="815"/>
      <c r="AA10" s="815"/>
      <c r="AB10" s="817"/>
      <c r="AC10" s="819" t="s">
        <v>8</v>
      </c>
      <c r="AD10" s="819" t="s">
        <v>94</v>
      </c>
      <c r="AE10" s="819" t="s">
        <v>95</v>
      </c>
      <c r="AF10" s="819" t="s">
        <v>304</v>
      </c>
      <c r="AG10" s="819" t="s">
        <v>38</v>
      </c>
      <c r="AH10" s="815"/>
      <c r="AI10" s="815" t="s">
        <v>34</v>
      </c>
      <c r="AJ10" s="815" t="s">
        <v>35</v>
      </c>
      <c r="AK10" s="815"/>
      <c r="AL10" s="819"/>
      <c r="AM10" s="819"/>
      <c r="AN10" s="819"/>
      <c r="AO10" s="819"/>
      <c r="AP10" s="819"/>
      <c r="AQ10" s="815" t="s">
        <v>29</v>
      </c>
      <c r="AR10" s="815" t="s">
        <v>34</v>
      </c>
      <c r="AS10" s="815" t="s">
        <v>35</v>
      </c>
      <c r="AT10" s="815" t="s">
        <v>29</v>
      </c>
      <c r="AU10" s="819" t="s">
        <v>42</v>
      </c>
      <c r="AV10" s="819"/>
      <c r="AW10" s="819"/>
      <c r="AX10" s="819"/>
      <c r="AY10" s="819"/>
      <c r="AZ10" s="124" t="s">
        <v>29</v>
      </c>
      <c r="BA10" s="815" t="s">
        <v>34</v>
      </c>
      <c r="BB10" s="815" t="s">
        <v>35</v>
      </c>
      <c r="BC10" s="815"/>
      <c r="BD10" s="819"/>
      <c r="BE10" s="819"/>
      <c r="BF10" s="819"/>
      <c r="BG10" s="819"/>
      <c r="BH10" s="819"/>
      <c r="BI10" s="815"/>
      <c r="BJ10" s="815" t="s">
        <v>34</v>
      </c>
      <c r="BK10" s="815" t="s">
        <v>35</v>
      </c>
      <c r="BL10" s="815" t="s">
        <v>41</v>
      </c>
      <c r="BM10" s="819" t="s">
        <v>42</v>
      </c>
      <c r="BN10" s="819"/>
      <c r="BO10" s="819"/>
      <c r="BP10" s="819"/>
      <c r="BQ10" s="815"/>
      <c r="BR10" s="815" t="s">
        <v>34</v>
      </c>
      <c r="BS10" s="815" t="s">
        <v>35</v>
      </c>
      <c r="BT10" s="815" t="s">
        <v>39</v>
      </c>
      <c r="BU10" s="815"/>
      <c r="BV10" s="815" t="s">
        <v>34</v>
      </c>
      <c r="BW10" s="815" t="s">
        <v>35</v>
      </c>
      <c r="BX10" s="815" t="s">
        <v>39</v>
      </c>
      <c r="BY10" s="771" t="s">
        <v>29</v>
      </c>
      <c r="BZ10" s="771" t="s">
        <v>1</v>
      </c>
      <c r="CA10" s="771"/>
      <c r="CB10" s="771"/>
      <c r="CC10" s="815"/>
      <c r="CD10" s="815"/>
      <c r="CE10" s="815"/>
    </row>
    <row r="11" spans="1:86" ht="71.25" customHeight="1">
      <c r="A11" s="816"/>
      <c r="B11" s="816"/>
      <c r="C11" s="818"/>
      <c r="D11" s="817"/>
      <c r="E11" s="817"/>
      <c r="F11" s="816"/>
      <c r="G11" s="816"/>
      <c r="H11" s="817"/>
      <c r="I11" s="817"/>
      <c r="J11" s="816"/>
      <c r="K11" s="817"/>
      <c r="L11" s="814"/>
      <c r="M11" s="831"/>
      <c r="N11" s="815"/>
      <c r="O11" s="815"/>
      <c r="P11" s="815"/>
      <c r="Q11" s="815"/>
      <c r="R11" s="815"/>
      <c r="S11" s="815"/>
      <c r="T11" s="815"/>
      <c r="U11" s="815"/>
      <c r="V11" s="815"/>
      <c r="W11" s="815"/>
      <c r="X11" s="815"/>
      <c r="Y11" s="816"/>
      <c r="Z11" s="816"/>
      <c r="AA11" s="816"/>
      <c r="AB11" s="817"/>
      <c r="AC11" s="820"/>
      <c r="AD11" s="820"/>
      <c r="AE11" s="820"/>
      <c r="AF11" s="820"/>
      <c r="AG11" s="820"/>
      <c r="AH11" s="816"/>
      <c r="AI11" s="816"/>
      <c r="AJ11" s="816"/>
      <c r="AK11" s="816"/>
      <c r="AL11" s="384" t="s">
        <v>8</v>
      </c>
      <c r="AM11" s="384" t="s">
        <v>94</v>
      </c>
      <c r="AN11" s="384" t="s">
        <v>95</v>
      </c>
      <c r="AO11" s="384" t="s">
        <v>43</v>
      </c>
      <c r="AP11" s="384" t="s">
        <v>38</v>
      </c>
      <c r="AQ11" s="816"/>
      <c r="AR11" s="816"/>
      <c r="AS11" s="816"/>
      <c r="AT11" s="816"/>
      <c r="AU11" s="384" t="s">
        <v>8</v>
      </c>
      <c r="AV11" s="384" t="s">
        <v>94</v>
      </c>
      <c r="AW11" s="384" t="s">
        <v>95</v>
      </c>
      <c r="AX11" s="384" t="s">
        <v>43</v>
      </c>
      <c r="AY11" s="384" t="s">
        <v>38</v>
      </c>
      <c r="AZ11" s="124"/>
      <c r="BA11" s="815"/>
      <c r="BB11" s="815"/>
      <c r="BC11" s="815"/>
      <c r="BD11" s="383" t="s">
        <v>8</v>
      </c>
      <c r="BE11" s="383" t="s">
        <v>94</v>
      </c>
      <c r="BF11" s="383" t="s">
        <v>95</v>
      </c>
      <c r="BG11" s="383" t="s">
        <v>304</v>
      </c>
      <c r="BH11" s="383" t="s">
        <v>38</v>
      </c>
      <c r="BI11" s="815"/>
      <c r="BJ11" s="815"/>
      <c r="BK11" s="815"/>
      <c r="BL11" s="815"/>
      <c r="BM11" s="383" t="s">
        <v>94</v>
      </c>
      <c r="BN11" s="383" t="s">
        <v>95</v>
      </c>
      <c r="BO11" s="383" t="s">
        <v>43</v>
      </c>
      <c r="BP11" s="383" t="s">
        <v>38</v>
      </c>
      <c r="BQ11" s="815"/>
      <c r="BR11" s="815"/>
      <c r="BS11" s="815"/>
      <c r="BT11" s="815"/>
      <c r="BU11" s="815"/>
      <c r="BV11" s="815"/>
      <c r="BW11" s="815"/>
      <c r="BX11" s="815"/>
      <c r="BY11" s="771"/>
      <c r="BZ11" s="393" t="s">
        <v>34</v>
      </c>
      <c r="CA11" s="393" t="s">
        <v>35</v>
      </c>
      <c r="CB11" s="393" t="s">
        <v>39</v>
      </c>
      <c r="CC11" s="815"/>
      <c r="CD11" s="816"/>
      <c r="CE11" s="815"/>
    </row>
    <row r="12" spans="1:86" s="26" customFormat="1" ht="18.75" customHeight="1">
      <c r="A12" s="365">
        <v>1</v>
      </c>
      <c r="B12" s="365">
        <v>2</v>
      </c>
      <c r="C12" s="365">
        <v>3</v>
      </c>
      <c r="D12" s="365">
        <v>4</v>
      </c>
      <c r="E12" s="365">
        <v>5</v>
      </c>
      <c r="F12" s="365">
        <v>6</v>
      </c>
      <c r="G12" s="365">
        <v>17</v>
      </c>
      <c r="H12" s="365">
        <v>18</v>
      </c>
      <c r="I12" s="365">
        <v>5</v>
      </c>
      <c r="J12" s="365">
        <v>6</v>
      </c>
      <c r="K12" s="365">
        <v>7</v>
      </c>
      <c r="L12" s="365">
        <v>8</v>
      </c>
      <c r="M12" s="365">
        <v>9</v>
      </c>
      <c r="N12" s="365">
        <v>8</v>
      </c>
      <c r="O12" s="365">
        <v>9</v>
      </c>
      <c r="P12" s="365">
        <v>10</v>
      </c>
      <c r="Q12" s="365">
        <v>10</v>
      </c>
      <c r="R12" s="365">
        <v>10</v>
      </c>
      <c r="S12" s="365">
        <v>15</v>
      </c>
      <c r="T12" s="365">
        <v>18</v>
      </c>
      <c r="U12" s="365">
        <v>11</v>
      </c>
      <c r="V12" s="365">
        <v>20</v>
      </c>
      <c r="W12" s="365">
        <v>21</v>
      </c>
      <c r="X12" s="365">
        <v>12</v>
      </c>
      <c r="Y12" s="365">
        <v>23</v>
      </c>
      <c r="Z12" s="365">
        <v>24</v>
      </c>
      <c r="AA12" s="365">
        <v>25</v>
      </c>
      <c r="AB12" s="365">
        <v>13</v>
      </c>
      <c r="AC12" s="365">
        <v>14</v>
      </c>
      <c r="AD12" s="365">
        <v>27</v>
      </c>
      <c r="AE12" s="365">
        <v>28</v>
      </c>
      <c r="AF12" s="365">
        <v>15</v>
      </c>
      <c r="AG12" s="365">
        <v>16</v>
      </c>
      <c r="AH12" s="365">
        <v>31</v>
      </c>
      <c r="AI12" s="365">
        <v>32</v>
      </c>
      <c r="AJ12" s="365">
        <v>33</v>
      </c>
      <c r="AK12" s="365">
        <v>34</v>
      </c>
      <c r="AL12" s="365"/>
      <c r="AM12" s="365">
        <v>35</v>
      </c>
      <c r="AN12" s="365">
        <v>36</v>
      </c>
      <c r="AO12" s="365">
        <v>37</v>
      </c>
      <c r="AP12" s="365">
        <v>38</v>
      </c>
      <c r="AQ12" s="365">
        <v>39</v>
      </c>
      <c r="AR12" s="365">
        <v>40</v>
      </c>
      <c r="AS12" s="365">
        <v>41</v>
      </c>
      <c r="AT12" s="365">
        <v>42</v>
      </c>
      <c r="AU12" s="365"/>
      <c r="AV12" s="365">
        <v>43</v>
      </c>
      <c r="AW12" s="365">
        <v>44</v>
      </c>
      <c r="AX12" s="365">
        <v>45</v>
      </c>
      <c r="AY12" s="365">
        <v>46</v>
      </c>
      <c r="AZ12" s="365">
        <v>47</v>
      </c>
      <c r="BA12" s="365">
        <v>48</v>
      </c>
      <c r="BB12" s="365">
        <v>49</v>
      </c>
      <c r="BC12" s="365">
        <v>17</v>
      </c>
      <c r="BD12" s="365">
        <v>18</v>
      </c>
      <c r="BE12" s="365">
        <v>51</v>
      </c>
      <c r="BF12" s="365">
        <v>52</v>
      </c>
      <c r="BG12" s="365">
        <v>19</v>
      </c>
      <c r="BH12" s="365">
        <v>20</v>
      </c>
      <c r="BI12" s="365">
        <v>55</v>
      </c>
      <c r="BJ12" s="365">
        <v>56</v>
      </c>
      <c r="BK12" s="365">
        <v>57</v>
      </c>
      <c r="BL12" s="365">
        <v>58</v>
      </c>
      <c r="BM12" s="365">
        <v>59</v>
      </c>
      <c r="BN12" s="365">
        <v>60</v>
      </c>
      <c r="BO12" s="365">
        <v>61</v>
      </c>
      <c r="BP12" s="365">
        <v>62</v>
      </c>
      <c r="BQ12" s="365">
        <v>63</v>
      </c>
      <c r="BR12" s="365">
        <v>64</v>
      </c>
      <c r="BS12" s="365">
        <v>65</v>
      </c>
      <c r="BT12" s="365">
        <v>66</v>
      </c>
      <c r="BU12" s="365">
        <v>67</v>
      </c>
      <c r="BV12" s="365">
        <v>68</v>
      </c>
      <c r="BW12" s="365">
        <v>69</v>
      </c>
      <c r="BX12" s="365">
        <v>70</v>
      </c>
      <c r="BY12" s="365">
        <v>71</v>
      </c>
      <c r="BZ12" s="365">
        <v>72</v>
      </c>
      <c r="CA12" s="365">
        <v>73</v>
      </c>
      <c r="CB12" s="365">
        <v>74</v>
      </c>
      <c r="CC12" s="365">
        <v>21</v>
      </c>
      <c r="CD12" s="365">
        <v>21</v>
      </c>
      <c r="CE12" s="211"/>
    </row>
    <row r="13" spans="1:86" ht="36" customHeight="1">
      <c r="A13" s="175"/>
      <c r="B13" s="175" t="s">
        <v>7</v>
      </c>
      <c r="C13" s="175"/>
      <c r="D13" s="175"/>
      <c r="E13" s="175"/>
      <c r="F13" s="175"/>
      <c r="G13" s="175"/>
      <c r="H13" s="175"/>
      <c r="I13" s="175"/>
      <c r="J13" s="175"/>
      <c r="K13" s="175"/>
      <c r="L13" s="176"/>
      <c r="M13" s="175"/>
      <c r="N13" s="175"/>
      <c r="O13" s="67">
        <f t="shared" ref="O13:BG13" si="0">O17+O113+O114+O14</f>
        <v>648290.27899999998</v>
      </c>
      <c r="P13" s="67">
        <f t="shared" si="0"/>
        <v>180000</v>
      </c>
      <c r="Q13" s="67">
        <f t="shared" si="0"/>
        <v>90000</v>
      </c>
      <c r="R13" s="67">
        <f t="shared" si="0"/>
        <v>252499.82</v>
      </c>
      <c r="S13" s="67">
        <f t="shared" si="0"/>
        <v>0</v>
      </c>
      <c r="T13" s="67" t="e">
        <f t="shared" si="0"/>
        <v>#VALUE!</v>
      </c>
      <c r="U13" s="67">
        <f t="shared" si="0"/>
        <v>233.50299999999999</v>
      </c>
      <c r="V13" s="67">
        <f t="shared" si="0"/>
        <v>0</v>
      </c>
      <c r="W13" s="67">
        <f t="shared" si="0"/>
        <v>0</v>
      </c>
      <c r="X13" s="67">
        <f t="shared" si="0"/>
        <v>233.50299999999999</v>
      </c>
      <c r="Y13" s="67" t="e">
        <f t="shared" si="0"/>
        <v>#REF!</v>
      </c>
      <c r="Z13" s="67" t="e">
        <f t="shared" si="0"/>
        <v>#REF!</v>
      </c>
      <c r="AA13" s="67" t="e">
        <f t="shared" si="0"/>
        <v>#REF!</v>
      </c>
      <c r="AB13" s="67">
        <f t="shared" si="0"/>
        <v>281093</v>
      </c>
      <c r="AC13" s="67">
        <f t="shared" si="0"/>
        <v>91705</v>
      </c>
      <c r="AD13" s="67">
        <f t="shared" si="0"/>
        <v>88355</v>
      </c>
      <c r="AE13" s="67">
        <f t="shared" si="0"/>
        <v>3350</v>
      </c>
      <c r="AF13" s="67">
        <f t="shared" si="0"/>
        <v>132250</v>
      </c>
      <c r="AG13" s="67">
        <f t="shared" si="0"/>
        <v>57138</v>
      </c>
      <c r="AH13" s="67">
        <f t="shared" si="0"/>
        <v>199057.81440900007</v>
      </c>
      <c r="AI13" s="67">
        <f t="shared" si="0"/>
        <v>58500</v>
      </c>
      <c r="AJ13" s="67">
        <f t="shared" si="0"/>
        <v>0</v>
      </c>
      <c r="AK13" s="67">
        <f t="shared" si="0"/>
        <v>140557.834409</v>
      </c>
      <c r="AL13" s="67">
        <f t="shared" si="0"/>
        <v>70975</v>
      </c>
      <c r="AM13" s="67">
        <f t="shared" si="0"/>
        <v>67625</v>
      </c>
      <c r="AN13" s="67">
        <f t="shared" si="0"/>
        <v>3350</v>
      </c>
      <c r="AO13" s="67">
        <f t="shared" si="0"/>
        <v>32788.672552000004</v>
      </c>
      <c r="AP13" s="67">
        <f t="shared" si="0"/>
        <v>36794.161857000006</v>
      </c>
      <c r="AQ13" s="67">
        <f t="shared" si="0"/>
        <v>195293.21072500007</v>
      </c>
      <c r="AR13" s="67">
        <f t="shared" si="0"/>
        <v>58500</v>
      </c>
      <c r="AS13" s="67">
        <f t="shared" si="0"/>
        <v>0</v>
      </c>
      <c r="AT13" s="67">
        <f t="shared" si="0"/>
        <v>137582.260725</v>
      </c>
      <c r="AU13" s="67">
        <f t="shared" si="0"/>
        <v>69624.982000000004</v>
      </c>
      <c r="AV13" s="67">
        <f t="shared" si="0"/>
        <v>66274.982000000004</v>
      </c>
      <c r="AW13" s="67">
        <f t="shared" si="0"/>
        <v>3350</v>
      </c>
      <c r="AX13" s="67">
        <f t="shared" si="0"/>
        <v>33345.658552000001</v>
      </c>
      <c r="AY13" s="67">
        <f t="shared" si="0"/>
        <v>34611.620173000003</v>
      </c>
      <c r="AZ13" s="67">
        <f t="shared" si="0"/>
        <v>144947.90000000002</v>
      </c>
      <c r="BA13" s="67">
        <f t="shared" si="0"/>
        <v>19202</v>
      </c>
      <c r="BB13" s="67">
        <f t="shared" si="0"/>
        <v>25000</v>
      </c>
      <c r="BC13" s="67">
        <f t="shared" si="0"/>
        <v>100745.9</v>
      </c>
      <c r="BD13" s="67">
        <f t="shared" si="0"/>
        <v>20730</v>
      </c>
      <c r="BE13" s="67">
        <f t="shared" si="0"/>
        <v>20730</v>
      </c>
      <c r="BF13" s="67">
        <f t="shared" si="0"/>
        <v>0</v>
      </c>
      <c r="BG13" s="67">
        <f t="shared" si="0"/>
        <v>65372</v>
      </c>
      <c r="BH13" s="67">
        <f>BH17+BH113+BH114+BH14</f>
        <v>14643.9</v>
      </c>
      <c r="BI13" s="67">
        <f t="shared" ref="BI13:CC13" si="1">BI17+BI113+BI114+BI14</f>
        <v>28978.016723000004</v>
      </c>
      <c r="BJ13" s="67">
        <f t="shared" si="1"/>
        <v>0</v>
      </c>
      <c r="BK13" s="67">
        <f t="shared" si="1"/>
        <v>0</v>
      </c>
      <c r="BL13" s="67">
        <f t="shared" si="1"/>
        <v>28978.016723000004</v>
      </c>
      <c r="BM13" s="67">
        <f t="shared" si="1"/>
        <v>14382.453593</v>
      </c>
      <c r="BN13" s="67">
        <f t="shared" si="1"/>
        <v>0</v>
      </c>
      <c r="BO13" s="67">
        <f t="shared" si="1"/>
        <v>7119.5383039999997</v>
      </c>
      <c r="BP13" s="67">
        <f t="shared" si="1"/>
        <v>7476.0248259999998</v>
      </c>
      <c r="BQ13" s="67">
        <f t="shared" si="1"/>
        <v>3136.3196979999998</v>
      </c>
      <c r="BR13" s="67">
        <f t="shared" si="1"/>
        <v>0</v>
      </c>
      <c r="BS13" s="67">
        <f t="shared" si="1"/>
        <v>0</v>
      </c>
      <c r="BT13" s="67">
        <f t="shared" si="1"/>
        <v>3136.3196979999998</v>
      </c>
      <c r="BU13" s="67">
        <f t="shared" si="1"/>
        <v>3056.1146840000001</v>
      </c>
      <c r="BV13" s="67">
        <f t="shared" si="1"/>
        <v>0</v>
      </c>
      <c r="BW13" s="67">
        <f t="shared" si="1"/>
        <v>0</v>
      </c>
      <c r="BX13" s="67">
        <f t="shared" si="1"/>
        <v>3056.1146840000001</v>
      </c>
      <c r="BY13" s="67">
        <f t="shared" si="1"/>
        <v>3643</v>
      </c>
      <c r="BZ13" s="67">
        <f t="shared" si="1"/>
        <v>0</v>
      </c>
      <c r="CA13" s="67">
        <f t="shared" si="1"/>
        <v>0</v>
      </c>
      <c r="CB13" s="67">
        <f t="shared" si="1"/>
        <v>3643</v>
      </c>
      <c r="CC13" s="67">
        <f t="shared" si="1"/>
        <v>3136.3196839999996</v>
      </c>
      <c r="CD13" s="175"/>
      <c r="CE13" s="170"/>
      <c r="CF13" s="114"/>
    </row>
    <row r="14" spans="1:86" ht="38.25" customHeight="1">
      <c r="A14" s="175" t="s">
        <v>11</v>
      </c>
      <c r="B14" s="418" t="s">
        <v>3639</v>
      </c>
      <c r="C14" s="175"/>
      <c r="D14" s="175"/>
      <c r="E14" s="175"/>
      <c r="F14" s="175"/>
      <c r="G14" s="175"/>
      <c r="H14" s="175"/>
      <c r="I14" s="175"/>
      <c r="J14" s="175"/>
      <c r="K14" s="175"/>
      <c r="L14" s="176"/>
      <c r="M14" s="175"/>
      <c r="N14" s="175"/>
      <c r="O14" s="67">
        <f>O15+O16</f>
        <v>0</v>
      </c>
      <c r="P14" s="67">
        <f t="shared" ref="P14:CA14" si="2">P15+P16</f>
        <v>0</v>
      </c>
      <c r="Q14" s="67">
        <f t="shared" si="2"/>
        <v>0</v>
      </c>
      <c r="R14" s="67">
        <f t="shared" si="2"/>
        <v>0</v>
      </c>
      <c r="S14" s="67">
        <f t="shared" si="2"/>
        <v>0</v>
      </c>
      <c r="T14" s="67">
        <f t="shared" si="2"/>
        <v>0</v>
      </c>
      <c r="U14" s="67">
        <f t="shared" si="2"/>
        <v>0</v>
      </c>
      <c r="V14" s="67">
        <f t="shared" si="2"/>
        <v>0</v>
      </c>
      <c r="W14" s="67">
        <f t="shared" si="2"/>
        <v>0</v>
      </c>
      <c r="X14" s="67">
        <f t="shared" si="2"/>
        <v>0</v>
      </c>
      <c r="Y14" s="67">
        <f t="shared" si="2"/>
        <v>13310</v>
      </c>
      <c r="Z14" s="67">
        <f t="shared" si="2"/>
        <v>0</v>
      </c>
      <c r="AA14" s="67">
        <f t="shared" si="2"/>
        <v>0</v>
      </c>
      <c r="AB14" s="67">
        <f t="shared" si="2"/>
        <v>13310</v>
      </c>
      <c r="AC14" s="67">
        <f t="shared" si="2"/>
        <v>0</v>
      </c>
      <c r="AD14" s="67">
        <f t="shared" si="2"/>
        <v>0</v>
      </c>
      <c r="AE14" s="67">
        <f t="shared" si="2"/>
        <v>0</v>
      </c>
      <c r="AF14" s="67">
        <f t="shared" si="2"/>
        <v>11310</v>
      </c>
      <c r="AG14" s="67">
        <f t="shared" si="2"/>
        <v>2000</v>
      </c>
      <c r="AH14" s="67">
        <f t="shared" si="2"/>
        <v>5659</v>
      </c>
      <c r="AI14" s="67">
        <f t="shared" si="2"/>
        <v>0</v>
      </c>
      <c r="AJ14" s="67">
        <f t="shared" si="2"/>
        <v>0</v>
      </c>
      <c r="AK14" s="67">
        <f t="shared" si="2"/>
        <v>5659</v>
      </c>
      <c r="AL14" s="67">
        <f t="shared" si="2"/>
        <v>0</v>
      </c>
      <c r="AM14" s="67">
        <f t="shared" si="2"/>
        <v>0</v>
      </c>
      <c r="AN14" s="67">
        <f t="shared" si="2"/>
        <v>0</v>
      </c>
      <c r="AO14" s="67">
        <f t="shared" si="2"/>
        <v>5659</v>
      </c>
      <c r="AP14" s="67">
        <f t="shared" si="2"/>
        <v>0</v>
      </c>
      <c r="AQ14" s="67">
        <f t="shared" si="2"/>
        <v>5659</v>
      </c>
      <c r="AR14" s="67">
        <f t="shared" si="2"/>
        <v>0</v>
      </c>
      <c r="AS14" s="67">
        <f t="shared" si="2"/>
        <v>0</v>
      </c>
      <c r="AT14" s="67">
        <f t="shared" si="2"/>
        <v>5659</v>
      </c>
      <c r="AU14" s="67">
        <f t="shared" si="2"/>
        <v>0</v>
      </c>
      <c r="AV14" s="67">
        <f t="shared" si="2"/>
        <v>0</v>
      </c>
      <c r="AW14" s="67">
        <f t="shared" si="2"/>
        <v>0</v>
      </c>
      <c r="AX14" s="67">
        <f t="shared" si="2"/>
        <v>5659</v>
      </c>
      <c r="AY14" s="67">
        <f t="shared" si="2"/>
        <v>0</v>
      </c>
      <c r="AZ14" s="67">
        <f t="shared" si="2"/>
        <v>9660</v>
      </c>
      <c r="BA14" s="67">
        <f t="shared" si="2"/>
        <v>0</v>
      </c>
      <c r="BB14" s="67">
        <f t="shared" si="2"/>
        <v>0</v>
      </c>
      <c r="BC14" s="67">
        <f t="shared" si="2"/>
        <v>9660</v>
      </c>
      <c r="BD14" s="67">
        <f t="shared" si="2"/>
        <v>0</v>
      </c>
      <c r="BE14" s="67">
        <f t="shared" si="2"/>
        <v>0</v>
      </c>
      <c r="BF14" s="67">
        <f t="shared" si="2"/>
        <v>0</v>
      </c>
      <c r="BG14" s="67">
        <f t="shared" si="2"/>
        <v>7660</v>
      </c>
      <c r="BH14" s="67">
        <f t="shared" si="2"/>
        <v>2000</v>
      </c>
      <c r="BI14" s="67">
        <f t="shared" si="2"/>
        <v>0</v>
      </c>
      <c r="BJ14" s="67">
        <f t="shared" si="2"/>
        <v>0</v>
      </c>
      <c r="BK14" s="67">
        <f t="shared" si="2"/>
        <v>0</v>
      </c>
      <c r="BL14" s="67">
        <f t="shared" si="2"/>
        <v>0</v>
      </c>
      <c r="BM14" s="67">
        <f t="shared" si="2"/>
        <v>0</v>
      </c>
      <c r="BN14" s="67">
        <f t="shared" si="2"/>
        <v>0</v>
      </c>
      <c r="BO14" s="67">
        <f t="shared" si="2"/>
        <v>0</v>
      </c>
      <c r="BP14" s="67">
        <f t="shared" si="2"/>
        <v>0</v>
      </c>
      <c r="BQ14" s="67">
        <f t="shared" si="2"/>
        <v>0</v>
      </c>
      <c r="BR14" s="67">
        <f t="shared" si="2"/>
        <v>0</v>
      </c>
      <c r="BS14" s="67">
        <f t="shared" si="2"/>
        <v>0</v>
      </c>
      <c r="BT14" s="67">
        <f t="shared" si="2"/>
        <v>0</v>
      </c>
      <c r="BU14" s="67">
        <f t="shared" si="2"/>
        <v>0</v>
      </c>
      <c r="BV14" s="67">
        <f t="shared" si="2"/>
        <v>0</v>
      </c>
      <c r="BW14" s="67">
        <f t="shared" si="2"/>
        <v>0</v>
      </c>
      <c r="BX14" s="67">
        <f t="shared" si="2"/>
        <v>0</v>
      </c>
      <c r="BY14" s="67">
        <f t="shared" si="2"/>
        <v>0</v>
      </c>
      <c r="BZ14" s="67">
        <f t="shared" si="2"/>
        <v>0</v>
      </c>
      <c r="CA14" s="67">
        <f t="shared" si="2"/>
        <v>0</v>
      </c>
      <c r="CB14" s="67">
        <f t="shared" ref="CB14" si="3">CB15+CB16</f>
        <v>0</v>
      </c>
      <c r="CC14" s="67">
        <f>CC15+CC16</f>
        <v>0</v>
      </c>
      <c r="CD14" s="175"/>
      <c r="CE14" s="170"/>
      <c r="CH14" s="114"/>
    </row>
    <row r="15" spans="1:86" ht="57.75" customHeight="1" outlineLevel="1">
      <c r="A15" s="434">
        <v>1</v>
      </c>
      <c r="B15" s="435" t="s">
        <v>880</v>
      </c>
      <c r="C15" s="434" t="s">
        <v>881</v>
      </c>
      <c r="D15" s="434" t="s">
        <v>570</v>
      </c>
      <c r="E15" s="434"/>
      <c r="F15" s="434"/>
      <c r="G15" s="454"/>
      <c r="H15" s="420"/>
      <c r="I15" s="420"/>
      <c r="J15" s="420"/>
      <c r="K15" s="434"/>
      <c r="L15" s="434"/>
      <c r="M15" s="133"/>
      <c r="N15" s="127"/>
      <c r="O15" s="169"/>
      <c r="P15" s="169"/>
      <c r="Q15" s="169"/>
      <c r="R15" s="169"/>
      <c r="S15" s="70"/>
      <c r="T15" s="70"/>
      <c r="U15" s="70"/>
      <c r="V15" s="70"/>
      <c r="W15" s="70"/>
      <c r="X15" s="70"/>
      <c r="Y15" s="169">
        <f>SUM(Z15:AB15)</f>
        <v>11310</v>
      </c>
      <c r="Z15" s="70"/>
      <c r="AA15" s="70"/>
      <c r="AB15" s="169">
        <f>SUM(AD15:AG15)</f>
        <v>11310</v>
      </c>
      <c r="AC15" s="169">
        <f>AD15+AE15</f>
        <v>0</v>
      </c>
      <c r="AD15" s="177"/>
      <c r="AE15" s="177"/>
      <c r="AF15" s="70">
        <v>11310</v>
      </c>
      <c r="AG15" s="70"/>
      <c r="AH15" s="169">
        <f>SUM(AI15:AK15)</f>
        <v>5659</v>
      </c>
      <c r="AI15" s="70"/>
      <c r="AJ15" s="70"/>
      <c r="AK15" s="169">
        <f>AP15+AO15+AL15</f>
        <v>5659</v>
      </c>
      <c r="AL15" s="169">
        <f>AM15+AN15</f>
        <v>0</v>
      </c>
      <c r="AM15" s="178"/>
      <c r="AN15" s="70"/>
      <c r="AO15" s="108">
        <v>5659</v>
      </c>
      <c r="AP15" s="70"/>
      <c r="AQ15" s="169">
        <f>SUM(AR15:AT15)</f>
        <v>5659</v>
      </c>
      <c r="AR15" s="70"/>
      <c r="AS15" s="70"/>
      <c r="AT15" s="169">
        <f>AU15+AX15+AY15</f>
        <v>5659</v>
      </c>
      <c r="AU15" s="169">
        <f>AV15+AW15</f>
        <v>0</v>
      </c>
      <c r="AV15" s="169"/>
      <c r="AW15" s="70"/>
      <c r="AX15" s="108">
        <v>5659</v>
      </c>
      <c r="AY15" s="70"/>
      <c r="AZ15" s="70">
        <f>SUM(BA15:BC15)</f>
        <v>7660</v>
      </c>
      <c r="BA15" s="70"/>
      <c r="BB15" s="70"/>
      <c r="BC15" s="70">
        <f>BD15+BG15+BH15</f>
        <v>7660</v>
      </c>
      <c r="BD15" s="169">
        <f>BF15+BE15</f>
        <v>0</v>
      </c>
      <c r="BE15" s="177"/>
      <c r="BF15" s="70"/>
      <c r="BG15" s="108">
        <f>1160+6500</f>
        <v>7660</v>
      </c>
      <c r="BH15" s="169"/>
      <c r="BI15" s="179"/>
      <c r="BJ15" s="179"/>
      <c r="BK15" s="179"/>
      <c r="BL15" s="179"/>
      <c r="BM15" s="179"/>
      <c r="BN15" s="179"/>
      <c r="BO15" s="179"/>
      <c r="BP15" s="179"/>
      <c r="BQ15" s="179"/>
      <c r="BR15" s="180"/>
      <c r="BS15" s="180"/>
      <c r="BT15" s="180"/>
      <c r="BU15" s="134"/>
      <c r="BV15" s="134"/>
      <c r="BW15" s="454"/>
      <c r="BX15" s="454"/>
      <c r="BY15" s="454"/>
      <c r="BZ15" s="454"/>
      <c r="CA15" s="454"/>
      <c r="CB15" s="454"/>
      <c r="CC15" s="454"/>
      <c r="CD15" s="454"/>
      <c r="CE15" s="501"/>
    </row>
    <row r="16" spans="1:86" ht="80.25" customHeight="1" outlineLevel="1">
      <c r="A16" s="434">
        <v>2</v>
      </c>
      <c r="B16" s="181" t="s">
        <v>882</v>
      </c>
      <c r="C16" s="183" t="s">
        <v>3597</v>
      </c>
      <c r="D16" s="420" t="s">
        <v>3596</v>
      </c>
      <c r="E16" s="127"/>
      <c r="F16" s="127"/>
      <c r="G16" s="127" t="s">
        <v>883</v>
      </c>
      <c r="H16" s="127" t="s">
        <v>883</v>
      </c>
      <c r="I16" s="127"/>
      <c r="J16" s="126"/>
      <c r="K16" s="127"/>
      <c r="L16" s="129"/>
      <c r="M16" s="127"/>
      <c r="N16" s="127"/>
      <c r="O16" s="169"/>
      <c r="P16" s="169"/>
      <c r="Q16" s="169"/>
      <c r="R16" s="169"/>
      <c r="S16" s="70"/>
      <c r="T16" s="70"/>
      <c r="U16" s="70"/>
      <c r="V16" s="70"/>
      <c r="W16" s="70"/>
      <c r="X16" s="70"/>
      <c r="Y16" s="169">
        <f>SUM(Z16:AB16)</f>
        <v>2000</v>
      </c>
      <c r="Z16" s="70"/>
      <c r="AA16" s="70"/>
      <c r="AB16" s="169">
        <f>SUM(AD16:AG16)</f>
        <v>2000</v>
      </c>
      <c r="AC16" s="169">
        <f>AD16+AE16</f>
        <v>0</v>
      </c>
      <c r="AD16" s="169"/>
      <c r="AE16" s="70"/>
      <c r="AF16" s="169"/>
      <c r="AG16" s="169">
        <v>2000</v>
      </c>
      <c r="AH16" s="169">
        <f>SUM(AI16:AK16)</f>
        <v>0</v>
      </c>
      <c r="AI16" s="70"/>
      <c r="AJ16" s="70"/>
      <c r="AK16" s="169">
        <f>AP16+AO16+AL16</f>
        <v>0</v>
      </c>
      <c r="AL16" s="169">
        <f>AM16+AN16</f>
        <v>0</v>
      </c>
      <c r="AM16" s="169"/>
      <c r="AN16" s="169"/>
      <c r="AO16" s="169"/>
      <c r="AP16" s="169"/>
      <c r="AQ16" s="169">
        <f>SUM(AR16:AT16)</f>
        <v>0</v>
      </c>
      <c r="AR16" s="70"/>
      <c r="AS16" s="70"/>
      <c r="AT16" s="169">
        <f>AU16+AX16+AY16</f>
        <v>0</v>
      </c>
      <c r="AU16" s="169">
        <f>AV16+AW16</f>
        <v>0</v>
      </c>
      <c r="AV16" s="169"/>
      <c r="AW16" s="70"/>
      <c r="AX16" s="68"/>
      <c r="AY16" s="169"/>
      <c r="AZ16" s="70">
        <f>SUM(BA16:BC16)</f>
        <v>2000</v>
      </c>
      <c r="BA16" s="70"/>
      <c r="BB16" s="70"/>
      <c r="BC16" s="70">
        <f>BD16+BG16+BH16</f>
        <v>2000</v>
      </c>
      <c r="BD16" s="169">
        <f>BF16+BE16</f>
        <v>0</v>
      </c>
      <c r="BE16" s="70"/>
      <c r="BF16" s="70"/>
      <c r="BG16" s="70"/>
      <c r="BH16" s="70">
        <v>2000</v>
      </c>
      <c r="BI16" s="127">
        <f>SUM(BJ16:BL16)</f>
        <v>0</v>
      </c>
      <c r="BJ16" s="127"/>
      <c r="BK16" s="127"/>
      <c r="BL16" s="127">
        <f>SUM(BM16:BP16)</f>
        <v>0</v>
      </c>
      <c r="BM16" s="127"/>
      <c r="BN16" s="127"/>
      <c r="BO16" s="127"/>
      <c r="BP16" s="127"/>
      <c r="BQ16" s="127">
        <f>SUM(BR16:BT16)</f>
        <v>0</v>
      </c>
      <c r="BR16" s="127"/>
      <c r="BS16" s="127"/>
      <c r="BT16" s="127"/>
      <c r="BU16" s="127">
        <f>SUM(BV16:BX16)</f>
        <v>0</v>
      </c>
      <c r="BV16" s="127"/>
      <c r="BW16" s="127"/>
      <c r="BX16" s="127"/>
      <c r="BY16" s="127"/>
      <c r="BZ16" s="127"/>
      <c r="CA16" s="127"/>
      <c r="CB16" s="127"/>
      <c r="CC16" s="127"/>
      <c r="CD16" s="420"/>
      <c r="CE16" s="125"/>
    </row>
    <row r="17" spans="1:86" ht="33" customHeight="1">
      <c r="A17" s="175" t="s">
        <v>10</v>
      </c>
      <c r="B17" s="418" t="s">
        <v>3665</v>
      </c>
      <c r="C17" s="175"/>
      <c r="D17" s="175"/>
      <c r="E17" s="175"/>
      <c r="F17" s="175"/>
      <c r="G17" s="175"/>
      <c r="H17" s="175"/>
      <c r="I17" s="175"/>
      <c r="J17" s="175"/>
      <c r="K17" s="175"/>
      <c r="L17" s="176"/>
      <c r="M17" s="175"/>
      <c r="N17" s="175"/>
      <c r="O17" s="67">
        <f>O18+O90+O28+O112</f>
        <v>648290.27899999998</v>
      </c>
      <c r="P17" s="67">
        <f t="shared" ref="P17:BG17" si="4">P18+P90+P28+P112</f>
        <v>180000</v>
      </c>
      <c r="Q17" s="67">
        <f t="shared" si="4"/>
        <v>90000</v>
      </c>
      <c r="R17" s="67">
        <f t="shared" si="4"/>
        <v>252499.82</v>
      </c>
      <c r="S17" s="67">
        <f t="shared" si="4"/>
        <v>0</v>
      </c>
      <c r="T17" s="67" t="e">
        <f t="shared" si="4"/>
        <v>#VALUE!</v>
      </c>
      <c r="U17" s="67">
        <f t="shared" si="4"/>
        <v>233.50299999999999</v>
      </c>
      <c r="V17" s="67">
        <f t="shared" si="4"/>
        <v>0</v>
      </c>
      <c r="W17" s="67">
        <f t="shared" si="4"/>
        <v>0</v>
      </c>
      <c r="X17" s="67">
        <f t="shared" si="4"/>
        <v>233.50299999999999</v>
      </c>
      <c r="Y17" s="67">
        <f t="shared" si="4"/>
        <v>395501</v>
      </c>
      <c r="Z17" s="67">
        <f t="shared" si="4"/>
        <v>77702</v>
      </c>
      <c r="AA17" s="67">
        <f t="shared" si="4"/>
        <v>90000</v>
      </c>
      <c r="AB17" s="67">
        <f t="shared" si="4"/>
        <v>242299</v>
      </c>
      <c r="AC17" s="67">
        <f t="shared" si="4"/>
        <v>91705</v>
      </c>
      <c r="AD17" s="67">
        <f t="shared" si="4"/>
        <v>88355</v>
      </c>
      <c r="AE17" s="67">
        <f t="shared" si="4"/>
        <v>3350</v>
      </c>
      <c r="AF17" s="67">
        <f t="shared" si="4"/>
        <v>100050</v>
      </c>
      <c r="AG17" s="67">
        <f t="shared" si="4"/>
        <v>50544</v>
      </c>
      <c r="AH17" s="67">
        <f t="shared" si="4"/>
        <v>193398.81440900007</v>
      </c>
      <c r="AI17" s="67">
        <f t="shared" si="4"/>
        <v>58500</v>
      </c>
      <c r="AJ17" s="67">
        <f t="shared" si="4"/>
        <v>0</v>
      </c>
      <c r="AK17" s="67">
        <f t="shared" si="4"/>
        <v>134898.834409</v>
      </c>
      <c r="AL17" s="67">
        <f t="shared" si="4"/>
        <v>70975</v>
      </c>
      <c r="AM17" s="67">
        <f t="shared" si="4"/>
        <v>67625</v>
      </c>
      <c r="AN17" s="67">
        <f t="shared" si="4"/>
        <v>3350</v>
      </c>
      <c r="AO17" s="67">
        <f t="shared" si="4"/>
        <v>27129.672552</v>
      </c>
      <c r="AP17" s="67">
        <f t="shared" si="4"/>
        <v>36794.161857000006</v>
      </c>
      <c r="AQ17" s="67">
        <f t="shared" si="4"/>
        <v>189634.21072500007</v>
      </c>
      <c r="AR17" s="67">
        <f t="shared" si="4"/>
        <v>58500</v>
      </c>
      <c r="AS17" s="67">
        <f t="shared" si="4"/>
        <v>0</v>
      </c>
      <c r="AT17" s="67">
        <f t="shared" si="4"/>
        <v>131923.260725</v>
      </c>
      <c r="AU17" s="67">
        <f t="shared" si="4"/>
        <v>69624.982000000004</v>
      </c>
      <c r="AV17" s="67">
        <f t="shared" si="4"/>
        <v>66274.982000000004</v>
      </c>
      <c r="AW17" s="67">
        <f t="shared" si="4"/>
        <v>3350</v>
      </c>
      <c r="AX17" s="67">
        <f t="shared" si="4"/>
        <v>27686.658552000001</v>
      </c>
      <c r="AY17" s="67">
        <f t="shared" si="4"/>
        <v>34611.620173000003</v>
      </c>
      <c r="AZ17" s="67">
        <f t="shared" si="4"/>
        <v>87352.195000000007</v>
      </c>
      <c r="BA17" s="67">
        <f t="shared" si="4"/>
        <v>19202</v>
      </c>
      <c r="BB17" s="67">
        <f t="shared" si="4"/>
        <v>25000</v>
      </c>
      <c r="BC17" s="67">
        <f t="shared" si="4"/>
        <v>43150.195</v>
      </c>
      <c r="BD17" s="67">
        <f t="shared" si="4"/>
        <v>20730</v>
      </c>
      <c r="BE17" s="67">
        <f t="shared" si="4"/>
        <v>20730</v>
      </c>
      <c r="BF17" s="67">
        <f t="shared" si="4"/>
        <v>0</v>
      </c>
      <c r="BG17" s="67">
        <f t="shared" si="4"/>
        <v>14325.768</v>
      </c>
      <c r="BH17" s="67">
        <f>BH18+BH90+BH28+BH112</f>
        <v>8094.4269999999997</v>
      </c>
      <c r="BI17" s="67">
        <f t="shared" ref="BI17:CC17" si="5">BI18+BI90+BI28+BI112</f>
        <v>23405.406723000004</v>
      </c>
      <c r="BJ17" s="67">
        <f t="shared" si="5"/>
        <v>0</v>
      </c>
      <c r="BK17" s="67">
        <f t="shared" si="5"/>
        <v>0</v>
      </c>
      <c r="BL17" s="67">
        <f t="shared" si="5"/>
        <v>23405.406723000004</v>
      </c>
      <c r="BM17" s="67">
        <f t="shared" si="5"/>
        <v>14382.453593</v>
      </c>
      <c r="BN17" s="67">
        <f t="shared" si="5"/>
        <v>0</v>
      </c>
      <c r="BO17" s="67">
        <f t="shared" si="5"/>
        <v>4518.776304</v>
      </c>
      <c r="BP17" s="67">
        <f t="shared" si="5"/>
        <v>4504.1768259999999</v>
      </c>
      <c r="BQ17" s="67">
        <f t="shared" si="5"/>
        <v>2975.541698</v>
      </c>
      <c r="BR17" s="67">
        <f t="shared" si="5"/>
        <v>0</v>
      </c>
      <c r="BS17" s="67">
        <f t="shared" si="5"/>
        <v>0</v>
      </c>
      <c r="BT17" s="67">
        <f t="shared" si="5"/>
        <v>2975.541698</v>
      </c>
      <c r="BU17" s="67">
        <f t="shared" si="5"/>
        <v>2956.1146840000001</v>
      </c>
      <c r="BV17" s="67">
        <f t="shared" si="5"/>
        <v>0</v>
      </c>
      <c r="BW17" s="67">
        <f t="shared" si="5"/>
        <v>0</v>
      </c>
      <c r="BX17" s="67">
        <f t="shared" si="5"/>
        <v>2956.1146840000001</v>
      </c>
      <c r="BY17" s="67">
        <f t="shared" si="5"/>
        <v>3643</v>
      </c>
      <c r="BZ17" s="67">
        <f t="shared" si="5"/>
        <v>0</v>
      </c>
      <c r="CA17" s="67">
        <f t="shared" si="5"/>
        <v>0</v>
      </c>
      <c r="CB17" s="67">
        <f t="shared" si="5"/>
        <v>3643</v>
      </c>
      <c r="CC17" s="67">
        <f t="shared" si="5"/>
        <v>2975.5416839999998</v>
      </c>
      <c r="CD17" s="175" t="s">
        <v>3692</v>
      </c>
      <c r="CE17" s="170"/>
      <c r="CH17" s="114"/>
    </row>
    <row r="18" spans="1:86" ht="25.5" customHeight="1">
      <c r="A18" s="418" t="s">
        <v>12</v>
      </c>
      <c r="B18" s="418" t="s">
        <v>884</v>
      </c>
      <c r="C18" s="418"/>
      <c r="D18" s="418"/>
      <c r="E18" s="418"/>
      <c r="F18" s="418"/>
      <c r="G18" s="418"/>
      <c r="H18" s="418"/>
      <c r="I18" s="418"/>
      <c r="J18" s="418"/>
      <c r="K18" s="418"/>
      <c r="L18" s="418"/>
      <c r="M18" s="418"/>
      <c r="N18" s="418"/>
      <c r="O18" s="67">
        <f>O19+O25</f>
        <v>7015</v>
      </c>
      <c r="P18" s="67">
        <f t="shared" ref="P18:CA18" si="6">P19+P25</f>
        <v>0</v>
      </c>
      <c r="Q18" s="67">
        <f t="shared" si="6"/>
        <v>0</v>
      </c>
      <c r="R18" s="67">
        <f t="shared" si="6"/>
        <v>6770.97</v>
      </c>
      <c r="S18" s="67">
        <f t="shared" si="6"/>
        <v>0</v>
      </c>
      <c r="T18" s="67" t="e">
        <f t="shared" si="6"/>
        <v>#VALUE!</v>
      </c>
      <c r="U18" s="67">
        <f t="shared" si="6"/>
        <v>0</v>
      </c>
      <c r="V18" s="67">
        <f t="shared" si="6"/>
        <v>0</v>
      </c>
      <c r="W18" s="67">
        <f t="shared" si="6"/>
        <v>0</v>
      </c>
      <c r="X18" s="67">
        <f t="shared" si="6"/>
        <v>0</v>
      </c>
      <c r="Y18" s="67">
        <f t="shared" si="6"/>
        <v>6701.02</v>
      </c>
      <c r="Z18" s="67">
        <f t="shared" si="6"/>
        <v>0</v>
      </c>
      <c r="AA18" s="67">
        <f t="shared" si="6"/>
        <v>0</v>
      </c>
      <c r="AB18" s="67">
        <f t="shared" si="6"/>
        <v>6701.02</v>
      </c>
      <c r="AC18" s="67">
        <f t="shared" si="6"/>
        <v>4686.0200000000004</v>
      </c>
      <c r="AD18" s="67">
        <f t="shared" si="6"/>
        <v>4686.0200000000004</v>
      </c>
      <c r="AE18" s="67">
        <f t="shared" si="6"/>
        <v>0</v>
      </c>
      <c r="AF18" s="67">
        <f t="shared" si="6"/>
        <v>0</v>
      </c>
      <c r="AG18" s="67">
        <f t="shared" si="6"/>
        <v>2015</v>
      </c>
      <c r="AH18" s="67">
        <f t="shared" si="6"/>
        <v>4628</v>
      </c>
      <c r="AI18" s="67">
        <f t="shared" si="6"/>
        <v>0</v>
      </c>
      <c r="AJ18" s="67">
        <f t="shared" si="6"/>
        <v>0</v>
      </c>
      <c r="AK18" s="67">
        <f t="shared" si="6"/>
        <v>4628.0200000000004</v>
      </c>
      <c r="AL18" s="67">
        <f t="shared" si="6"/>
        <v>3406.02</v>
      </c>
      <c r="AM18" s="67">
        <f t="shared" si="6"/>
        <v>3406.02</v>
      </c>
      <c r="AN18" s="67">
        <f t="shared" si="6"/>
        <v>0</v>
      </c>
      <c r="AO18" s="67">
        <f t="shared" si="6"/>
        <v>0</v>
      </c>
      <c r="AP18" s="67">
        <f t="shared" si="6"/>
        <v>1222</v>
      </c>
      <c r="AQ18" s="67">
        <f t="shared" si="6"/>
        <v>4627.97</v>
      </c>
      <c r="AR18" s="67">
        <f t="shared" si="6"/>
        <v>0</v>
      </c>
      <c r="AS18" s="67">
        <f t="shared" si="6"/>
        <v>0</v>
      </c>
      <c r="AT18" s="67">
        <f t="shared" si="6"/>
        <v>4628.0200000000004</v>
      </c>
      <c r="AU18" s="67">
        <f t="shared" si="6"/>
        <v>3406.02</v>
      </c>
      <c r="AV18" s="67">
        <f t="shared" si="6"/>
        <v>3406.02</v>
      </c>
      <c r="AW18" s="67">
        <f t="shared" si="6"/>
        <v>0</v>
      </c>
      <c r="AX18" s="67">
        <f t="shared" si="6"/>
        <v>0</v>
      </c>
      <c r="AY18" s="67">
        <f t="shared" si="6"/>
        <v>1222</v>
      </c>
      <c r="AZ18" s="67">
        <f t="shared" si="6"/>
        <v>1280</v>
      </c>
      <c r="BA18" s="67">
        <f t="shared" si="6"/>
        <v>0</v>
      </c>
      <c r="BB18" s="67">
        <f t="shared" si="6"/>
        <v>0</v>
      </c>
      <c r="BC18" s="67">
        <f t="shared" si="6"/>
        <v>1280</v>
      </c>
      <c r="BD18" s="67">
        <f t="shared" si="6"/>
        <v>1280</v>
      </c>
      <c r="BE18" s="67">
        <f t="shared" si="6"/>
        <v>1280</v>
      </c>
      <c r="BF18" s="67">
        <f t="shared" si="6"/>
        <v>0</v>
      </c>
      <c r="BG18" s="67">
        <f t="shared" si="6"/>
        <v>0</v>
      </c>
      <c r="BH18" s="67">
        <f t="shared" si="6"/>
        <v>0</v>
      </c>
      <c r="BI18" s="67">
        <f t="shared" si="6"/>
        <v>1232</v>
      </c>
      <c r="BJ18" s="67">
        <f t="shared" si="6"/>
        <v>0</v>
      </c>
      <c r="BK18" s="67">
        <f t="shared" si="6"/>
        <v>0</v>
      </c>
      <c r="BL18" s="67">
        <f t="shared" si="6"/>
        <v>1232</v>
      </c>
      <c r="BM18" s="67">
        <f t="shared" si="6"/>
        <v>1232</v>
      </c>
      <c r="BN18" s="67">
        <f t="shared" si="6"/>
        <v>0</v>
      </c>
      <c r="BO18" s="67">
        <f t="shared" si="6"/>
        <v>0</v>
      </c>
      <c r="BP18" s="67">
        <f t="shared" si="6"/>
        <v>0</v>
      </c>
      <c r="BQ18" s="67">
        <f t="shared" si="6"/>
        <v>0</v>
      </c>
      <c r="BR18" s="67">
        <f t="shared" si="6"/>
        <v>0</v>
      </c>
      <c r="BS18" s="67">
        <f t="shared" si="6"/>
        <v>0</v>
      </c>
      <c r="BT18" s="67">
        <f t="shared" si="6"/>
        <v>0</v>
      </c>
      <c r="BU18" s="67">
        <f t="shared" si="6"/>
        <v>0</v>
      </c>
      <c r="BV18" s="67">
        <f t="shared" si="6"/>
        <v>0</v>
      </c>
      <c r="BW18" s="67">
        <f t="shared" si="6"/>
        <v>0</v>
      </c>
      <c r="BX18" s="67">
        <f t="shared" si="6"/>
        <v>0</v>
      </c>
      <c r="BY18" s="67">
        <f t="shared" si="6"/>
        <v>0</v>
      </c>
      <c r="BZ18" s="67">
        <f t="shared" si="6"/>
        <v>0</v>
      </c>
      <c r="CA18" s="67">
        <f t="shared" si="6"/>
        <v>0</v>
      </c>
      <c r="CB18" s="67">
        <f t="shared" ref="CB18:CC18" si="7">CB19+CB25</f>
        <v>0</v>
      </c>
      <c r="CC18" s="67">
        <f t="shared" si="7"/>
        <v>0</v>
      </c>
      <c r="CD18" s="418"/>
      <c r="CE18" s="502"/>
    </row>
    <row r="19" spans="1:86" ht="15" outlineLevel="1">
      <c r="A19" s="488" t="s">
        <v>45</v>
      </c>
      <c r="B19" s="456" t="s">
        <v>51</v>
      </c>
      <c r="C19" s="418"/>
      <c r="D19" s="418"/>
      <c r="E19" s="418"/>
      <c r="F19" s="418"/>
      <c r="G19" s="418"/>
      <c r="H19" s="418"/>
      <c r="I19" s="418"/>
      <c r="J19" s="418"/>
      <c r="K19" s="418"/>
      <c r="L19" s="418"/>
      <c r="M19" s="418"/>
      <c r="N19" s="418"/>
      <c r="O19" s="67">
        <f>SUM(O20:O24)</f>
        <v>6275</v>
      </c>
      <c r="P19" s="67">
        <f t="shared" ref="P19:CA19" si="8">SUM(P20:P24)</f>
        <v>0</v>
      </c>
      <c r="Q19" s="67">
        <f t="shared" si="8"/>
        <v>0</v>
      </c>
      <c r="R19" s="67">
        <f t="shared" si="8"/>
        <v>6030.97</v>
      </c>
      <c r="S19" s="67">
        <f t="shared" si="8"/>
        <v>0</v>
      </c>
      <c r="T19" s="67">
        <f t="shared" si="8"/>
        <v>0</v>
      </c>
      <c r="U19" s="67">
        <f t="shared" si="8"/>
        <v>0</v>
      </c>
      <c r="V19" s="67">
        <f t="shared" si="8"/>
        <v>0</v>
      </c>
      <c r="W19" s="67">
        <f t="shared" si="8"/>
        <v>0</v>
      </c>
      <c r="X19" s="67">
        <f t="shared" si="8"/>
        <v>0</v>
      </c>
      <c r="Y19" s="67">
        <f t="shared" si="8"/>
        <v>5961.02</v>
      </c>
      <c r="Z19" s="67">
        <f t="shared" si="8"/>
        <v>0</v>
      </c>
      <c r="AA19" s="67">
        <f t="shared" si="8"/>
        <v>0</v>
      </c>
      <c r="AB19" s="67">
        <f t="shared" si="8"/>
        <v>5961.02</v>
      </c>
      <c r="AC19" s="67">
        <f t="shared" si="8"/>
        <v>4686.0200000000004</v>
      </c>
      <c r="AD19" s="67">
        <f t="shared" si="8"/>
        <v>4686.0200000000004</v>
      </c>
      <c r="AE19" s="67">
        <f t="shared" si="8"/>
        <v>0</v>
      </c>
      <c r="AF19" s="67">
        <f t="shared" si="8"/>
        <v>0</v>
      </c>
      <c r="AG19" s="67">
        <f t="shared" si="8"/>
        <v>1275</v>
      </c>
      <c r="AH19" s="67">
        <f t="shared" si="8"/>
        <v>4628</v>
      </c>
      <c r="AI19" s="67">
        <f t="shared" si="8"/>
        <v>0</v>
      </c>
      <c r="AJ19" s="67">
        <f t="shared" si="8"/>
        <v>0</v>
      </c>
      <c r="AK19" s="67">
        <f t="shared" si="8"/>
        <v>4628.0200000000004</v>
      </c>
      <c r="AL19" s="67">
        <f t="shared" si="8"/>
        <v>3406.02</v>
      </c>
      <c r="AM19" s="67">
        <f t="shared" si="8"/>
        <v>3406.02</v>
      </c>
      <c r="AN19" s="67">
        <f t="shared" si="8"/>
        <v>0</v>
      </c>
      <c r="AO19" s="67">
        <f t="shared" si="8"/>
        <v>0</v>
      </c>
      <c r="AP19" s="67">
        <f t="shared" si="8"/>
        <v>1222</v>
      </c>
      <c r="AQ19" s="67">
        <f t="shared" si="8"/>
        <v>4627.97</v>
      </c>
      <c r="AR19" s="67">
        <f t="shared" si="8"/>
        <v>0</v>
      </c>
      <c r="AS19" s="67">
        <f t="shared" si="8"/>
        <v>0</v>
      </c>
      <c r="AT19" s="67">
        <f t="shared" si="8"/>
        <v>4628.0200000000004</v>
      </c>
      <c r="AU19" s="67">
        <f t="shared" si="8"/>
        <v>3406.02</v>
      </c>
      <c r="AV19" s="67">
        <f t="shared" si="8"/>
        <v>3406.02</v>
      </c>
      <c r="AW19" s="67">
        <f t="shared" si="8"/>
        <v>0</v>
      </c>
      <c r="AX19" s="67">
        <f t="shared" si="8"/>
        <v>0</v>
      </c>
      <c r="AY19" s="67">
        <f t="shared" si="8"/>
        <v>1222</v>
      </c>
      <c r="AZ19" s="67">
        <f t="shared" si="8"/>
        <v>1280</v>
      </c>
      <c r="BA19" s="67">
        <f t="shared" si="8"/>
        <v>0</v>
      </c>
      <c r="BB19" s="67">
        <f t="shared" si="8"/>
        <v>0</v>
      </c>
      <c r="BC19" s="67">
        <f t="shared" si="8"/>
        <v>1280</v>
      </c>
      <c r="BD19" s="67">
        <f t="shared" si="8"/>
        <v>1280</v>
      </c>
      <c r="BE19" s="67">
        <f t="shared" si="8"/>
        <v>1280</v>
      </c>
      <c r="BF19" s="67">
        <f t="shared" si="8"/>
        <v>0</v>
      </c>
      <c r="BG19" s="67">
        <f t="shared" si="8"/>
        <v>0</v>
      </c>
      <c r="BH19" s="67">
        <f t="shared" si="8"/>
        <v>0</v>
      </c>
      <c r="BI19" s="67">
        <f t="shared" si="8"/>
        <v>1232</v>
      </c>
      <c r="BJ19" s="67">
        <f t="shared" si="8"/>
        <v>0</v>
      </c>
      <c r="BK19" s="67">
        <f t="shared" si="8"/>
        <v>0</v>
      </c>
      <c r="BL19" s="67">
        <f t="shared" si="8"/>
        <v>1232</v>
      </c>
      <c r="BM19" s="67">
        <f t="shared" si="8"/>
        <v>1232</v>
      </c>
      <c r="BN19" s="67">
        <f t="shared" si="8"/>
        <v>0</v>
      </c>
      <c r="BO19" s="67">
        <f t="shared" si="8"/>
        <v>0</v>
      </c>
      <c r="BP19" s="67">
        <f t="shared" si="8"/>
        <v>0</v>
      </c>
      <c r="BQ19" s="67">
        <f t="shared" si="8"/>
        <v>0</v>
      </c>
      <c r="BR19" s="67">
        <f t="shared" si="8"/>
        <v>0</v>
      </c>
      <c r="BS19" s="67">
        <f t="shared" si="8"/>
        <v>0</v>
      </c>
      <c r="BT19" s="67">
        <f t="shared" si="8"/>
        <v>0</v>
      </c>
      <c r="BU19" s="67">
        <f t="shared" si="8"/>
        <v>0</v>
      </c>
      <c r="BV19" s="67">
        <f t="shared" si="8"/>
        <v>0</v>
      </c>
      <c r="BW19" s="67">
        <f t="shared" si="8"/>
        <v>0</v>
      </c>
      <c r="BX19" s="67">
        <f t="shared" si="8"/>
        <v>0</v>
      </c>
      <c r="BY19" s="67">
        <f t="shared" si="8"/>
        <v>0</v>
      </c>
      <c r="BZ19" s="67">
        <f t="shared" si="8"/>
        <v>0</v>
      </c>
      <c r="CA19" s="67">
        <f t="shared" si="8"/>
        <v>0</v>
      </c>
      <c r="CB19" s="67">
        <f t="shared" ref="CB19:CC19" si="9">SUM(CB20:CB24)</f>
        <v>0</v>
      </c>
      <c r="CC19" s="67">
        <f t="shared" si="9"/>
        <v>0</v>
      </c>
      <c r="CD19" s="418"/>
      <c r="CE19" s="502"/>
    </row>
    <row r="20" spans="1:86" ht="72.75" customHeight="1" outlineLevel="1">
      <c r="A20" s="434">
        <v>1</v>
      </c>
      <c r="B20" s="182" t="s">
        <v>885</v>
      </c>
      <c r="C20" s="127" t="s">
        <v>886</v>
      </c>
      <c r="D20" s="127" t="s">
        <v>887</v>
      </c>
      <c r="E20" s="127" t="s">
        <v>49</v>
      </c>
      <c r="F20" s="127" t="s">
        <v>888</v>
      </c>
      <c r="G20" s="127" t="s">
        <v>889</v>
      </c>
      <c r="H20" s="127" t="s">
        <v>884</v>
      </c>
      <c r="I20" s="127" t="s">
        <v>890</v>
      </c>
      <c r="J20" s="126"/>
      <c r="K20" s="127" t="s">
        <v>891</v>
      </c>
      <c r="L20" s="129">
        <v>2021</v>
      </c>
      <c r="M20" s="127" t="s">
        <v>892</v>
      </c>
      <c r="N20" s="127" t="s">
        <v>893</v>
      </c>
      <c r="O20" s="169">
        <v>1500</v>
      </c>
      <c r="P20" s="70"/>
      <c r="Q20" s="169"/>
      <c r="R20" s="169">
        <v>1371.2</v>
      </c>
      <c r="S20" s="70" t="s">
        <v>894</v>
      </c>
      <c r="T20" s="70" t="s">
        <v>884</v>
      </c>
      <c r="U20" s="70"/>
      <c r="V20" s="70"/>
      <c r="W20" s="70"/>
      <c r="X20" s="70"/>
      <c r="Y20" s="169">
        <f>SUM(Z20:AB20)</f>
        <v>1371.22</v>
      </c>
      <c r="Z20" s="70"/>
      <c r="AA20" s="70"/>
      <c r="AB20" s="169">
        <f>SUM(AD20:AG20)</f>
        <v>1371.22</v>
      </c>
      <c r="AC20" s="169">
        <f>AD20+AE20</f>
        <v>1371.22</v>
      </c>
      <c r="AD20" s="169">
        <v>1371.22</v>
      </c>
      <c r="AE20" s="70"/>
      <c r="AF20" s="70"/>
      <c r="AG20" s="70"/>
      <c r="AH20" s="169">
        <v>1371.2</v>
      </c>
      <c r="AI20" s="70"/>
      <c r="AJ20" s="70"/>
      <c r="AK20" s="169">
        <f>AP20+AO20+AL20</f>
        <v>1371.22</v>
      </c>
      <c r="AL20" s="169">
        <f>AM20+AN20</f>
        <v>1371.22</v>
      </c>
      <c r="AM20" s="169">
        <v>1371.22</v>
      </c>
      <c r="AN20" s="70"/>
      <c r="AO20" s="70"/>
      <c r="AP20" s="70"/>
      <c r="AQ20" s="169">
        <v>1371.2</v>
      </c>
      <c r="AR20" s="70"/>
      <c r="AS20" s="70"/>
      <c r="AT20" s="169">
        <f>AU20+AX20+AY20</f>
        <v>1371.22</v>
      </c>
      <c r="AU20" s="169">
        <f>AV20+AW20</f>
        <v>1371.22</v>
      </c>
      <c r="AV20" s="169">
        <v>1371.22</v>
      </c>
      <c r="AW20" s="70"/>
      <c r="AX20" s="70"/>
      <c r="AY20" s="70"/>
      <c r="AZ20" s="70"/>
      <c r="BA20" s="70"/>
      <c r="BB20" s="70"/>
      <c r="BC20" s="70">
        <f t="shared" ref="BC20:BC27" si="10">BD20+BG20+BH20</f>
        <v>0</v>
      </c>
      <c r="BD20" s="169">
        <f>BF20+BE20</f>
        <v>0</v>
      </c>
      <c r="BE20" s="70"/>
      <c r="BF20" s="70"/>
      <c r="BG20" s="70"/>
      <c r="BH20" s="70"/>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71"/>
    </row>
    <row r="21" spans="1:86" ht="46.15" outlineLevel="1">
      <c r="A21" s="434">
        <v>2</v>
      </c>
      <c r="B21" s="181" t="s">
        <v>895</v>
      </c>
      <c r="C21" s="127" t="s">
        <v>886</v>
      </c>
      <c r="D21" s="127" t="s">
        <v>887</v>
      </c>
      <c r="E21" s="127" t="s">
        <v>49</v>
      </c>
      <c r="F21" s="127" t="s">
        <v>889</v>
      </c>
      <c r="G21" s="127" t="s">
        <v>889</v>
      </c>
      <c r="H21" s="127" t="s">
        <v>884</v>
      </c>
      <c r="I21" s="127" t="s">
        <v>890</v>
      </c>
      <c r="J21" s="126"/>
      <c r="K21" s="127" t="s">
        <v>891</v>
      </c>
      <c r="L21" s="129">
        <v>2021</v>
      </c>
      <c r="M21" s="127" t="s">
        <v>896</v>
      </c>
      <c r="N21" s="127" t="s">
        <v>897</v>
      </c>
      <c r="O21" s="169">
        <v>1500</v>
      </c>
      <c r="P21" s="169"/>
      <c r="Q21" s="169"/>
      <c r="R21" s="169">
        <v>1484.77</v>
      </c>
      <c r="S21" s="70" t="s">
        <v>898</v>
      </c>
      <c r="T21" s="70" t="s">
        <v>884</v>
      </c>
      <c r="U21" s="70"/>
      <c r="V21" s="70"/>
      <c r="W21" s="70"/>
      <c r="X21" s="70"/>
      <c r="Y21" s="169">
        <f t="shared" ref="Y21:Y27" si="11">SUM(Z21:AB21)</f>
        <v>1484.8</v>
      </c>
      <c r="Z21" s="70"/>
      <c r="AA21" s="70"/>
      <c r="AB21" s="169">
        <f t="shared" ref="AB21:AB27" si="12">SUM(AD21:AG21)</f>
        <v>1484.8</v>
      </c>
      <c r="AC21" s="169">
        <f t="shared" ref="AC21:AC27" si="13">AD21+AE21</f>
        <v>1484.8</v>
      </c>
      <c r="AD21" s="169">
        <v>1484.8</v>
      </c>
      <c r="AE21" s="70"/>
      <c r="AF21" s="70"/>
      <c r="AG21" s="70"/>
      <c r="AH21" s="169">
        <f t="shared" ref="AH21:AH24" si="14">SUM(AI21:AK21)</f>
        <v>1484.8</v>
      </c>
      <c r="AI21" s="70"/>
      <c r="AJ21" s="70"/>
      <c r="AK21" s="169">
        <f t="shared" ref="AK21:AK27" si="15">AP21+AO21+AL21</f>
        <v>1484.8</v>
      </c>
      <c r="AL21" s="169">
        <f t="shared" ref="AL21:AL27" si="16">AM21+AN21</f>
        <v>1484.8</v>
      </c>
      <c r="AM21" s="169">
        <v>1484.8</v>
      </c>
      <c r="AN21" s="70"/>
      <c r="AO21" s="70"/>
      <c r="AP21" s="70"/>
      <c r="AQ21" s="169">
        <v>1484.77</v>
      </c>
      <c r="AR21" s="70"/>
      <c r="AS21" s="70"/>
      <c r="AT21" s="169">
        <f t="shared" ref="AT21:AT27" si="17">AU21+AX21+AY21</f>
        <v>1484.8</v>
      </c>
      <c r="AU21" s="169">
        <f t="shared" ref="AU21:AU27" si="18">AV21+AW21</f>
        <v>1484.8</v>
      </c>
      <c r="AV21" s="169">
        <v>1484.8</v>
      </c>
      <c r="AW21" s="70"/>
      <c r="AX21" s="70"/>
      <c r="AY21" s="70"/>
      <c r="AZ21" s="70"/>
      <c r="BA21" s="70"/>
      <c r="BB21" s="70"/>
      <c r="BC21" s="70">
        <f t="shared" si="10"/>
        <v>0</v>
      </c>
      <c r="BD21" s="169">
        <f t="shared" ref="BD21:BD27" si="19">BF21+BE21</f>
        <v>0</v>
      </c>
      <c r="BE21" s="70"/>
      <c r="BF21" s="70"/>
      <c r="BG21" s="70"/>
      <c r="BH21" s="70"/>
      <c r="BI21" s="127"/>
      <c r="BJ21" s="127"/>
      <c r="BK21" s="127"/>
      <c r="BL21" s="127"/>
      <c r="BM21" s="127"/>
      <c r="BN21" s="127"/>
      <c r="BO21" s="127"/>
      <c r="BP21" s="127"/>
      <c r="BQ21" s="127"/>
      <c r="BR21" s="127"/>
      <c r="BS21" s="127"/>
      <c r="BT21" s="127"/>
      <c r="BU21" s="127"/>
      <c r="BV21" s="127"/>
      <c r="BW21" s="127"/>
      <c r="BX21" s="127"/>
      <c r="BY21" s="127"/>
      <c r="BZ21" s="127"/>
      <c r="CA21" s="127"/>
      <c r="CB21" s="127"/>
      <c r="CC21" s="127"/>
      <c r="CD21" s="127"/>
      <c r="CE21" s="171"/>
    </row>
    <row r="22" spans="1:86" ht="46.15" outlineLevel="1">
      <c r="A22" s="434">
        <v>3</v>
      </c>
      <c r="B22" s="181" t="s">
        <v>899</v>
      </c>
      <c r="C22" s="127" t="s">
        <v>886</v>
      </c>
      <c r="D22" s="127" t="s">
        <v>900</v>
      </c>
      <c r="E22" s="127" t="s">
        <v>49</v>
      </c>
      <c r="F22" s="127" t="s">
        <v>889</v>
      </c>
      <c r="G22" s="127" t="s">
        <v>889</v>
      </c>
      <c r="H22" s="127" t="s">
        <v>889</v>
      </c>
      <c r="I22" s="127" t="s">
        <v>55</v>
      </c>
      <c r="J22" s="126"/>
      <c r="K22" s="127" t="s">
        <v>84</v>
      </c>
      <c r="L22" s="129">
        <v>2024</v>
      </c>
      <c r="M22" s="127" t="s">
        <v>901</v>
      </c>
      <c r="N22" s="127" t="s">
        <v>902</v>
      </c>
      <c r="O22" s="169">
        <v>2000</v>
      </c>
      <c r="P22" s="169"/>
      <c r="Q22" s="169"/>
      <c r="R22" s="169">
        <v>1900</v>
      </c>
      <c r="S22" s="70" t="s">
        <v>903</v>
      </c>
      <c r="T22" s="70" t="s">
        <v>889</v>
      </c>
      <c r="U22" s="70"/>
      <c r="V22" s="70"/>
      <c r="W22" s="70"/>
      <c r="X22" s="70"/>
      <c r="Y22" s="169">
        <f t="shared" si="11"/>
        <v>1830</v>
      </c>
      <c r="Z22" s="70"/>
      <c r="AA22" s="70"/>
      <c r="AB22" s="169">
        <f t="shared" si="12"/>
        <v>1830</v>
      </c>
      <c r="AC22" s="169">
        <f t="shared" si="13"/>
        <v>1830</v>
      </c>
      <c r="AD22" s="177">
        <v>1830</v>
      </c>
      <c r="AE22" s="177"/>
      <c r="AF22" s="169"/>
      <c r="AG22" s="169"/>
      <c r="AH22" s="169">
        <f t="shared" si="14"/>
        <v>550</v>
      </c>
      <c r="AI22" s="70"/>
      <c r="AJ22" s="70"/>
      <c r="AK22" s="169">
        <f t="shared" si="15"/>
        <v>550</v>
      </c>
      <c r="AL22" s="169">
        <f t="shared" si="16"/>
        <v>550</v>
      </c>
      <c r="AM22" s="178">
        <v>550</v>
      </c>
      <c r="AN22" s="169"/>
      <c r="AO22" s="68"/>
      <c r="AP22" s="70"/>
      <c r="AQ22" s="169">
        <f t="shared" ref="AQ22:AQ23" si="20">SUM(AR22:AT22)</f>
        <v>550</v>
      </c>
      <c r="AR22" s="70"/>
      <c r="AS22" s="70"/>
      <c r="AT22" s="169">
        <f t="shared" si="17"/>
        <v>550</v>
      </c>
      <c r="AU22" s="169">
        <f t="shared" si="18"/>
        <v>550</v>
      </c>
      <c r="AV22" s="169">
        <v>550</v>
      </c>
      <c r="AW22" s="70"/>
      <c r="AX22" s="68"/>
      <c r="AY22" s="70"/>
      <c r="AZ22" s="70">
        <f t="shared" ref="AZ22:AZ24" si="21">SUM(BA22:BC22)</f>
        <v>1280</v>
      </c>
      <c r="BA22" s="70"/>
      <c r="BB22" s="70"/>
      <c r="BC22" s="70">
        <f t="shared" si="10"/>
        <v>1280</v>
      </c>
      <c r="BD22" s="169">
        <f t="shared" si="19"/>
        <v>1280</v>
      </c>
      <c r="BE22" s="177">
        <f>1232+48</f>
        <v>1280</v>
      </c>
      <c r="BF22" s="70"/>
      <c r="BG22" s="108"/>
      <c r="BH22" s="169"/>
      <c r="BI22" s="127">
        <f t="shared" ref="BI22:BI24" si="22">SUM(BJ22:BL22)</f>
        <v>1232</v>
      </c>
      <c r="BJ22" s="127"/>
      <c r="BK22" s="127"/>
      <c r="BL22" s="127">
        <f t="shared" ref="BL22:BL24" si="23">SUM(BM22:BP22)</f>
        <v>1232</v>
      </c>
      <c r="BM22" s="127">
        <v>1232</v>
      </c>
      <c r="BN22" s="127"/>
      <c r="BO22" s="127"/>
      <c r="BP22" s="127"/>
      <c r="BQ22" s="127"/>
      <c r="BR22" s="127"/>
      <c r="BS22" s="127"/>
      <c r="BT22" s="127"/>
      <c r="BU22" s="127"/>
      <c r="BV22" s="127"/>
      <c r="BW22" s="127"/>
      <c r="BX22" s="127"/>
      <c r="BY22" s="127"/>
      <c r="BZ22" s="127"/>
      <c r="CA22" s="127"/>
      <c r="CB22" s="127"/>
      <c r="CC22" s="127"/>
      <c r="CD22" s="127"/>
      <c r="CE22" s="125"/>
    </row>
    <row r="23" spans="1:86" ht="51.75" customHeight="1" outlineLevel="1">
      <c r="A23" s="434">
        <v>4</v>
      </c>
      <c r="B23" s="181" t="s">
        <v>904</v>
      </c>
      <c r="C23" s="127" t="s">
        <v>905</v>
      </c>
      <c r="D23" s="127" t="s">
        <v>900</v>
      </c>
      <c r="E23" s="127" t="s">
        <v>49</v>
      </c>
      <c r="F23" s="127" t="s">
        <v>888</v>
      </c>
      <c r="G23" s="127" t="s">
        <v>889</v>
      </c>
      <c r="H23" s="127" t="s">
        <v>889</v>
      </c>
      <c r="I23" s="127" t="s">
        <v>48</v>
      </c>
      <c r="J23" s="127">
        <v>7976396</v>
      </c>
      <c r="K23" s="127" t="s">
        <v>906</v>
      </c>
      <c r="L23" s="129">
        <v>2022</v>
      </c>
      <c r="M23" s="127" t="s">
        <v>907</v>
      </c>
      <c r="N23" s="127" t="s">
        <v>908</v>
      </c>
      <c r="O23" s="169">
        <v>525</v>
      </c>
      <c r="P23" s="169"/>
      <c r="Q23" s="169"/>
      <c r="R23" s="169">
        <v>525</v>
      </c>
      <c r="S23" s="70"/>
      <c r="T23" s="70" t="s">
        <v>889</v>
      </c>
      <c r="U23" s="70"/>
      <c r="V23" s="70"/>
      <c r="W23" s="70"/>
      <c r="X23" s="70"/>
      <c r="Y23" s="169">
        <f t="shared" si="11"/>
        <v>525</v>
      </c>
      <c r="Z23" s="70"/>
      <c r="AA23" s="70"/>
      <c r="AB23" s="169">
        <f t="shared" si="12"/>
        <v>525</v>
      </c>
      <c r="AC23" s="169">
        <f t="shared" si="13"/>
        <v>0</v>
      </c>
      <c r="AD23" s="169"/>
      <c r="AE23" s="70"/>
      <c r="AF23" s="70"/>
      <c r="AG23" s="70">
        <v>525</v>
      </c>
      <c r="AH23" s="169">
        <f t="shared" si="14"/>
        <v>512</v>
      </c>
      <c r="AI23" s="70"/>
      <c r="AJ23" s="70"/>
      <c r="AK23" s="169">
        <f t="shared" si="15"/>
        <v>512</v>
      </c>
      <c r="AL23" s="169">
        <f t="shared" si="16"/>
        <v>0</v>
      </c>
      <c r="AM23" s="169"/>
      <c r="AN23" s="70"/>
      <c r="AO23" s="70"/>
      <c r="AP23" s="70">
        <v>512</v>
      </c>
      <c r="AQ23" s="169">
        <f t="shared" si="20"/>
        <v>512</v>
      </c>
      <c r="AR23" s="70"/>
      <c r="AS23" s="70"/>
      <c r="AT23" s="169">
        <f t="shared" si="17"/>
        <v>512</v>
      </c>
      <c r="AU23" s="169">
        <f t="shared" si="18"/>
        <v>0</v>
      </c>
      <c r="AV23" s="169"/>
      <c r="AW23" s="70"/>
      <c r="AX23" s="70"/>
      <c r="AY23" s="70">
        <v>512</v>
      </c>
      <c r="AZ23" s="70">
        <f t="shared" si="21"/>
        <v>0</v>
      </c>
      <c r="BA23" s="70"/>
      <c r="BB23" s="70"/>
      <c r="BC23" s="70">
        <f t="shared" si="10"/>
        <v>0</v>
      </c>
      <c r="BD23" s="169">
        <f t="shared" si="19"/>
        <v>0</v>
      </c>
      <c r="BE23" s="70"/>
      <c r="BF23" s="70"/>
      <c r="BG23" s="70"/>
      <c r="BH23" s="70"/>
      <c r="BI23" s="127">
        <f t="shared" si="22"/>
        <v>0</v>
      </c>
      <c r="BJ23" s="127"/>
      <c r="BK23" s="127"/>
      <c r="BL23" s="127">
        <f t="shared" si="23"/>
        <v>0</v>
      </c>
      <c r="BM23" s="127"/>
      <c r="BN23" s="127"/>
      <c r="BO23" s="127"/>
      <c r="BP23" s="127"/>
      <c r="BQ23" s="127">
        <f t="shared" ref="BQ23:BQ24" si="24">SUM(BR23:BT23)</f>
        <v>0</v>
      </c>
      <c r="BR23" s="127"/>
      <c r="BS23" s="127"/>
      <c r="BT23" s="127"/>
      <c r="BU23" s="127">
        <f t="shared" ref="BU23:BU24" si="25">SUM(BV23:BX23)</f>
        <v>0</v>
      </c>
      <c r="BV23" s="127"/>
      <c r="BW23" s="127"/>
      <c r="BX23" s="127"/>
      <c r="BY23" s="127"/>
      <c r="BZ23" s="127"/>
      <c r="CA23" s="127"/>
      <c r="CB23" s="127"/>
      <c r="CC23" s="127"/>
      <c r="CD23" s="127"/>
      <c r="CE23" s="171"/>
    </row>
    <row r="24" spans="1:86" ht="36.75" customHeight="1" outlineLevel="1">
      <c r="A24" s="434">
        <v>5</v>
      </c>
      <c r="B24" s="181" t="s">
        <v>909</v>
      </c>
      <c r="C24" s="127" t="s">
        <v>905</v>
      </c>
      <c r="D24" s="127" t="s">
        <v>900</v>
      </c>
      <c r="E24" s="127" t="s">
        <v>49</v>
      </c>
      <c r="F24" s="127" t="s">
        <v>888</v>
      </c>
      <c r="G24" s="127" t="s">
        <v>889</v>
      </c>
      <c r="H24" s="127" t="s">
        <v>889</v>
      </c>
      <c r="I24" s="127" t="s">
        <v>890</v>
      </c>
      <c r="J24" s="127">
        <v>8055499</v>
      </c>
      <c r="K24" s="127" t="s">
        <v>910</v>
      </c>
      <c r="L24" s="129">
        <v>2023</v>
      </c>
      <c r="M24" s="127" t="s">
        <v>911</v>
      </c>
      <c r="N24" s="127" t="s">
        <v>912</v>
      </c>
      <c r="O24" s="169">
        <v>750</v>
      </c>
      <c r="P24" s="169"/>
      <c r="Q24" s="169"/>
      <c r="R24" s="169">
        <v>750</v>
      </c>
      <c r="S24" s="70"/>
      <c r="T24" s="70" t="s">
        <v>889</v>
      </c>
      <c r="U24" s="70"/>
      <c r="V24" s="70"/>
      <c r="W24" s="70"/>
      <c r="X24" s="70"/>
      <c r="Y24" s="169">
        <f t="shared" si="11"/>
        <v>750</v>
      </c>
      <c r="Z24" s="70"/>
      <c r="AA24" s="70"/>
      <c r="AB24" s="169">
        <f t="shared" si="12"/>
        <v>750</v>
      </c>
      <c r="AC24" s="169">
        <f t="shared" si="13"/>
        <v>0</v>
      </c>
      <c r="AD24" s="169"/>
      <c r="AE24" s="70"/>
      <c r="AF24" s="70"/>
      <c r="AG24" s="70">
        <v>750</v>
      </c>
      <c r="AH24" s="169">
        <f t="shared" si="14"/>
        <v>710</v>
      </c>
      <c r="AI24" s="70"/>
      <c r="AJ24" s="70"/>
      <c r="AK24" s="169">
        <f t="shared" si="15"/>
        <v>710</v>
      </c>
      <c r="AL24" s="169">
        <f t="shared" si="16"/>
        <v>0</v>
      </c>
      <c r="AM24" s="169"/>
      <c r="AN24" s="70"/>
      <c r="AO24" s="70"/>
      <c r="AP24" s="70">
        <v>710</v>
      </c>
      <c r="AQ24" s="169">
        <f>SUM(AR24:AT24)</f>
        <v>710</v>
      </c>
      <c r="AR24" s="70"/>
      <c r="AS24" s="70"/>
      <c r="AT24" s="169">
        <f t="shared" si="17"/>
        <v>710</v>
      </c>
      <c r="AU24" s="169">
        <f t="shared" si="18"/>
        <v>0</v>
      </c>
      <c r="AV24" s="169"/>
      <c r="AW24" s="70"/>
      <c r="AX24" s="70"/>
      <c r="AY24" s="70">
        <v>710</v>
      </c>
      <c r="AZ24" s="70">
        <f t="shared" si="21"/>
        <v>0</v>
      </c>
      <c r="BA24" s="70"/>
      <c r="BB24" s="70"/>
      <c r="BC24" s="70">
        <f t="shared" si="10"/>
        <v>0</v>
      </c>
      <c r="BD24" s="169">
        <f t="shared" si="19"/>
        <v>0</v>
      </c>
      <c r="BE24" s="70"/>
      <c r="BF24" s="70"/>
      <c r="BG24" s="70"/>
      <c r="BH24" s="70"/>
      <c r="BI24" s="127">
        <f t="shared" si="22"/>
        <v>0</v>
      </c>
      <c r="BJ24" s="127"/>
      <c r="BK24" s="127"/>
      <c r="BL24" s="127">
        <f t="shared" si="23"/>
        <v>0</v>
      </c>
      <c r="BM24" s="127"/>
      <c r="BN24" s="127"/>
      <c r="BO24" s="127"/>
      <c r="BP24" s="127"/>
      <c r="BQ24" s="127">
        <f t="shared" si="24"/>
        <v>0</v>
      </c>
      <c r="BR24" s="127"/>
      <c r="BS24" s="127"/>
      <c r="BT24" s="127"/>
      <c r="BU24" s="127">
        <f t="shared" si="25"/>
        <v>0</v>
      </c>
      <c r="BV24" s="127"/>
      <c r="BW24" s="127"/>
      <c r="BX24" s="127"/>
      <c r="BY24" s="127"/>
      <c r="BZ24" s="127"/>
      <c r="CA24" s="127"/>
      <c r="CB24" s="127"/>
      <c r="CC24" s="127"/>
      <c r="CD24" s="127"/>
      <c r="CE24" s="171"/>
    </row>
    <row r="25" spans="1:86" ht="36.75" customHeight="1" outlineLevel="1">
      <c r="A25" s="488" t="s">
        <v>45</v>
      </c>
      <c r="B25" s="489" t="s">
        <v>913</v>
      </c>
      <c r="C25" s="183"/>
      <c r="D25" s="183"/>
      <c r="E25" s="183"/>
      <c r="F25" s="183"/>
      <c r="G25" s="183"/>
      <c r="H25" s="183"/>
      <c r="I25" s="184"/>
      <c r="J25" s="183"/>
      <c r="K25" s="183"/>
      <c r="L25" s="183"/>
      <c r="M25" s="183"/>
      <c r="N25" s="185"/>
      <c r="O25" s="186">
        <f>O26+O27</f>
        <v>740</v>
      </c>
      <c r="P25" s="186">
        <f t="shared" ref="P25:CA25" si="26">P26+P27</f>
        <v>0</v>
      </c>
      <c r="Q25" s="186">
        <f t="shared" si="26"/>
        <v>0</v>
      </c>
      <c r="R25" s="186">
        <f t="shared" si="26"/>
        <v>740</v>
      </c>
      <c r="S25" s="186">
        <f t="shared" si="26"/>
        <v>0</v>
      </c>
      <c r="T25" s="186" t="e">
        <f t="shared" si="26"/>
        <v>#VALUE!</v>
      </c>
      <c r="U25" s="186">
        <f t="shared" si="26"/>
        <v>0</v>
      </c>
      <c r="V25" s="186">
        <f t="shared" si="26"/>
        <v>0</v>
      </c>
      <c r="W25" s="186">
        <f t="shared" si="26"/>
        <v>0</v>
      </c>
      <c r="X25" s="186">
        <f t="shared" si="26"/>
        <v>0</v>
      </c>
      <c r="Y25" s="186">
        <f t="shared" si="26"/>
        <v>740</v>
      </c>
      <c r="Z25" s="186">
        <f t="shared" si="26"/>
        <v>0</v>
      </c>
      <c r="AA25" s="186">
        <f t="shared" si="26"/>
        <v>0</v>
      </c>
      <c r="AB25" s="186">
        <f t="shared" si="26"/>
        <v>740</v>
      </c>
      <c r="AC25" s="186">
        <f t="shared" si="26"/>
        <v>0</v>
      </c>
      <c r="AD25" s="186">
        <f t="shared" si="26"/>
        <v>0</v>
      </c>
      <c r="AE25" s="186">
        <f t="shared" si="26"/>
        <v>0</v>
      </c>
      <c r="AF25" s="186">
        <f t="shared" si="26"/>
        <v>0</v>
      </c>
      <c r="AG25" s="186">
        <f t="shared" si="26"/>
        <v>740</v>
      </c>
      <c r="AH25" s="186">
        <f t="shared" si="26"/>
        <v>0</v>
      </c>
      <c r="AI25" s="186">
        <f t="shared" si="26"/>
        <v>0</v>
      </c>
      <c r="AJ25" s="186">
        <f t="shared" si="26"/>
        <v>0</v>
      </c>
      <c r="AK25" s="186">
        <f t="shared" si="26"/>
        <v>0</v>
      </c>
      <c r="AL25" s="186">
        <f t="shared" si="26"/>
        <v>0</v>
      </c>
      <c r="AM25" s="186">
        <f t="shared" si="26"/>
        <v>0</v>
      </c>
      <c r="AN25" s="186">
        <f t="shared" si="26"/>
        <v>0</v>
      </c>
      <c r="AO25" s="186">
        <f t="shared" si="26"/>
        <v>0</v>
      </c>
      <c r="AP25" s="186">
        <f t="shared" si="26"/>
        <v>0</v>
      </c>
      <c r="AQ25" s="186">
        <f t="shared" si="26"/>
        <v>0</v>
      </c>
      <c r="AR25" s="186">
        <f t="shared" si="26"/>
        <v>0</v>
      </c>
      <c r="AS25" s="186">
        <f t="shared" si="26"/>
        <v>0</v>
      </c>
      <c r="AT25" s="186">
        <f t="shared" si="26"/>
        <v>0</v>
      </c>
      <c r="AU25" s="186">
        <f t="shared" si="26"/>
        <v>0</v>
      </c>
      <c r="AV25" s="186">
        <f t="shared" si="26"/>
        <v>0</v>
      </c>
      <c r="AW25" s="186">
        <f t="shared" si="26"/>
        <v>0</v>
      </c>
      <c r="AX25" s="186">
        <f t="shared" si="26"/>
        <v>0</v>
      </c>
      <c r="AY25" s="186">
        <f t="shared" si="26"/>
        <v>0</v>
      </c>
      <c r="AZ25" s="186">
        <f t="shared" si="26"/>
        <v>0</v>
      </c>
      <c r="BA25" s="186">
        <f t="shared" si="26"/>
        <v>0</v>
      </c>
      <c r="BB25" s="186">
        <f t="shared" si="26"/>
        <v>0</v>
      </c>
      <c r="BC25" s="186">
        <f t="shared" si="26"/>
        <v>0</v>
      </c>
      <c r="BD25" s="186">
        <f t="shared" si="26"/>
        <v>0</v>
      </c>
      <c r="BE25" s="186">
        <f t="shared" si="26"/>
        <v>0</v>
      </c>
      <c r="BF25" s="186">
        <f t="shared" si="26"/>
        <v>0</v>
      </c>
      <c r="BG25" s="186">
        <f t="shared" si="26"/>
        <v>0</v>
      </c>
      <c r="BH25" s="186">
        <f t="shared" si="26"/>
        <v>0</v>
      </c>
      <c r="BI25" s="186">
        <f t="shared" si="26"/>
        <v>0</v>
      </c>
      <c r="BJ25" s="186">
        <f t="shared" si="26"/>
        <v>0</v>
      </c>
      <c r="BK25" s="186">
        <f t="shared" si="26"/>
        <v>0</v>
      </c>
      <c r="BL25" s="186">
        <f t="shared" si="26"/>
        <v>0</v>
      </c>
      <c r="BM25" s="186">
        <f t="shared" si="26"/>
        <v>0</v>
      </c>
      <c r="BN25" s="186">
        <f t="shared" si="26"/>
        <v>0</v>
      </c>
      <c r="BO25" s="186">
        <f t="shared" si="26"/>
        <v>0</v>
      </c>
      <c r="BP25" s="186">
        <f t="shared" si="26"/>
        <v>0</v>
      </c>
      <c r="BQ25" s="186">
        <f t="shared" si="26"/>
        <v>0</v>
      </c>
      <c r="BR25" s="186">
        <f t="shared" si="26"/>
        <v>0</v>
      </c>
      <c r="BS25" s="186">
        <f t="shared" si="26"/>
        <v>0</v>
      </c>
      <c r="BT25" s="186">
        <f t="shared" si="26"/>
        <v>0</v>
      </c>
      <c r="BU25" s="186">
        <f t="shared" si="26"/>
        <v>0</v>
      </c>
      <c r="BV25" s="186">
        <f t="shared" si="26"/>
        <v>0</v>
      </c>
      <c r="BW25" s="186">
        <f t="shared" si="26"/>
        <v>0</v>
      </c>
      <c r="BX25" s="186">
        <f t="shared" si="26"/>
        <v>0</v>
      </c>
      <c r="BY25" s="186">
        <f t="shared" si="26"/>
        <v>0</v>
      </c>
      <c r="BZ25" s="186">
        <f t="shared" si="26"/>
        <v>0</v>
      </c>
      <c r="CA25" s="186">
        <f t="shared" si="26"/>
        <v>0</v>
      </c>
      <c r="CB25" s="186">
        <f t="shared" ref="CB25:CC25" si="27">CB26+CB27</f>
        <v>0</v>
      </c>
      <c r="CC25" s="186">
        <f t="shared" si="27"/>
        <v>0</v>
      </c>
      <c r="CD25" s="187"/>
      <c r="CE25" s="172"/>
    </row>
    <row r="26" spans="1:86" ht="30.75" outlineLevel="1">
      <c r="A26" s="434">
        <v>1</v>
      </c>
      <c r="B26" s="181" t="s">
        <v>914</v>
      </c>
      <c r="C26" s="127" t="s">
        <v>915</v>
      </c>
      <c r="D26" s="127" t="s">
        <v>900</v>
      </c>
      <c r="E26" s="127" t="s">
        <v>49</v>
      </c>
      <c r="F26" s="127" t="s">
        <v>889</v>
      </c>
      <c r="G26" s="127" t="s">
        <v>889</v>
      </c>
      <c r="H26" s="127" t="s">
        <v>889</v>
      </c>
      <c r="I26" s="127" t="s">
        <v>916</v>
      </c>
      <c r="J26" s="126"/>
      <c r="K26" s="126"/>
      <c r="L26" s="129"/>
      <c r="M26" s="127"/>
      <c r="N26" s="127"/>
      <c r="O26" s="169">
        <v>360</v>
      </c>
      <c r="P26" s="169"/>
      <c r="Q26" s="169"/>
      <c r="R26" s="169">
        <v>360</v>
      </c>
      <c r="S26" s="70"/>
      <c r="T26" s="70" t="s">
        <v>889</v>
      </c>
      <c r="U26" s="70"/>
      <c r="V26" s="70"/>
      <c r="W26" s="70"/>
      <c r="X26" s="70"/>
      <c r="Y26" s="169">
        <f t="shared" si="11"/>
        <v>360</v>
      </c>
      <c r="Z26" s="70"/>
      <c r="AA26" s="70"/>
      <c r="AB26" s="169">
        <f t="shared" si="12"/>
        <v>360</v>
      </c>
      <c r="AC26" s="169">
        <f t="shared" si="13"/>
        <v>0</v>
      </c>
      <c r="AD26" s="169"/>
      <c r="AE26" s="70"/>
      <c r="AF26" s="169"/>
      <c r="AG26" s="169">
        <v>360</v>
      </c>
      <c r="AH26" s="169"/>
      <c r="AI26" s="70"/>
      <c r="AJ26" s="70"/>
      <c r="AK26" s="169">
        <f t="shared" si="15"/>
        <v>0</v>
      </c>
      <c r="AL26" s="169">
        <f t="shared" si="16"/>
        <v>0</v>
      </c>
      <c r="AM26" s="169"/>
      <c r="AN26" s="169"/>
      <c r="AO26" s="169"/>
      <c r="AP26" s="169"/>
      <c r="AQ26" s="169"/>
      <c r="AR26" s="70"/>
      <c r="AS26" s="70"/>
      <c r="AT26" s="169">
        <f t="shared" si="17"/>
        <v>0</v>
      </c>
      <c r="AU26" s="169">
        <f t="shared" si="18"/>
        <v>0</v>
      </c>
      <c r="AV26" s="169"/>
      <c r="AW26" s="70"/>
      <c r="AX26" s="68"/>
      <c r="AY26" s="169"/>
      <c r="AZ26" s="70"/>
      <c r="BA26" s="70"/>
      <c r="BB26" s="70"/>
      <c r="BC26" s="70">
        <f t="shared" si="10"/>
        <v>0</v>
      </c>
      <c r="BD26" s="169">
        <f t="shared" si="19"/>
        <v>0</v>
      </c>
      <c r="BE26" s="70"/>
      <c r="BF26" s="70"/>
      <c r="BG26" s="70"/>
      <c r="BH26" s="70"/>
      <c r="BI26" s="127"/>
      <c r="BJ26" s="127"/>
      <c r="BK26" s="127"/>
      <c r="BL26" s="127"/>
      <c r="BM26" s="127"/>
      <c r="BN26" s="127"/>
      <c r="BO26" s="127"/>
      <c r="BP26" s="127"/>
      <c r="BQ26" s="127"/>
      <c r="BR26" s="127"/>
      <c r="BS26" s="127"/>
      <c r="BT26" s="127"/>
      <c r="BU26" s="127"/>
      <c r="BV26" s="127"/>
      <c r="BW26" s="127"/>
      <c r="BX26" s="127"/>
      <c r="BY26" s="127"/>
      <c r="BZ26" s="127"/>
      <c r="CA26" s="127"/>
      <c r="CB26" s="127"/>
      <c r="CC26" s="127"/>
      <c r="CD26" s="127"/>
      <c r="CE26" s="125"/>
    </row>
    <row r="27" spans="1:86" ht="30.75" outlineLevel="1">
      <c r="A27" s="434">
        <v>2</v>
      </c>
      <c r="B27" s="181" t="s">
        <v>917</v>
      </c>
      <c r="C27" s="127" t="s">
        <v>918</v>
      </c>
      <c r="D27" s="127" t="s">
        <v>900</v>
      </c>
      <c r="E27" s="127" t="s">
        <v>49</v>
      </c>
      <c r="F27" s="127" t="s">
        <v>919</v>
      </c>
      <c r="G27" s="127" t="s">
        <v>889</v>
      </c>
      <c r="H27" s="127" t="s">
        <v>889</v>
      </c>
      <c r="I27" s="127" t="s">
        <v>916</v>
      </c>
      <c r="J27" s="126"/>
      <c r="K27" s="126"/>
      <c r="L27" s="129"/>
      <c r="M27" s="127"/>
      <c r="N27" s="127"/>
      <c r="O27" s="169">
        <v>380</v>
      </c>
      <c r="P27" s="169"/>
      <c r="Q27" s="169"/>
      <c r="R27" s="169">
        <v>380</v>
      </c>
      <c r="S27" s="70"/>
      <c r="T27" s="70" t="s">
        <v>889</v>
      </c>
      <c r="U27" s="70"/>
      <c r="V27" s="70"/>
      <c r="W27" s="70"/>
      <c r="X27" s="70"/>
      <c r="Y27" s="169">
        <f t="shared" si="11"/>
        <v>380</v>
      </c>
      <c r="Z27" s="70"/>
      <c r="AA27" s="70"/>
      <c r="AB27" s="169">
        <f t="shared" si="12"/>
        <v>380</v>
      </c>
      <c r="AC27" s="169">
        <f t="shared" si="13"/>
        <v>0</v>
      </c>
      <c r="AD27" s="169"/>
      <c r="AE27" s="70"/>
      <c r="AF27" s="169"/>
      <c r="AG27" s="169">
        <v>380</v>
      </c>
      <c r="AH27" s="169"/>
      <c r="AI27" s="70"/>
      <c r="AJ27" s="70"/>
      <c r="AK27" s="169">
        <f t="shared" si="15"/>
        <v>0</v>
      </c>
      <c r="AL27" s="169">
        <f t="shared" si="16"/>
        <v>0</v>
      </c>
      <c r="AM27" s="169"/>
      <c r="AN27" s="169"/>
      <c r="AO27" s="169"/>
      <c r="AP27" s="169"/>
      <c r="AQ27" s="169"/>
      <c r="AR27" s="70"/>
      <c r="AS27" s="70"/>
      <c r="AT27" s="169">
        <f t="shared" si="17"/>
        <v>0</v>
      </c>
      <c r="AU27" s="169">
        <f t="shared" si="18"/>
        <v>0</v>
      </c>
      <c r="AV27" s="169"/>
      <c r="AW27" s="70"/>
      <c r="AX27" s="68"/>
      <c r="AY27" s="169"/>
      <c r="AZ27" s="70"/>
      <c r="BA27" s="70"/>
      <c r="BB27" s="70"/>
      <c r="BC27" s="70">
        <f t="shared" si="10"/>
        <v>0</v>
      </c>
      <c r="BD27" s="169">
        <f t="shared" si="19"/>
        <v>0</v>
      </c>
      <c r="BE27" s="70"/>
      <c r="BF27" s="70"/>
      <c r="BG27" s="70"/>
      <c r="BH27" s="70"/>
      <c r="BI27" s="127"/>
      <c r="BJ27" s="127"/>
      <c r="BK27" s="127"/>
      <c r="BL27" s="127"/>
      <c r="BM27" s="127"/>
      <c r="BN27" s="127"/>
      <c r="BO27" s="127"/>
      <c r="BP27" s="127"/>
      <c r="BQ27" s="127"/>
      <c r="BR27" s="127"/>
      <c r="BS27" s="127"/>
      <c r="BT27" s="127"/>
      <c r="BU27" s="127"/>
      <c r="BV27" s="127"/>
      <c r="BW27" s="127"/>
      <c r="BX27" s="127"/>
      <c r="BY27" s="127"/>
      <c r="BZ27" s="127"/>
      <c r="CA27" s="127"/>
      <c r="CB27" s="127"/>
      <c r="CC27" s="127"/>
      <c r="CD27" s="127"/>
      <c r="CE27" s="125"/>
    </row>
    <row r="28" spans="1:86" ht="28.5" customHeight="1">
      <c r="A28" s="418" t="s">
        <v>13</v>
      </c>
      <c r="B28" s="418" t="s">
        <v>883</v>
      </c>
      <c r="C28" s="482"/>
      <c r="D28" s="482"/>
      <c r="E28" s="482"/>
      <c r="F28" s="482"/>
      <c r="G28" s="482"/>
      <c r="H28" s="482"/>
      <c r="I28" s="482"/>
      <c r="J28" s="482"/>
      <c r="K28" s="482"/>
      <c r="L28" s="482"/>
      <c r="M28" s="482"/>
      <c r="N28" s="482"/>
      <c r="O28" s="72">
        <f>O29+O81</f>
        <v>514355.27899999998</v>
      </c>
      <c r="P28" s="72">
        <f t="shared" ref="P28:CA28" si="28">P29+P81</f>
        <v>180000</v>
      </c>
      <c r="Q28" s="72">
        <f t="shared" si="28"/>
        <v>0</v>
      </c>
      <c r="R28" s="72">
        <f t="shared" si="28"/>
        <v>209475.85</v>
      </c>
      <c r="S28" s="72">
        <f t="shared" si="28"/>
        <v>0</v>
      </c>
      <c r="T28" s="72">
        <f t="shared" si="28"/>
        <v>0</v>
      </c>
      <c r="U28" s="72">
        <f t="shared" si="28"/>
        <v>233.50299999999999</v>
      </c>
      <c r="V28" s="72">
        <f t="shared" si="28"/>
        <v>0</v>
      </c>
      <c r="W28" s="72">
        <f t="shared" si="28"/>
        <v>0</v>
      </c>
      <c r="X28" s="72">
        <f t="shared" si="28"/>
        <v>233.50299999999999</v>
      </c>
      <c r="Y28" s="72">
        <f t="shared" si="28"/>
        <v>264014.98</v>
      </c>
      <c r="Z28" s="72">
        <f t="shared" si="28"/>
        <v>77702</v>
      </c>
      <c r="AA28" s="72">
        <f t="shared" si="28"/>
        <v>0</v>
      </c>
      <c r="AB28" s="72">
        <f t="shared" si="28"/>
        <v>186312.97999999998</v>
      </c>
      <c r="AC28" s="72">
        <f t="shared" si="28"/>
        <v>78286.98</v>
      </c>
      <c r="AD28" s="72">
        <f t="shared" si="28"/>
        <v>78286.98</v>
      </c>
      <c r="AE28" s="72">
        <f t="shared" si="28"/>
        <v>0</v>
      </c>
      <c r="AF28" s="72">
        <f t="shared" si="28"/>
        <v>69797</v>
      </c>
      <c r="AG28" s="72">
        <f t="shared" si="28"/>
        <v>38229</v>
      </c>
      <c r="AH28" s="72">
        <f t="shared" si="28"/>
        <v>170385.08240900008</v>
      </c>
      <c r="AI28" s="72">
        <f t="shared" si="28"/>
        <v>58500</v>
      </c>
      <c r="AJ28" s="72">
        <f t="shared" si="28"/>
        <v>0</v>
      </c>
      <c r="AK28" s="72">
        <f t="shared" si="28"/>
        <v>111885.08240900001</v>
      </c>
      <c r="AL28" s="72">
        <f t="shared" si="28"/>
        <v>59617.182000000001</v>
      </c>
      <c r="AM28" s="72">
        <f t="shared" si="28"/>
        <v>59617.182000000001</v>
      </c>
      <c r="AN28" s="72">
        <f t="shared" si="28"/>
        <v>0</v>
      </c>
      <c r="AO28" s="72">
        <f t="shared" si="28"/>
        <v>23409.672552</v>
      </c>
      <c r="AP28" s="72">
        <f t="shared" si="28"/>
        <v>28858.227857000005</v>
      </c>
      <c r="AQ28" s="72">
        <f t="shared" si="28"/>
        <v>168225.11272500007</v>
      </c>
      <c r="AR28" s="72">
        <f t="shared" si="28"/>
        <v>58500</v>
      </c>
      <c r="AS28" s="72">
        <f t="shared" si="28"/>
        <v>0</v>
      </c>
      <c r="AT28" s="72">
        <f t="shared" si="28"/>
        <v>109725.112725</v>
      </c>
      <c r="AU28" s="72">
        <f t="shared" si="28"/>
        <v>58267.164000000004</v>
      </c>
      <c r="AV28" s="72">
        <f t="shared" si="28"/>
        <v>58267.164000000004</v>
      </c>
      <c r="AW28" s="72">
        <f t="shared" si="28"/>
        <v>0</v>
      </c>
      <c r="AX28" s="72">
        <f t="shared" si="28"/>
        <v>23966.658552000001</v>
      </c>
      <c r="AY28" s="72">
        <f t="shared" si="28"/>
        <v>27491.290173000005</v>
      </c>
      <c r="AZ28" s="72">
        <f t="shared" si="28"/>
        <v>50862.186999999998</v>
      </c>
      <c r="BA28" s="72">
        <f t="shared" si="28"/>
        <v>19202</v>
      </c>
      <c r="BB28" s="72">
        <f t="shared" si="28"/>
        <v>0</v>
      </c>
      <c r="BC28" s="72">
        <f t="shared" si="28"/>
        <v>31660.186999999998</v>
      </c>
      <c r="BD28" s="72">
        <f t="shared" si="28"/>
        <v>18670</v>
      </c>
      <c r="BE28" s="72">
        <f t="shared" si="28"/>
        <v>18670</v>
      </c>
      <c r="BF28" s="72">
        <f t="shared" si="28"/>
        <v>0</v>
      </c>
      <c r="BG28" s="72">
        <f t="shared" si="28"/>
        <v>7264.26</v>
      </c>
      <c r="BH28" s="72">
        <f t="shared" si="28"/>
        <v>5725.9269999999997</v>
      </c>
      <c r="BI28" s="72">
        <f t="shared" si="28"/>
        <v>20279.565723000003</v>
      </c>
      <c r="BJ28" s="72">
        <f t="shared" si="28"/>
        <v>0</v>
      </c>
      <c r="BK28" s="72">
        <f t="shared" si="28"/>
        <v>0</v>
      </c>
      <c r="BL28" s="72">
        <f t="shared" si="28"/>
        <v>20279.565723000003</v>
      </c>
      <c r="BM28" s="72">
        <f t="shared" si="28"/>
        <v>12981.713593</v>
      </c>
      <c r="BN28" s="72">
        <f t="shared" si="28"/>
        <v>0</v>
      </c>
      <c r="BO28" s="72">
        <f t="shared" si="28"/>
        <v>4251.7873040000004</v>
      </c>
      <c r="BP28" s="72">
        <f t="shared" si="28"/>
        <v>3046.0648259999998</v>
      </c>
      <c r="BQ28" s="72">
        <f t="shared" si="28"/>
        <v>2159.9376979999997</v>
      </c>
      <c r="BR28" s="72">
        <f t="shared" si="28"/>
        <v>0</v>
      </c>
      <c r="BS28" s="72">
        <f t="shared" si="28"/>
        <v>0</v>
      </c>
      <c r="BT28" s="72">
        <f t="shared" si="28"/>
        <v>2159.9376979999997</v>
      </c>
      <c r="BU28" s="72">
        <f t="shared" si="28"/>
        <v>2140.5106839999999</v>
      </c>
      <c r="BV28" s="72">
        <f t="shared" si="28"/>
        <v>0</v>
      </c>
      <c r="BW28" s="72">
        <f t="shared" si="28"/>
        <v>0</v>
      </c>
      <c r="BX28" s="72">
        <f t="shared" si="28"/>
        <v>2140.5106839999999</v>
      </c>
      <c r="BY28" s="72">
        <f t="shared" si="28"/>
        <v>3643</v>
      </c>
      <c r="BZ28" s="72">
        <f t="shared" si="28"/>
        <v>0</v>
      </c>
      <c r="CA28" s="72">
        <f t="shared" si="28"/>
        <v>0</v>
      </c>
      <c r="CB28" s="72">
        <f t="shared" ref="CB28:CC28" si="29">CB29+CB81</f>
        <v>3643</v>
      </c>
      <c r="CC28" s="72">
        <f t="shared" si="29"/>
        <v>2159.937684</v>
      </c>
      <c r="CD28" s="482"/>
      <c r="CE28" s="503"/>
    </row>
    <row r="29" spans="1:86" outlineLevel="1">
      <c r="A29" s="430" t="s">
        <v>45</v>
      </c>
      <c r="B29" s="485" t="s">
        <v>51</v>
      </c>
      <c r="C29" s="482"/>
      <c r="D29" s="482"/>
      <c r="E29" s="482"/>
      <c r="F29" s="482"/>
      <c r="G29" s="482"/>
      <c r="H29" s="482"/>
      <c r="I29" s="482"/>
      <c r="J29" s="482"/>
      <c r="K29" s="482"/>
      <c r="L29" s="482"/>
      <c r="M29" s="482"/>
      <c r="N29" s="482"/>
      <c r="O29" s="72">
        <f>SUM(O30:O80)</f>
        <v>482135.27899999998</v>
      </c>
      <c r="P29" s="72">
        <f t="shared" ref="P29:CA29" si="30">SUM(P30:P80)</f>
        <v>180000</v>
      </c>
      <c r="Q29" s="72">
        <f t="shared" si="30"/>
        <v>0</v>
      </c>
      <c r="R29" s="72">
        <f t="shared" si="30"/>
        <v>178195.85</v>
      </c>
      <c r="S29" s="72">
        <f t="shared" si="30"/>
        <v>0</v>
      </c>
      <c r="T29" s="72">
        <f t="shared" si="30"/>
        <v>0</v>
      </c>
      <c r="U29" s="72">
        <f t="shared" si="30"/>
        <v>233.50299999999999</v>
      </c>
      <c r="V29" s="72">
        <f t="shared" si="30"/>
        <v>0</v>
      </c>
      <c r="W29" s="72">
        <f t="shared" si="30"/>
        <v>0</v>
      </c>
      <c r="X29" s="72">
        <f t="shared" si="30"/>
        <v>233.50299999999999</v>
      </c>
      <c r="Y29" s="72">
        <f t="shared" si="30"/>
        <v>232734.97999999998</v>
      </c>
      <c r="Z29" s="72">
        <f t="shared" si="30"/>
        <v>77702</v>
      </c>
      <c r="AA29" s="72">
        <f t="shared" si="30"/>
        <v>0</v>
      </c>
      <c r="AB29" s="72">
        <f t="shared" si="30"/>
        <v>155032.97999999998</v>
      </c>
      <c r="AC29" s="72">
        <f t="shared" si="30"/>
        <v>78286.98</v>
      </c>
      <c r="AD29" s="72">
        <f t="shared" si="30"/>
        <v>78286.98</v>
      </c>
      <c r="AE29" s="72">
        <f t="shared" si="30"/>
        <v>0</v>
      </c>
      <c r="AF29" s="72">
        <f t="shared" si="30"/>
        <v>39697</v>
      </c>
      <c r="AG29" s="72">
        <f t="shared" si="30"/>
        <v>37049</v>
      </c>
      <c r="AH29" s="72">
        <f t="shared" si="30"/>
        <v>170385.08240900008</v>
      </c>
      <c r="AI29" s="72">
        <f t="shared" si="30"/>
        <v>58500</v>
      </c>
      <c r="AJ29" s="72">
        <f t="shared" si="30"/>
        <v>0</v>
      </c>
      <c r="AK29" s="72">
        <f t="shared" si="30"/>
        <v>111885.08240900001</v>
      </c>
      <c r="AL29" s="72">
        <f t="shared" si="30"/>
        <v>59617.182000000001</v>
      </c>
      <c r="AM29" s="72">
        <f t="shared" si="30"/>
        <v>59617.182000000001</v>
      </c>
      <c r="AN29" s="72">
        <f t="shared" si="30"/>
        <v>0</v>
      </c>
      <c r="AO29" s="72">
        <f t="shared" si="30"/>
        <v>23409.672552</v>
      </c>
      <c r="AP29" s="72">
        <f t="shared" si="30"/>
        <v>28858.227857000005</v>
      </c>
      <c r="AQ29" s="72">
        <f t="shared" si="30"/>
        <v>168225.11272500007</v>
      </c>
      <c r="AR29" s="72">
        <f t="shared" si="30"/>
        <v>58500</v>
      </c>
      <c r="AS29" s="72">
        <f t="shared" si="30"/>
        <v>0</v>
      </c>
      <c r="AT29" s="72">
        <f t="shared" si="30"/>
        <v>109725.112725</v>
      </c>
      <c r="AU29" s="72">
        <f t="shared" si="30"/>
        <v>58267.164000000004</v>
      </c>
      <c r="AV29" s="72">
        <f t="shared" si="30"/>
        <v>58267.164000000004</v>
      </c>
      <c r="AW29" s="72">
        <f t="shared" si="30"/>
        <v>0</v>
      </c>
      <c r="AX29" s="72">
        <f t="shared" si="30"/>
        <v>23966.658552000001</v>
      </c>
      <c r="AY29" s="72">
        <f t="shared" si="30"/>
        <v>27491.290173000005</v>
      </c>
      <c r="AZ29" s="72">
        <f t="shared" si="30"/>
        <v>50862.186999999998</v>
      </c>
      <c r="BA29" s="72">
        <f t="shared" si="30"/>
        <v>19202</v>
      </c>
      <c r="BB29" s="72">
        <f t="shared" si="30"/>
        <v>0</v>
      </c>
      <c r="BC29" s="72">
        <f t="shared" si="30"/>
        <v>31660.186999999998</v>
      </c>
      <c r="BD29" s="72">
        <f t="shared" si="30"/>
        <v>18670</v>
      </c>
      <c r="BE29" s="72">
        <f t="shared" si="30"/>
        <v>18670</v>
      </c>
      <c r="BF29" s="72">
        <f t="shared" si="30"/>
        <v>0</v>
      </c>
      <c r="BG29" s="72">
        <f t="shared" si="30"/>
        <v>7264.26</v>
      </c>
      <c r="BH29" s="72">
        <f t="shared" si="30"/>
        <v>5725.9269999999997</v>
      </c>
      <c r="BI29" s="72">
        <f t="shared" si="30"/>
        <v>20279.565723000003</v>
      </c>
      <c r="BJ29" s="72">
        <f t="shared" si="30"/>
        <v>0</v>
      </c>
      <c r="BK29" s="72">
        <f t="shared" si="30"/>
        <v>0</v>
      </c>
      <c r="BL29" s="72">
        <f t="shared" si="30"/>
        <v>20279.565723000003</v>
      </c>
      <c r="BM29" s="72">
        <f t="shared" si="30"/>
        <v>12981.713593</v>
      </c>
      <c r="BN29" s="72">
        <f t="shared" si="30"/>
        <v>0</v>
      </c>
      <c r="BO29" s="72">
        <f t="shared" si="30"/>
        <v>4251.7873040000004</v>
      </c>
      <c r="BP29" s="72">
        <f t="shared" si="30"/>
        <v>3046.0648259999998</v>
      </c>
      <c r="BQ29" s="72">
        <f t="shared" si="30"/>
        <v>2159.9376979999997</v>
      </c>
      <c r="BR29" s="72">
        <f t="shared" si="30"/>
        <v>0</v>
      </c>
      <c r="BS29" s="72">
        <f t="shared" si="30"/>
        <v>0</v>
      </c>
      <c r="BT29" s="72">
        <f t="shared" si="30"/>
        <v>2159.9376979999997</v>
      </c>
      <c r="BU29" s="72">
        <f t="shared" si="30"/>
        <v>2140.5106839999999</v>
      </c>
      <c r="BV29" s="72">
        <f t="shared" si="30"/>
        <v>0</v>
      </c>
      <c r="BW29" s="72">
        <f t="shared" si="30"/>
        <v>0</v>
      </c>
      <c r="BX29" s="72">
        <f t="shared" si="30"/>
        <v>2140.5106839999999</v>
      </c>
      <c r="BY29" s="72">
        <f t="shared" si="30"/>
        <v>3643</v>
      </c>
      <c r="BZ29" s="72">
        <f t="shared" si="30"/>
        <v>0</v>
      </c>
      <c r="CA29" s="72">
        <f t="shared" si="30"/>
        <v>0</v>
      </c>
      <c r="CB29" s="72">
        <f t="shared" ref="CB29:CC29" si="31">SUM(CB30:CB80)</f>
        <v>3643</v>
      </c>
      <c r="CC29" s="72">
        <f t="shared" si="31"/>
        <v>2159.937684</v>
      </c>
      <c r="CD29" s="482"/>
      <c r="CE29" s="503"/>
    </row>
    <row r="30" spans="1:86" ht="46.15" outlineLevel="1">
      <c r="A30" s="434">
        <v>1</v>
      </c>
      <c r="B30" s="182" t="s">
        <v>920</v>
      </c>
      <c r="C30" s="127" t="s">
        <v>886</v>
      </c>
      <c r="D30" s="127" t="s">
        <v>921</v>
      </c>
      <c r="E30" s="127" t="s">
        <v>49</v>
      </c>
      <c r="F30" s="127" t="s">
        <v>922</v>
      </c>
      <c r="G30" s="127" t="s">
        <v>883</v>
      </c>
      <c r="H30" s="127" t="s">
        <v>923</v>
      </c>
      <c r="I30" s="127" t="s">
        <v>890</v>
      </c>
      <c r="J30" s="126"/>
      <c r="K30" s="127" t="s">
        <v>891</v>
      </c>
      <c r="L30" s="129">
        <v>2021</v>
      </c>
      <c r="M30" s="127" t="s">
        <v>924</v>
      </c>
      <c r="N30" s="127" t="s">
        <v>925</v>
      </c>
      <c r="O30" s="108">
        <v>1800</v>
      </c>
      <c r="P30" s="70"/>
      <c r="Q30" s="169"/>
      <c r="R30" s="108">
        <v>1740.1</v>
      </c>
      <c r="S30" s="70" t="s">
        <v>926</v>
      </c>
      <c r="T30" s="70" t="s">
        <v>923</v>
      </c>
      <c r="U30" s="70"/>
      <c r="V30" s="70"/>
      <c r="W30" s="70"/>
      <c r="X30" s="70"/>
      <c r="Y30" s="169">
        <f>SUM(Z30:AB30)</f>
        <v>1740.4110000000001</v>
      </c>
      <c r="Z30" s="70"/>
      <c r="AA30" s="70"/>
      <c r="AB30" s="169">
        <f>SUM(AD30:AG30)</f>
        <v>1740.4110000000001</v>
      </c>
      <c r="AC30" s="169">
        <f t="shared" ref="AC30:AC89" si="32">AD30+AE30</f>
        <v>1740.4110000000001</v>
      </c>
      <c r="AD30" s="108">
        <v>1740.4110000000001</v>
      </c>
      <c r="AE30" s="70"/>
      <c r="AF30" s="70"/>
      <c r="AG30" s="70"/>
      <c r="AH30" s="169">
        <f t="shared" ref="AH30:AH47" si="33">SUM(AI30:AK30)</f>
        <v>1740.4110000000001</v>
      </c>
      <c r="AI30" s="70"/>
      <c r="AJ30" s="70"/>
      <c r="AK30" s="169">
        <f t="shared" ref="AK30:AK89" si="34">AP30+AO30+AL30</f>
        <v>1740.4110000000001</v>
      </c>
      <c r="AL30" s="169">
        <f t="shared" ref="AL30:AL89" si="35">AM30+AN30</f>
        <v>1740.4110000000001</v>
      </c>
      <c r="AM30" s="108">
        <v>1740.4110000000001</v>
      </c>
      <c r="AN30" s="70"/>
      <c r="AO30" s="70"/>
      <c r="AP30" s="70"/>
      <c r="AQ30" s="169">
        <f>SUM(AR30:AT30)</f>
        <v>1740.4110000000001</v>
      </c>
      <c r="AR30" s="70"/>
      <c r="AS30" s="70"/>
      <c r="AT30" s="169">
        <f t="shared" ref="AT30:AT89" si="36">AU30+AX30+AY30</f>
        <v>1740.4110000000001</v>
      </c>
      <c r="AU30" s="169">
        <f t="shared" ref="AU30:AU89" si="37">AV30+AW30</f>
        <v>1740.4110000000001</v>
      </c>
      <c r="AV30" s="108">
        <v>1740.4110000000001</v>
      </c>
      <c r="AW30" s="70"/>
      <c r="AX30" s="70"/>
      <c r="AY30" s="70"/>
      <c r="AZ30" s="169">
        <f>SUM(BA30:BC30)</f>
        <v>0</v>
      </c>
      <c r="BA30" s="70"/>
      <c r="BB30" s="70"/>
      <c r="BC30" s="70">
        <f t="shared" ref="BC30:BC89" si="38">BD30+BG30+BH30</f>
        <v>0</v>
      </c>
      <c r="BD30" s="169">
        <f t="shared" ref="BD30:BD89" si="39">BF30+BE30</f>
        <v>0</v>
      </c>
      <c r="BE30" s="169"/>
      <c r="BF30" s="70"/>
      <c r="BG30" s="70"/>
      <c r="BH30" s="70"/>
      <c r="BI30" s="127"/>
      <c r="BJ30" s="127"/>
      <c r="BK30" s="127"/>
      <c r="BL30" s="127"/>
      <c r="BM30" s="127"/>
      <c r="BN30" s="127"/>
      <c r="BO30" s="127"/>
      <c r="BP30" s="127"/>
      <c r="BQ30" s="127"/>
      <c r="BR30" s="127"/>
      <c r="BS30" s="127"/>
      <c r="BT30" s="127"/>
      <c r="BU30" s="127"/>
      <c r="BV30" s="127"/>
      <c r="BW30" s="127"/>
      <c r="BX30" s="127"/>
      <c r="BY30" s="127"/>
      <c r="BZ30" s="127"/>
      <c r="CA30" s="127"/>
      <c r="CB30" s="127"/>
      <c r="CC30" s="127"/>
      <c r="CD30" s="127"/>
      <c r="CE30" s="171"/>
    </row>
    <row r="31" spans="1:86" ht="46.15" outlineLevel="1">
      <c r="A31" s="434">
        <v>2</v>
      </c>
      <c r="B31" s="181" t="s">
        <v>927</v>
      </c>
      <c r="C31" s="127" t="s">
        <v>886</v>
      </c>
      <c r="D31" s="127" t="s">
        <v>921</v>
      </c>
      <c r="E31" s="127" t="s">
        <v>49</v>
      </c>
      <c r="F31" s="127" t="s">
        <v>922</v>
      </c>
      <c r="G31" s="127" t="s">
        <v>883</v>
      </c>
      <c r="H31" s="127" t="s">
        <v>923</v>
      </c>
      <c r="I31" s="127" t="s">
        <v>890</v>
      </c>
      <c r="J31" s="126"/>
      <c r="K31" s="127" t="s">
        <v>891</v>
      </c>
      <c r="L31" s="129">
        <v>2021</v>
      </c>
      <c r="M31" s="127" t="s">
        <v>928</v>
      </c>
      <c r="N31" s="127" t="s">
        <v>929</v>
      </c>
      <c r="O31" s="169">
        <v>600</v>
      </c>
      <c r="P31" s="169"/>
      <c r="Q31" s="169"/>
      <c r="R31" s="169">
        <v>576.75</v>
      </c>
      <c r="S31" s="70" t="s">
        <v>930</v>
      </c>
      <c r="T31" s="70" t="s">
        <v>923</v>
      </c>
      <c r="U31" s="70"/>
      <c r="V31" s="70"/>
      <c r="W31" s="70"/>
      <c r="X31" s="70"/>
      <c r="Y31" s="169">
        <f t="shared" ref="Y31:Y89" si="40">SUM(Z31:AB31)</f>
        <v>576.75</v>
      </c>
      <c r="Z31" s="70"/>
      <c r="AA31" s="70"/>
      <c r="AB31" s="169">
        <f t="shared" ref="AB31:AB89" si="41">SUM(AD31:AG31)</f>
        <v>576.75</v>
      </c>
      <c r="AC31" s="169">
        <f t="shared" si="32"/>
        <v>576.75</v>
      </c>
      <c r="AD31" s="169">
        <v>576.75</v>
      </c>
      <c r="AE31" s="70"/>
      <c r="AF31" s="70"/>
      <c r="AG31" s="70"/>
      <c r="AH31" s="169">
        <f t="shared" si="33"/>
        <v>576.75</v>
      </c>
      <c r="AI31" s="70"/>
      <c r="AJ31" s="70"/>
      <c r="AK31" s="169">
        <f t="shared" si="34"/>
        <v>576.75</v>
      </c>
      <c r="AL31" s="169">
        <f t="shared" si="35"/>
        <v>576.75</v>
      </c>
      <c r="AM31" s="169">
        <v>576.75</v>
      </c>
      <c r="AN31" s="70"/>
      <c r="AO31" s="70"/>
      <c r="AP31" s="70"/>
      <c r="AQ31" s="169">
        <f>SUM(AR31:AT31)</f>
        <v>576.75</v>
      </c>
      <c r="AR31" s="70"/>
      <c r="AS31" s="70"/>
      <c r="AT31" s="169">
        <f t="shared" si="36"/>
        <v>576.75</v>
      </c>
      <c r="AU31" s="169">
        <f t="shared" si="37"/>
        <v>576.75</v>
      </c>
      <c r="AV31" s="169">
        <v>576.75</v>
      </c>
      <c r="AW31" s="70"/>
      <c r="AX31" s="70"/>
      <c r="AY31" s="70"/>
      <c r="AZ31" s="70"/>
      <c r="BA31" s="70"/>
      <c r="BB31" s="70"/>
      <c r="BC31" s="70">
        <f t="shared" si="38"/>
        <v>0</v>
      </c>
      <c r="BD31" s="169">
        <f t="shared" si="39"/>
        <v>0</v>
      </c>
      <c r="BE31" s="70"/>
      <c r="BF31" s="70"/>
      <c r="BG31" s="70"/>
      <c r="BH31" s="70"/>
      <c r="BI31" s="127"/>
      <c r="BJ31" s="127"/>
      <c r="BK31" s="127"/>
      <c r="BL31" s="127"/>
      <c r="BM31" s="127"/>
      <c r="BN31" s="127"/>
      <c r="BO31" s="127"/>
      <c r="BP31" s="127"/>
      <c r="BQ31" s="127"/>
      <c r="BR31" s="127"/>
      <c r="BS31" s="127"/>
      <c r="BT31" s="127"/>
      <c r="BU31" s="127"/>
      <c r="BV31" s="127"/>
      <c r="BW31" s="127"/>
      <c r="BX31" s="127"/>
      <c r="BY31" s="127"/>
      <c r="BZ31" s="127"/>
      <c r="CA31" s="127"/>
      <c r="CB31" s="127"/>
      <c r="CC31" s="127"/>
      <c r="CD31" s="127"/>
      <c r="CE31" s="171"/>
    </row>
    <row r="32" spans="1:86" ht="46.15" outlineLevel="1">
      <c r="A32" s="434">
        <v>3</v>
      </c>
      <c r="B32" s="181" t="s">
        <v>931</v>
      </c>
      <c r="C32" s="127" t="s">
        <v>886</v>
      </c>
      <c r="D32" s="127" t="s">
        <v>921</v>
      </c>
      <c r="E32" s="127" t="s">
        <v>49</v>
      </c>
      <c r="F32" s="127" t="s">
        <v>922</v>
      </c>
      <c r="G32" s="127" t="s">
        <v>883</v>
      </c>
      <c r="H32" s="127" t="s">
        <v>923</v>
      </c>
      <c r="I32" s="127" t="s">
        <v>890</v>
      </c>
      <c r="J32" s="126"/>
      <c r="K32" s="127" t="s">
        <v>891</v>
      </c>
      <c r="L32" s="129">
        <v>2021</v>
      </c>
      <c r="M32" s="127" t="s">
        <v>932</v>
      </c>
      <c r="N32" s="127" t="s">
        <v>933</v>
      </c>
      <c r="O32" s="169">
        <v>2000</v>
      </c>
      <c r="P32" s="169"/>
      <c r="Q32" s="169"/>
      <c r="R32" s="169">
        <v>1986.66</v>
      </c>
      <c r="S32" s="70" t="s">
        <v>934</v>
      </c>
      <c r="T32" s="70" t="s">
        <v>923</v>
      </c>
      <c r="U32" s="70"/>
      <c r="V32" s="70"/>
      <c r="W32" s="70"/>
      <c r="X32" s="70"/>
      <c r="Y32" s="169">
        <f t="shared" si="40"/>
        <v>1986.6599999999999</v>
      </c>
      <c r="Z32" s="70"/>
      <c r="AA32" s="70"/>
      <c r="AB32" s="169">
        <f t="shared" si="41"/>
        <v>1986.6599999999999</v>
      </c>
      <c r="AC32" s="169">
        <f t="shared" si="32"/>
        <v>1986.6599999999999</v>
      </c>
      <c r="AD32" s="70">
        <f>786.66+1200</f>
        <v>1986.6599999999999</v>
      </c>
      <c r="AE32" s="70"/>
      <c r="AF32" s="70"/>
      <c r="AG32" s="70"/>
      <c r="AH32" s="169">
        <f t="shared" si="33"/>
        <v>1986.6599999999999</v>
      </c>
      <c r="AI32" s="70"/>
      <c r="AJ32" s="70"/>
      <c r="AK32" s="169">
        <f t="shared" si="34"/>
        <v>1986.6599999999999</v>
      </c>
      <c r="AL32" s="169">
        <f t="shared" si="35"/>
        <v>1986.6599999999999</v>
      </c>
      <c r="AM32" s="70">
        <f>786.66+1200</f>
        <v>1986.6599999999999</v>
      </c>
      <c r="AN32" s="70"/>
      <c r="AO32" s="70"/>
      <c r="AP32" s="70"/>
      <c r="AQ32" s="169">
        <f>SUM(AR32:AT32)</f>
        <v>1986.6599999999999</v>
      </c>
      <c r="AR32" s="70"/>
      <c r="AS32" s="70"/>
      <c r="AT32" s="169">
        <f t="shared" si="36"/>
        <v>1986.6599999999999</v>
      </c>
      <c r="AU32" s="169">
        <f t="shared" si="37"/>
        <v>1986.6599999999999</v>
      </c>
      <c r="AV32" s="70">
        <f>786.66+1200</f>
        <v>1986.6599999999999</v>
      </c>
      <c r="AW32" s="70"/>
      <c r="AX32" s="70"/>
      <c r="AY32" s="70"/>
      <c r="AZ32" s="70"/>
      <c r="BA32" s="70"/>
      <c r="BB32" s="70"/>
      <c r="BC32" s="70">
        <f t="shared" si="38"/>
        <v>0</v>
      </c>
      <c r="BD32" s="169">
        <f t="shared" si="39"/>
        <v>0</v>
      </c>
      <c r="BE32" s="70"/>
      <c r="BF32" s="70"/>
      <c r="BG32" s="70"/>
      <c r="BH32" s="70"/>
      <c r="BI32" s="127"/>
      <c r="BJ32" s="127"/>
      <c r="BK32" s="127"/>
      <c r="BL32" s="127"/>
      <c r="BM32" s="127"/>
      <c r="BN32" s="127"/>
      <c r="BO32" s="127"/>
      <c r="BP32" s="127"/>
      <c r="BQ32" s="127"/>
      <c r="BR32" s="127"/>
      <c r="BS32" s="127"/>
      <c r="BT32" s="127"/>
      <c r="BU32" s="127"/>
      <c r="BV32" s="127"/>
      <c r="BW32" s="127"/>
      <c r="BX32" s="127"/>
      <c r="BY32" s="127"/>
      <c r="BZ32" s="127"/>
      <c r="CA32" s="127"/>
      <c r="CB32" s="127"/>
      <c r="CC32" s="127"/>
      <c r="CD32" s="127"/>
      <c r="CE32" s="171"/>
    </row>
    <row r="33" spans="1:83" ht="46.15" outlineLevel="1">
      <c r="A33" s="434">
        <v>4</v>
      </c>
      <c r="B33" s="181" t="s">
        <v>935</v>
      </c>
      <c r="C33" s="127" t="s">
        <v>886</v>
      </c>
      <c r="D33" s="127" t="s">
        <v>921</v>
      </c>
      <c r="E33" s="127" t="s">
        <v>49</v>
      </c>
      <c r="F33" s="127" t="s">
        <v>922</v>
      </c>
      <c r="G33" s="127" t="s">
        <v>883</v>
      </c>
      <c r="H33" s="127" t="s">
        <v>923</v>
      </c>
      <c r="I33" s="127" t="s">
        <v>890</v>
      </c>
      <c r="J33" s="126"/>
      <c r="K33" s="127" t="s">
        <v>891</v>
      </c>
      <c r="L33" s="129">
        <v>2021</v>
      </c>
      <c r="M33" s="127" t="s">
        <v>936</v>
      </c>
      <c r="N33" s="127" t="s">
        <v>937</v>
      </c>
      <c r="O33" s="169">
        <v>2500</v>
      </c>
      <c r="P33" s="169"/>
      <c r="Q33" s="169"/>
      <c r="R33" s="169">
        <v>2409.34</v>
      </c>
      <c r="S33" s="70" t="s">
        <v>938</v>
      </c>
      <c r="T33" s="70" t="s">
        <v>923</v>
      </c>
      <c r="U33" s="70"/>
      <c r="V33" s="70"/>
      <c r="W33" s="70"/>
      <c r="X33" s="70"/>
      <c r="Y33" s="169">
        <f t="shared" si="40"/>
        <v>2409.34</v>
      </c>
      <c r="Z33" s="70"/>
      <c r="AA33" s="70"/>
      <c r="AB33" s="169">
        <f t="shared" si="41"/>
        <v>2409.34</v>
      </c>
      <c r="AC33" s="169">
        <f t="shared" si="32"/>
        <v>2409.34</v>
      </c>
      <c r="AD33" s="169">
        <v>2409.34</v>
      </c>
      <c r="AE33" s="70"/>
      <c r="AF33" s="70"/>
      <c r="AG33" s="70"/>
      <c r="AH33" s="169">
        <f t="shared" si="33"/>
        <v>2409.34</v>
      </c>
      <c r="AI33" s="70"/>
      <c r="AJ33" s="70"/>
      <c r="AK33" s="169">
        <f t="shared" si="34"/>
        <v>2409.34</v>
      </c>
      <c r="AL33" s="169">
        <f t="shared" si="35"/>
        <v>2409.34</v>
      </c>
      <c r="AM33" s="169">
        <v>2409.34</v>
      </c>
      <c r="AN33" s="70"/>
      <c r="AO33" s="70"/>
      <c r="AP33" s="70"/>
      <c r="AQ33" s="169">
        <f t="shared" ref="AQ33:AQ52" si="42">SUM(AR33:AT33)</f>
        <v>2409.34</v>
      </c>
      <c r="AR33" s="70"/>
      <c r="AS33" s="70"/>
      <c r="AT33" s="169">
        <f t="shared" si="36"/>
        <v>2409.34</v>
      </c>
      <c r="AU33" s="169">
        <f t="shared" si="37"/>
        <v>2409.34</v>
      </c>
      <c r="AV33" s="169">
        <v>2409.34</v>
      </c>
      <c r="AW33" s="70"/>
      <c r="AX33" s="70"/>
      <c r="AY33" s="70"/>
      <c r="AZ33" s="70"/>
      <c r="BA33" s="70"/>
      <c r="BB33" s="70"/>
      <c r="BC33" s="70">
        <f t="shared" si="38"/>
        <v>0</v>
      </c>
      <c r="BD33" s="169">
        <f t="shared" si="39"/>
        <v>0</v>
      </c>
      <c r="BE33" s="70"/>
      <c r="BF33" s="70"/>
      <c r="BG33" s="70"/>
      <c r="BH33" s="70"/>
      <c r="BI33" s="127"/>
      <c r="BJ33" s="127"/>
      <c r="BK33" s="127"/>
      <c r="BL33" s="127"/>
      <c r="BM33" s="127"/>
      <c r="BN33" s="127"/>
      <c r="BO33" s="127"/>
      <c r="BP33" s="127"/>
      <c r="BQ33" s="127"/>
      <c r="BR33" s="127"/>
      <c r="BS33" s="127"/>
      <c r="BT33" s="127"/>
      <c r="BU33" s="127"/>
      <c r="BV33" s="127"/>
      <c r="BW33" s="127"/>
      <c r="BX33" s="127"/>
      <c r="BY33" s="127"/>
      <c r="BZ33" s="127"/>
      <c r="CA33" s="127"/>
      <c r="CB33" s="127"/>
      <c r="CC33" s="127"/>
      <c r="CD33" s="127"/>
      <c r="CE33" s="171"/>
    </row>
    <row r="34" spans="1:83" ht="61.5" outlineLevel="1">
      <c r="A34" s="434">
        <v>5</v>
      </c>
      <c r="B34" s="181" t="s">
        <v>939</v>
      </c>
      <c r="C34" s="127" t="s">
        <v>886</v>
      </c>
      <c r="D34" s="127" t="s">
        <v>921</v>
      </c>
      <c r="E34" s="127" t="s">
        <v>49</v>
      </c>
      <c r="F34" s="127" t="s">
        <v>922</v>
      </c>
      <c r="G34" s="127" t="s">
        <v>883</v>
      </c>
      <c r="H34" s="127" t="s">
        <v>923</v>
      </c>
      <c r="I34" s="127" t="s">
        <v>48</v>
      </c>
      <c r="J34" s="126" t="s">
        <v>940</v>
      </c>
      <c r="K34" s="127" t="s">
        <v>461</v>
      </c>
      <c r="L34" s="129">
        <v>2021</v>
      </c>
      <c r="M34" s="127" t="s">
        <v>941</v>
      </c>
      <c r="N34" s="127" t="s">
        <v>942</v>
      </c>
      <c r="O34" s="169">
        <v>12000</v>
      </c>
      <c r="P34" s="169"/>
      <c r="Q34" s="169"/>
      <c r="R34" s="169">
        <v>12000</v>
      </c>
      <c r="S34" s="70"/>
      <c r="T34" s="70" t="s">
        <v>923</v>
      </c>
      <c r="U34" s="70">
        <f>V34+W34+X34</f>
        <v>233.50299999999999</v>
      </c>
      <c r="V34" s="70"/>
      <c r="W34" s="70"/>
      <c r="X34" s="70">
        <v>233.50299999999999</v>
      </c>
      <c r="Y34" s="169">
        <f t="shared" si="40"/>
        <v>2194</v>
      </c>
      <c r="Z34" s="70"/>
      <c r="AA34" s="70"/>
      <c r="AB34" s="169">
        <f t="shared" si="41"/>
        <v>2194</v>
      </c>
      <c r="AC34" s="169">
        <f t="shared" si="32"/>
        <v>1000</v>
      </c>
      <c r="AD34" s="169">
        <v>1000</v>
      </c>
      <c r="AE34" s="169"/>
      <c r="AF34" s="169">
        <v>1194</v>
      </c>
      <c r="AG34" s="169"/>
      <c r="AH34" s="169">
        <f t="shared" si="33"/>
        <v>1814.7910000000002</v>
      </c>
      <c r="AI34" s="70"/>
      <c r="AJ34" s="70"/>
      <c r="AK34" s="169">
        <f t="shared" si="34"/>
        <v>1814.7910000000002</v>
      </c>
      <c r="AL34" s="169">
        <f t="shared" si="35"/>
        <v>1000</v>
      </c>
      <c r="AM34" s="70">
        <v>1000</v>
      </c>
      <c r="AN34" s="70"/>
      <c r="AO34" s="70">
        <v>814.79100000000005</v>
      </c>
      <c r="AP34" s="70"/>
      <c r="AQ34" s="169">
        <f t="shared" si="42"/>
        <v>1814.7910000000002</v>
      </c>
      <c r="AR34" s="70"/>
      <c r="AS34" s="70"/>
      <c r="AT34" s="169">
        <f t="shared" si="36"/>
        <v>1814.7910000000002</v>
      </c>
      <c r="AU34" s="169">
        <f t="shared" si="37"/>
        <v>1000</v>
      </c>
      <c r="AV34" s="70">
        <v>1000</v>
      </c>
      <c r="AW34" s="70"/>
      <c r="AX34" s="70">
        <v>814.79100000000005</v>
      </c>
      <c r="AY34" s="70"/>
      <c r="AZ34" s="70"/>
      <c r="BA34" s="70"/>
      <c r="BB34" s="70"/>
      <c r="BC34" s="70">
        <f t="shared" si="38"/>
        <v>0</v>
      </c>
      <c r="BD34" s="169">
        <f t="shared" si="39"/>
        <v>0</v>
      </c>
      <c r="BE34" s="70"/>
      <c r="BF34" s="70"/>
      <c r="BG34" s="70"/>
      <c r="BH34" s="70"/>
      <c r="BI34" s="127"/>
      <c r="BJ34" s="127"/>
      <c r="BK34" s="127"/>
      <c r="BL34" s="127"/>
      <c r="BM34" s="127"/>
      <c r="BN34" s="127"/>
      <c r="BO34" s="127"/>
      <c r="BP34" s="127"/>
      <c r="BQ34" s="127"/>
      <c r="BR34" s="127"/>
      <c r="BS34" s="127"/>
      <c r="BT34" s="127"/>
      <c r="BU34" s="127"/>
      <c r="BV34" s="127"/>
      <c r="BW34" s="127"/>
      <c r="BX34" s="127"/>
      <c r="BY34" s="127"/>
      <c r="BZ34" s="127"/>
      <c r="CA34" s="127"/>
      <c r="CB34" s="127"/>
      <c r="CC34" s="127"/>
      <c r="CD34" s="127"/>
      <c r="CE34" s="125" t="s">
        <v>943</v>
      </c>
    </row>
    <row r="35" spans="1:83" ht="59.1" customHeight="1" outlineLevel="1">
      <c r="A35" s="434">
        <v>6</v>
      </c>
      <c r="B35" s="181" t="s">
        <v>944</v>
      </c>
      <c r="C35" s="127" t="s">
        <v>886</v>
      </c>
      <c r="D35" s="127" t="s">
        <v>921</v>
      </c>
      <c r="E35" s="127" t="s">
        <v>49</v>
      </c>
      <c r="F35" s="127" t="s">
        <v>922</v>
      </c>
      <c r="G35" s="127" t="s">
        <v>883</v>
      </c>
      <c r="H35" s="127" t="s">
        <v>923</v>
      </c>
      <c r="I35" s="127" t="s">
        <v>48</v>
      </c>
      <c r="J35" s="126" t="s">
        <v>945</v>
      </c>
      <c r="K35" s="127" t="s">
        <v>54</v>
      </c>
      <c r="L35" s="129">
        <v>2023</v>
      </c>
      <c r="M35" s="127" t="s">
        <v>946</v>
      </c>
      <c r="N35" s="127" t="s">
        <v>947</v>
      </c>
      <c r="O35" s="169">
        <v>10000</v>
      </c>
      <c r="P35" s="169"/>
      <c r="Q35" s="169"/>
      <c r="R35" s="169">
        <v>10000</v>
      </c>
      <c r="S35" s="70"/>
      <c r="T35" s="70" t="s">
        <v>923</v>
      </c>
      <c r="U35" s="70"/>
      <c r="V35" s="70"/>
      <c r="W35" s="70"/>
      <c r="X35" s="70"/>
      <c r="Y35" s="169">
        <f t="shared" si="40"/>
        <v>8800</v>
      </c>
      <c r="Z35" s="70"/>
      <c r="AA35" s="70"/>
      <c r="AB35" s="169">
        <f t="shared" si="41"/>
        <v>8800</v>
      </c>
      <c r="AC35" s="169">
        <f t="shared" si="32"/>
        <v>5005</v>
      </c>
      <c r="AD35" s="169">
        <v>5005</v>
      </c>
      <c r="AE35" s="70"/>
      <c r="AF35" s="169">
        <v>1475</v>
      </c>
      <c r="AG35" s="169">
        <v>2320</v>
      </c>
      <c r="AH35" s="169">
        <f t="shared" si="33"/>
        <v>3150</v>
      </c>
      <c r="AI35" s="70"/>
      <c r="AJ35" s="70"/>
      <c r="AK35" s="169">
        <f t="shared" si="34"/>
        <v>3150</v>
      </c>
      <c r="AL35" s="169">
        <f t="shared" si="35"/>
        <v>3100</v>
      </c>
      <c r="AM35" s="169">
        <v>3100</v>
      </c>
      <c r="AN35" s="169"/>
      <c r="AO35" s="169">
        <v>50</v>
      </c>
      <c r="AP35" s="169"/>
      <c r="AQ35" s="169">
        <f t="shared" si="42"/>
        <v>3150</v>
      </c>
      <c r="AR35" s="70"/>
      <c r="AS35" s="70"/>
      <c r="AT35" s="169">
        <f t="shared" si="36"/>
        <v>3150</v>
      </c>
      <c r="AU35" s="169">
        <f t="shared" si="37"/>
        <v>3100</v>
      </c>
      <c r="AV35" s="169">
        <v>3100</v>
      </c>
      <c r="AW35" s="70"/>
      <c r="AX35" s="68">
        <v>50</v>
      </c>
      <c r="AY35" s="70"/>
      <c r="AZ35" s="70">
        <f t="shared" ref="AZ35:AZ47" si="43">SUM(BA35:BC35)</f>
        <v>4590</v>
      </c>
      <c r="BA35" s="70"/>
      <c r="BB35" s="70"/>
      <c r="BC35" s="70">
        <f t="shared" si="38"/>
        <v>4590</v>
      </c>
      <c r="BD35" s="169">
        <f t="shared" si="39"/>
        <v>1905</v>
      </c>
      <c r="BE35" s="70">
        <v>1905</v>
      </c>
      <c r="BF35" s="70"/>
      <c r="BG35" s="70">
        <v>365</v>
      </c>
      <c r="BH35" s="70">
        <v>2320</v>
      </c>
      <c r="BI35" s="127">
        <f t="shared" ref="BI35:BI52" si="44">SUM(BJ35:BL35)</f>
        <v>3220.4203219999999</v>
      </c>
      <c r="BJ35" s="127"/>
      <c r="BK35" s="127"/>
      <c r="BL35" s="127">
        <f t="shared" ref="BL35:BL52" si="45">SUM(BM35:BP35)</f>
        <v>3220.4203219999999</v>
      </c>
      <c r="BM35" s="127">
        <v>1905</v>
      </c>
      <c r="BN35" s="127"/>
      <c r="BO35" s="127">
        <v>364.61394200000001</v>
      </c>
      <c r="BP35" s="127">
        <v>950.80637999999999</v>
      </c>
      <c r="BQ35" s="127">
        <f>SUM(BR35:BT35)</f>
        <v>0</v>
      </c>
      <c r="BR35" s="127"/>
      <c r="BS35" s="127"/>
      <c r="BT35" s="127"/>
      <c r="BU35" s="127">
        <f>SUM(BV35:BX35)</f>
        <v>0</v>
      </c>
      <c r="BV35" s="127"/>
      <c r="BW35" s="127"/>
      <c r="BX35" s="127"/>
      <c r="BY35" s="127">
        <f>SUM(BZ35:CB35)</f>
        <v>1351</v>
      </c>
      <c r="BZ35" s="127"/>
      <c r="CA35" s="127"/>
      <c r="CB35" s="127">
        <v>1351</v>
      </c>
      <c r="CC35" s="127"/>
      <c r="CD35" s="127"/>
      <c r="CE35" s="125" t="s">
        <v>948</v>
      </c>
    </row>
    <row r="36" spans="1:83" ht="76.900000000000006" outlineLevel="1">
      <c r="A36" s="434">
        <v>7</v>
      </c>
      <c r="B36" s="181" t="s">
        <v>949</v>
      </c>
      <c r="C36" s="127" t="s">
        <v>886</v>
      </c>
      <c r="D36" s="127" t="s">
        <v>921</v>
      </c>
      <c r="E36" s="127" t="s">
        <v>49</v>
      </c>
      <c r="F36" s="127" t="s">
        <v>922</v>
      </c>
      <c r="G36" s="127" t="s">
        <v>883</v>
      </c>
      <c r="H36" s="127" t="s">
        <v>923</v>
      </c>
      <c r="I36" s="127" t="s">
        <v>48</v>
      </c>
      <c r="J36" s="126" t="s">
        <v>950</v>
      </c>
      <c r="K36" s="127" t="s">
        <v>54</v>
      </c>
      <c r="L36" s="129">
        <v>2023</v>
      </c>
      <c r="M36" s="127" t="s">
        <v>951</v>
      </c>
      <c r="N36" s="127" t="s">
        <v>952</v>
      </c>
      <c r="O36" s="169">
        <v>5570</v>
      </c>
      <c r="P36" s="169"/>
      <c r="Q36" s="169"/>
      <c r="R36" s="169">
        <v>5570</v>
      </c>
      <c r="S36" s="70"/>
      <c r="T36" s="70" t="s">
        <v>923</v>
      </c>
      <c r="U36" s="70"/>
      <c r="V36" s="70"/>
      <c r="W36" s="70"/>
      <c r="X36" s="70"/>
      <c r="Y36" s="169">
        <f t="shared" si="40"/>
        <v>3819.6239999999998</v>
      </c>
      <c r="Z36" s="70"/>
      <c r="AA36" s="70"/>
      <c r="AB36" s="169">
        <f t="shared" si="41"/>
        <v>3819.6239999999998</v>
      </c>
      <c r="AC36" s="169">
        <f t="shared" si="32"/>
        <v>3819.6239999999998</v>
      </c>
      <c r="AD36" s="169">
        <v>3819.6239999999998</v>
      </c>
      <c r="AE36" s="70"/>
      <c r="AF36" s="169"/>
      <c r="AG36" s="169"/>
      <c r="AH36" s="169">
        <f t="shared" si="33"/>
        <v>2417.6239999999998</v>
      </c>
      <c r="AI36" s="70"/>
      <c r="AJ36" s="70"/>
      <c r="AK36" s="169">
        <f t="shared" si="34"/>
        <v>2417.6239999999998</v>
      </c>
      <c r="AL36" s="169">
        <f t="shared" si="35"/>
        <v>2317.6239999999998</v>
      </c>
      <c r="AM36" s="169">
        <f>46.624+2271</f>
        <v>2317.6239999999998</v>
      </c>
      <c r="AN36" s="169"/>
      <c r="AO36" s="68">
        <v>100</v>
      </c>
      <c r="AP36" s="70"/>
      <c r="AQ36" s="169">
        <f t="shared" si="42"/>
        <v>2417.6239999999998</v>
      </c>
      <c r="AR36" s="70"/>
      <c r="AS36" s="70"/>
      <c r="AT36" s="169">
        <f t="shared" si="36"/>
        <v>2417.6239999999998</v>
      </c>
      <c r="AU36" s="169">
        <f t="shared" si="37"/>
        <v>2317.6239999999998</v>
      </c>
      <c r="AV36" s="169">
        <f>46.624+2271</f>
        <v>2317.6239999999998</v>
      </c>
      <c r="AW36" s="70"/>
      <c r="AX36" s="68">
        <v>100</v>
      </c>
      <c r="AY36" s="70"/>
      <c r="AZ36" s="70">
        <f t="shared" si="43"/>
        <v>1502</v>
      </c>
      <c r="BA36" s="70"/>
      <c r="BB36" s="70"/>
      <c r="BC36" s="70">
        <f t="shared" si="38"/>
        <v>1502</v>
      </c>
      <c r="BD36" s="169">
        <f t="shared" si="39"/>
        <v>1502</v>
      </c>
      <c r="BE36" s="70">
        <v>1502</v>
      </c>
      <c r="BF36" s="70"/>
      <c r="BG36" s="70"/>
      <c r="BH36" s="70"/>
      <c r="BI36" s="127">
        <f t="shared" si="44"/>
        <v>1217.685982</v>
      </c>
      <c r="BJ36" s="127"/>
      <c r="BK36" s="127"/>
      <c r="BL36" s="127">
        <f t="shared" si="45"/>
        <v>1217.685982</v>
      </c>
      <c r="BM36" s="127">
        <v>1217.685982</v>
      </c>
      <c r="BN36" s="127"/>
      <c r="BO36" s="127"/>
      <c r="BP36" s="127"/>
      <c r="BQ36" s="127">
        <f>SUM(BR36:BT36)</f>
        <v>0</v>
      </c>
      <c r="BR36" s="127"/>
      <c r="BS36" s="127"/>
      <c r="BT36" s="127"/>
      <c r="BU36" s="127">
        <f>SUM(BV36:BX36)</f>
        <v>0</v>
      </c>
      <c r="BV36" s="127"/>
      <c r="BW36" s="127"/>
      <c r="BX36" s="127"/>
      <c r="BY36" s="127">
        <f>SUM(BZ36:CB36)</f>
        <v>1400</v>
      </c>
      <c r="BZ36" s="127"/>
      <c r="CA36" s="127"/>
      <c r="CB36" s="127">
        <v>1400</v>
      </c>
      <c r="CC36" s="127"/>
      <c r="CD36" s="127"/>
      <c r="CE36" s="125" t="s">
        <v>948</v>
      </c>
    </row>
    <row r="37" spans="1:83" ht="46.15" outlineLevel="1">
      <c r="A37" s="434">
        <v>8</v>
      </c>
      <c r="B37" s="181" t="s">
        <v>953</v>
      </c>
      <c r="C37" s="127" t="s">
        <v>886</v>
      </c>
      <c r="D37" s="127" t="s">
        <v>921</v>
      </c>
      <c r="E37" s="127" t="s">
        <v>49</v>
      </c>
      <c r="F37" s="127" t="s">
        <v>922</v>
      </c>
      <c r="G37" s="127" t="s">
        <v>883</v>
      </c>
      <c r="H37" s="127" t="s">
        <v>923</v>
      </c>
      <c r="I37" s="127" t="s">
        <v>48</v>
      </c>
      <c r="J37" s="126"/>
      <c r="K37" s="127" t="s">
        <v>52</v>
      </c>
      <c r="L37" s="129">
        <v>2022</v>
      </c>
      <c r="M37" s="127" t="s">
        <v>954</v>
      </c>
      <c r="N37" s="127" t="s">
        <v>955</v>
      </c>
      <c r="O37" s="169">
        <v>8000</v>
      </c>
      <c r="P37" s="169"/>
      <c r="Q37" s="169"/>
      <c r="R37" s="169">
        <v>8000</v>
      </c>
      <c r="S37" s="70"/>
      <c r="T37" s="70" t="s">
        <v>923</v>
      </c>
      <c r="U37" s="70"/>
      <c r="V37" s="70"/>
      <c r="W37" s="70"/>
      <c r="X37" s="70"/>
      <c r="Y37" s="169">
        <f t="shared" si="40"/>
        <v>3802.86</v>
      </c>
      <c r="Z37" s="70"/>
      <c r="AA37" s="70"/>
      <c r="AB37" s="169">
        <f t="shared" si="41"/>
        <v>3802.86</v>
      </c>
      <c r="AC37" s="169">
        <f t="shared" si="32"/>
        <v>3208.86</v>
      </c>
      <c r="AD37" s="169">
        <v>3208.86</v>
      </c>
      <c r="AE37" s="70"/>
      <c r="AF37" s="68">
        <v>594</v>
      </c>
      <c r="AG37" s="70"/>
      <c r="AH37" s="169">
        <f t="shared" si="33"/>
        <v>3801.4080000000004</v>
      </c>
      <c r="AI37" s="70"/>
      <c r="AJ37" s="70"/>
      <c r="AK37" s="169">
        <f t="shared" si="34"/>
        <v>3801.4080000000004</v>
      </c>
      <c r="AL37" s="169">
        <f t="shared" si="35"/>
        <v>3208.86</v>
      </c>
      <c r="AM37" s="169">
        <v>3208.86</v>
      </c>
      <c r="AN37" s="169"/>
      <c r="AO37" s="169">
        <v>592.548</v>
      </c>
      <c r="AP37" s="70"/>
      <c r="AQ37" s="169">
        <f t="shared" si="42"/>
        <v>3801.4080000000004</v>
      </c>
      <c r="AR37" s="70"/>
      <c r="AS37" s="70"/>
      <c r="AT37" s="169">
        <f t="shared" si="36"/>
        <v>3801.4080000000004</v>
      </c>
      <c r="AU37" s="169">
        <f t="shared" si="37"/>
        <v>3208.86</v>
      </c>
      <c r="AV37" s="169">
        <v>3208.86</v>
      </c>
      <c r="AW37" s="70"/>
      <c r="AX37" s="169">
        <v>592.548</v>
      </c>
      <c r="AY37" s="70"/>
      <c r="AZ37" s="70">
        <f t="shared" si="43"/>
        <v>0</v>
      </c>
      <c r="BA37" s="70"/>
      <c r="BB37" s="70"/>
      <c r="BC37" s="70">
        <f t="shared" si="38"/>
        <v>0</v>
      </c>
      <c r="BD37" s="169">
        <f t="shared" si="39"/>
        <v>0</v>
      </c>
      <c r="BE37" s="70"/>
      <c r="BF37" s="70"/>
      <c r="BG37" s="70"/>
      <c r="BH37" s="70"/>
      <c r="BI37" s="127">
        <f t="shared" si="44"/>
        <v>0</v>
      </c>
      <c r="BJ37" s="127"/>
      <c r="BK37" s="127"/>
      <c r="BL37" s="127">
        <f t="shared" si="45"/>
        <v>0</v>
      </c>
      <c r="BM37" s="127"/>
      <c r="BN37" s="127"/>
      <c r="BO37" s="127"/>
      <c r="BP37" s="127"/>
      <c r="BQ37" s="127">
        <f t="shared" ref="BQ37:BQ52" si="46">SUM(BR37:BT37)</f>
        <v>0</v>
      </c>
      <c r="BR37" s="127"/>
      <c r="BS37" s="127"/>
      <c r="BT37" s="127"/>
      <c r="BU37" s="127">
        <f t="shared" ref="BU37:BU52" si="47">SUM(BV37:BX37)</f>
        <v>0</v>
      </c>
      <c r="BV37" s="127"/>
      <c r="BW37" s="127"/>
      <c r="BX37" s="127"/>
      <c r="BY37" s="127"/>
      <c r="BZ37" s="127"/>
      <c r="CA37" s="127"/>
      <c r="CB37" s="127"/>
      <c r="CC37" s="127"/>
      <c r="CD37" s="127"/>
      <c r="CE37" s="125" t="s">
        <v>956</v>
      </c>
    </row>
    <row r="38" spans="1:83" ht="46.15" outlineLevel="1">
      <c r="A38" s="434">
        <v>9</v>
      </c>
      <c r="B38" s="181" t="s">
        <v>957</v>
      </c>
      <c r="C38" s="127" t="s">
        <v>886</v>
      </c>
      <c r="D38" s="127" t="s">
        <v>921</v>
      </c>
      <c r="E38" s="127" t="s">
        <v>49</v>
      </c>
      <c r="F38" s="127" t="s">
        <v>958</v>
      </c>
      <c r="G38" s="127" t="s">
        <v>883</v>
      </c>
      <c r="H38" s="127" t="s">
        <v>923</v>
      </c>
      <c r="I38" s="127" t="s">
        <v>890</v>
      </c>
      <c r="J38" s="126" t="s">
        <v>959</v>
      </c>
      <c r="K38" s="127" t="s">
        <v>960</v>
      </c>
      <c r="L38" s="129">
        <v>2025</v>
      </c>
      <c r="M38" s="127"/>
      <c r="N38" s="127" t="s">
        <v>961</v>
      </c>
      <c r="O38" s="169">
        <v>1500</v>
      </c>
      <c r="P38" s="169"/>
      <c r="Q38" s="169"/>
      <c r="R38" s="169">
        <v>1500</v>
      </c>
      <c r="S38" s="70"/>
      <c r="T38" s="70" t="s">
        <v>923</v>
      </c>
      <c r="U38" s="70"/>
      <c r="V38" s="70"/>
      <c r="W38" s="70"/>
      <c r="X38" s="70"/>
      <c r="Y38" s="169">
        <f t="shared" si="40"/>
        <v>82.296000000000049</v>
      </c>
      <c r="Z38" s="70"/>
      <c r="AA38" s="70"/>
      <c r="AB38" s="169">
        <f t="shared" si="41"/>
        <v>82.296000000000049</v>
      </c>
      <c r="AC38" s="169">
        <f t="shared" si="32"/>
        <v>82.296000000000049</v>
      </c>
      <c r="AD38" s="177">
        <f>1500-1417.704</f>
        <v>82.296000000000049</v>
      </c>
      <c r="AE38" s="177"/>
      <c r="AF38" s="68"/>
      <c r="AG38" s="70"/>
      <c r="AH38" s="169">
        <f t="shared" si="33"/>
        <v>0</v>
      </c>
      <c r="AI38" s="70"/>
      <c r="AJ38" s="70"/>
      <c r="AK38" s="169">
        <f t="shared" si="34"/>
        <v>0</v>
      </c>
      <c r="AL38" s="169">
        <f t="shared" si="35"/>
        <v>0</v>
      </c>
      <c r="AM38" s="178"/>
      <c r="AN38" s="169"/>
      <c r="AO38" s="68"/>
      <c r="AP38" s="70"/>
      <c r="AQ38" s="169">
        <f t="shared" si="42"/>
        <v>0</v>
      </c>
      <c r="AR38" s="70"/>
      <c r="AS38" s="70"/>
      <c r="AT38" s="169">
        <f t="shared" si="36"/>
        <v>0</v>
      </c>
      <c r="AU38" s="169">
        <f t="shared" si="37"/>
        <v>0</v>
      </c>
      <c r="AV38" s="169"/>
      <c r="AW38" s="70"/>
      <c r="AX38" s="68"/>
      <c r="AY38" s="70"/>
      <c r="AZ38" s="70">
        <f t="shared" si="43"/>
        <v>82.296000000000049</v>
      </c>
      <c r="BA38" s="70"/>
      <c r="BB38" s="70"/>
      <c r="BC38" s="70">
        <f t="shared" si="38"/>
        <v>82.296000000000049</v>
      </c>
      <c r="BD38" s="169">
        <f t="shared" si="39"/>
        <v>82.296000000000049</v>
      </c>
      <c r="BE38" s="177">
        <f>1500-1417.704</f>
        <v>82.296000000000049</v>
      </c>
      <c r="BF38" s="70"/>
      <c r="BG38" s="70"/>
      <c r="BH38" s="70"/>
      <c r="BI38" s="127">
        <f t="shared" si="44"/>
        <v>82.296000000000006</v>
      </c>
      <c r="BJ38" s="127"/>
      <c r="BK38" s="127"/>
      <c r="BL38" s="127">
        <f t="shared" si="45"/>
        <v>82.296000000000006</v>
      </c>
      <c r="BM38" s="127">
        <v>82.296000000000006</v>
      </c>
      <c r="BN38" s="127"/>
      <c r="BO38" s="127"/>
      <c r="BP38" s="127"/>
      <c r="BQ38" s="127">
        <f t="shared" si="46"/>
        <v>0</v>
      </c>
      <c r="BR38" s="127"/>
      <c r="BS38" s="127"/>
      <c r="BT38" s="127"/>
      <c r="BU38" s="127">
        <f t="shared" si="47"/>
        <v>0</v>
      </c>
      <c r="BV38" s="127"/>
      <c r="BW38" s="127"/>
      <c r="BX38" s="127"/>
      <c r="BY38" s="127"/>
      <c r="BZ38" s="127"/>
      <c r="CA38" s="127"/>
      <c r="CB38" s="127"/>
      <c r="CC38" s="127"/>
      <c r="CD38" s="127"/>
      <c r="CE38" s="125" t="s">
        <v>962</v>
      </c>
    </row>
    <row r="39" spans="1:83" ht="64.5" customHeight="1" outlineLevel="1">
      <c r="A39" s="434">
        <v>10</v>
      </c>
      <c r="B39" s="181" t="s">
        <v>963</v>
      </c>
      <c r="C39" s="127" t="s">
        <v>886</v>
      </c>
      <c r="D39" s="127" t="s">
        <v>921</v>
      </c>
      <c r="E39" s="127" t="s">
        <v>49</v>
      </c>
      <c r="F39" s="127" t="s">
        <v>922</v>
      </c>
      <c r="G39" s="127" t="s">
        <v>883</v>
      </c>
      <c r="H39" s="127" t="s">
        <v>923</v>
      </c>
      <c r="I39" s="127" t="s">
        <v>48</v>
      </c>
      <c r="J39" s="126" t="s">
        <v>964</v>
      </c>
      <c r="K39" s="127" t="s">
        <v>56</v>
      </c>
      <c r="L39" s="129">
        <v>2023</v>
      </c>
      <c r="M39" s="127"/>
      <c r="N39" s="127" t="s">
        <v>965</v>
      </c>
      <c r="O39" s="169">
        <v>14991</v>
      </c>
      <c r="P39" s="169"/>
      <c r="Q39" s="169"/>
      <c r="R39" s="169">
        <v>13000</v>
      </c>
      <c r="S39" s="70"/>
      <c r="T39" s="70" t="s">
        <v>923</v>
      </c>
      <c r="U39" s="70"/>
      <c r="V39" s="70"/>
      <c r="W39" s="70"/>
      <c r="X39" s="70"/>
      <c r="Y39" s="169">
        <f t="shared" si="40"/>
        <v>12389.035</v>
      </c>
      <c r="Z39" s="70"/>
      <c r="AA39" s="70"/>
      <c r="AB39" s="169">
        <f t="shared" si="41"/>
        <v>12389.035</v>
      </c>
      <c r="AC39" s="169">
        <f t="shared" si="32"/>
        <v>9999.0349999999999</v>
      </c>
      <c r="AD39" s="70">
        <v>9999.0349999999999</v>
      </c>
      <c r="AE39" s="177"/>
      <c r="AF39" s="68">
        <v>2390</v>
      </c>
      <c r="AG39" s="70"/>
      <c r="AH39" s="169">
        <f t="shared" si="33"/>
        <v>11098.067552</v>
      </c>
      <c r="AI39" s="70"/>
      <c r="AJ39" s="70"/>
      <c r="AK39" s="169">
        <f t="shared" si="34"/>
        <v>11098.067552</v>
      </c>
      <c r="AL39" s="169">
        <f t="shared" si="35"/>
        <v>9358.0349999999999</v>
      </c>
      <c r="AM39" s="177">
        <v>9358.0349999999999</v>
      </c>
      <c r="AN39" s="169"/>
      <c r="AO39" s="68">
        <f>1690.032552+50</f>
        <v>1740.0325519999999</v>
      </c>
      <c r="AP39" s="70"/>
      <c r="AQ39" s="169">
        <f t="shared" si="42"/>
        <v>11098.067552</v>
      </c>
      <c r="AR39" s="70"/>
      <c r="AS39" s="70"/>
      <c r="AT39" s="169">
        <f t="shared" si="36"/>
        <v>11098.067552</v>
      </c>
      <c r="AU39" s="169">
        <f t="shared" si="37"/>
        <v>9358.0349999999999</v>
      </c>
      <c r="AV39" s="169">
        <v>9358.0349999999999</v>
      </c>
      <c r="AW39" s="70"/>
      <c r="AX39" s="68">
        <f>1690.032552+50</f>
        <v>1740.0325519999999</v>
      </c>
      <c r="AY39" s="70"/>
      <c r="AZ39" s="70">
        <f t="shared" si="43"/>
        <v>1320</v>
      </c>
      <c r="BA39" s="70"/>
      <c r="BB39" s="70"/>
      <c r="BC39" s="70">
        <f t="shared" si="38"/>
        <v>1320</v>
      </c>
      <c r="BD39" s="169">
        <f t="shared" si="39"/>
        <v>641</v>
      </c>
      <c r="BE39" s="177">
        <v>641</v>
      </c>
      <c r="BF39" s="70"/>
      <c r="BG39" s="70">
        <v>679</v>
      </c>
      <c r="BH39" s="70"/>
      <c r="BI39" s="127">
        <f t="shared" si="44"/>
        <v>1033.288448</v>
      </c>
      <c r="BJ39" s="127"/>
      <c r="BK39" s="127"/>
      <c r="BL39" s="127">
        <f t="shared" si="45"/>
        <v>1033.288448</v>
      </c>
      <c r="BM39" s="127">
        <v>596.44844799999998</v>
      </c>
      <c r="BN39" s="127"/>
      <c r="BO39" s="127">
        <v>436.84</v>
      </c>
      <c r="BP39" s="127"/>
      <c r="BQ39" s="127">
        <f t="shared" si="46"/>
        <v>0</v>
      </c>
      <c r="BR39" s="127"/>
      <c r="BS39" s="127"/>
      <c r="BT39" s="127"/>
      <c r="BU39" s="127">
        <f t="shared" si="47"/>
        <v>0</v>
      </c>
      <c r="BV39" s="127"/>
      <c r="BW39" s="127"/>
      <c r="BX39" s="127"/>
      <c r="BY39" s="127"/>
      <c r="BZ39" s="127"/>
      <c r="CA39" s="127"/>
      <c r="CB39" s="127"/>
      <c r="CC39" s="127"/>
      <c r="CD39" s="127"/>
      <c r="CE39" s="125" t="s">
        <v>956</v>
      </c>
    </row>
    <row r="40" spans="1:83" ht="66.75" customHeight="1" outlineLevel="1">
      <c r="A40" s="434">
        <v>11</v>
      </c>
      <c r="B40" s="181" t="s">
        <v>966</v>
      </c>
      <c r="C40" s="127" t="s">
        <v>886</v>
      </c>
      <c r="D40" s="127" t="s">
        <v>921</v>
      </c>
      <c r="E40" s="127" t="s">
        <v>49</v>
      </c>
      <c r="F40" s="127" t="s">
        <v>922</v>
      </c>
      <c r="G40" s="127" t="s">
        <v>883</v>
      </c>
      <c r="H40" s="127" t="s">
        <v>923</v>
      </c>
      <c r="I40" s="127" t="s">
        <v>78</v>
      </c>
      <c r="J40" s="126" t="s">
        <v>967</v>
      </c>
      <c r="K40" s="127" t="s">
        <v>891</v>
      </c>
      <c r="L40" s="129">
        <v>2021</v>
      </c>
      <c r="M40" s="127" t="s">
        <v>968</v>
      </c>
      <c r="N40" s="127" t="s">
        <v>969</v>
      </c>
      <c r="O40" s="169">
        <v>3500</v>
      </c>
      <c r="P40" s="169"/>
      <c r="Q40" s="169"/>
      <c r="R40" s="169">
        <v>3500</v>
      </c>
      <c r="S40" s="70" t="s">
        <v>970</v>
      </c>
      <c r="T40" s="70" t="s">
        <v>923</v>
      </c>
      <c r="U40" s="70"/>
      <c r="V40" s="70"/>
      <c r="W40" s="70"/>
      <c r="X40" s="70"/>
      <c r="Y40" s="169">
        <f t="shared" si="40"/>
        <v>3480.3</v>
      </c>
      <c r="Z40" s="70"/>
      <c r="AA40" s="70"/>
      <c r="AB40" s="169">
        <f t="shared" si="41"/>
        <v>3480.3</v>
      </c>
      <c r="AC40" s="169">
        <f t="shared" si="32"/>
        <v>930.3</v>
      </c>
      <c r="AD40" s="70">
        <f>930.3</f>
        <v>930.3</v>
      </c>
      <c r="AE40" s="70"/>
      <c r="AF40" s="70"/>
      <c r="AG40" s="70">
        <v>2550</v>
      </c>
      <c r="AH40" s="169">
        <f t="shared" si="33"/>
        <v>3467.6630000000005</v>
      </c>
      <c r="AI40" s="70"/>
      <c r="AJ40" s="70"/>
      <c r="AK40" s="169">
        <f t="shared" si="34"/>
        <v>3467.6630000000005</v>
      </c>
      <c r="AL40" s="169">
        <f t="shared" si="35"/>
        <v>930.3</v>
      </c>
      <c r="AM40" s="178">
        <f>930.3</f>
        <v>930.3</v>
      </c>
      <c r="AN40" s="169"/>
      <c r="AO40" s="68"/>
      <c r="AP40" s="70">
        <f>1980.363+557</f>
        <v>2537.3630000000003</v>
      </c>
      <c r="AQ40" s="169">
        <f t="shared" si="42"/>
        <v>3467.663</v>
      </c>
      <c r="AR40" s="70"/>
      <c r="AS40" s="70"/>
      <c r="AT40" s="169">
        <f t="shared" si="36"/>
        <v>3467.663</v>
      </c>
      <c r="AU40" s="169">
        <f t="shared" si="37"/>
        <v>930.3</v>
      </c>
      <c r="AV40" s="169">
        <f>930.3</f>
        <v>930.3</v>
      </c>
      <c r="AW40" s="70"/>
      <c r="AX40" s="68">
        <v>557</v>
      </c>
      <c r="AY40" s="70">
        <v>1980.3630000000001</v>
      </c>
      <c r="AZ40" s="70">
        <f t="shared" si="43"/>
        <v>0</v>
      </c>
      <c r="BA40" s="70"/>
      <c r="BB40" s="70"/>
      <c r="BC40" s="70">
        <f t="shared" si="38"/>
        <v>0</v>
      </c>
      <c r="BD40" s="169">
        <f t="shared" si="39"/>
        <v>0</v>
      </c>
      <c r="BE40" s="177"/>
      <c r="BF40" s="70"/>
      <c r="BG40" s="70"/>
      <c r="BH40" s="70"/>
      <c r="BI40" s="127">
        <f t="shared" si="44"/>
        <v>0</v>
      </c>
      <c r="BJ40" s="127"/>
      <c r="BK40" s="127"/>
      <c r="BL40" s="127">
        <f t="shared" si="45"/>
        <v>0</v>
      </c>
      <c r="BM40" s="127"/>
      <c r="BN40" s="127"/>
      <c r="BO40" s="127"/>
      <c r="BP40" s="127"/>
      <c r="BQ40" s="127">
        <f t="shared" si="46"/>
        <v>0</v>
      </c>
      <c r="BR40" s="127"/>
      <c r="BS40" s="127"/>
      <c r="BT40" s="127"/>
      <c r="BU40" s="127">
        <f t="shared" si="47"/>
        <v>0</v>
      </c>
      <c r="BV40" s="127"/>
      <c r="BW40" s="127"/>
      <c r="BX40" s="127"/>
      <c r="BY40" s="127"/>
      <c r="BZ40" s="127"/>
      <c r="CA40" s="127"/>
      <c r="CB40" s="127"/>
      <c r="CC40" s="127"/>
      <c r="CD40" s="127"/>
      <c r="CE40" s="125"/>
    </row>
    <row r="41" spans="1:83" ht="60.75" customHeight="1" outlineLevel="1">
      <c r="A41" s="434">
        <v>12</v>
      </c>
      <c r="B41" s="181" t="s">
        <v>971</v>
      </c>
      <c r="C41" s="127" t="s">
        <v>886</v>
      </c>
      <c r="D41" s="127" t="s">
        <v>921</v>
      </c>
      <c r="E41" s="127" t="s">
        <v>49</v>
      </c>
      <c r="F41" s="127" t="s">
        <v>922</v>
      </c>
      <c r="G41" s="127" t="s">
        <v>883</v>
      </c>
      <c r="H41" s="127" t="s">
        <v>923</v>
      </c>
      <c r="I41" s="127" t="s">
        <v>55</v>
      </c>
      <c r="J41" s="126" t="s">
        <v>972</v>
      </c>
      <c r="K41" s="127" t="s">
        <v>84</v>
      </c>
      <c r="L41" s="129">
        <v>2024</v>
      </c>
      <c r="M41" s="127"/>
      <c r="N41" s="127" t="s">
        <v>973</v>
      </c>
      <c r="O41" s="169">
        <v>4900</v>
      </c>
      <c r="P41" s="169"/>
      <c r="Q41" s="169"/>
      <c r="R41" s="169">
        <v>4900</v>
      </c>
      <c r="S41" s="70" t="s">
        <v>974</v>
      </c>
      <c r="T41" s="70" t="s">
        <v>923</v>
      </c>
      <c r="U41" s="70"/>
      <c r="V41" s="70"/>
      <c r="W41" s="70"/>
      <c r="X41" s="70"/>
      <c r="Y41" s="169">
        <f t="shared" si="40"/>
        <v>4498</v>
      </c>
      <c r="Z41" s="70"/>
      <c r="AA41" s="70"/>
      <c r="AB41" s="169">
        <f t="shared" si="41"/>
        <v>4498</v>
      </c>
      <c r="AC41" s="169">
        <f t="shared" si="32"/>
        <v>1248</v>
      </c>
      <c r="AD41" s="177">
        <v>1248</v>
      </c>
      <c r="AE41" s="177"/>
      <c r="AF41" s="68">
        <v>3250</v>
      </c>
      <c r="AG41" s="70"/>
      <c r="AH41" s="169">
        <f t="shared" si="33"/>
        <v>3250</v>
      </c>
      <c r="AI41" s="70"/>
      <c r="AJ41" s="70"/>
      <c r="AK41" s="169">
        <f t="shared" si="34"/>
        <v>3250</v>
      </c>
      <c r="AL41" s="169">
        <f t="shared" si="35"/>
        <v>0</v>
      </c>
      <c r="AM41" s="178"/>
      <c r="AN41" s="169"/>
      <c r="AO41" s="68">
        <v>3250</v>
      </c>
      <c r="AP41" s="70"/>
      <c r="AQ41" s="169">
        <f t="shared" si="42"/>
        <v>3250</v>
      </c>
      <c r="AR41" s="70"/>
      <c r="AS41" s="70"/>
      <c r="AT41" s="169">
        <f t="shared" si="36"/>
        <v>3250</v>
      </c>
      <c r="AU41" s="169">
        <f t="shared" si="37"/>
        <v>0</v>
      </c>
      <c r="AV41" s="169"/>
      <c r="AW41" s="70"/>
      <c r="AX41" s="68">
        <v>3250</v>
      </c>
      <c r="AY41" s="70"/>
      <c r="AZ41" s="70">
        <f t="shared" si="43"/>
        <v>1248</v>
      </c>
      <c r="BA41" s="70"/>
      <c r="BB41" s="70"/>
      <c r="BC41" s="70">
        <f t="shared" si="38"/>
        <v>1248</v>
      </c>
      <c r="BD41" s="169">
        <f t="shared" si="39"/>
        <v>1248</v>
      </c>
      <c r="BE41" s="177">
        <v>1248</v>
      </c>
      <c r="BF41" s="70"/>
      <c r="BG41" s="70"/>
      <c r="BH41" s="70"/>
      <c r="BI41" s="127">
        <f t="shared" si="44"/>
        <v>1247.7329999999999</v>
      </c>
      <c r="BJ41" s="127"/>
      <c r="BK41" s="127"/>
      <c r="BL41" s="127">
        <f t="shared" si="45"/>
        <v>1247.7329999999999</v>
      </c>
      <c r="BM41" s="127">
        <v>1247.7329999999999</v>
      </c>
      <c r="BN41" s="127"/>
      <c r="BO41" s="127"/>
      <c r="BP41" s="127"/>
      <c r="BQ41" s="127">
        <f t="shared" si="46"/>
        <v>0</v>
      </c>
      <c r="BR41" s="127"/>
      <c r="BS41" s="127"/>
      <c r="BT41" s="127"/>
      <c r="BU41" s="127">
        <f t="shared" si="47"/>
        <v>0</v>
      </c>
      <c r="BV41" s="127"/>
      <c r="BW41" s="127"/>
      <c r="BX41" s="127"/>
      <c r="BY41" s="127"/>
      <c r="BZ41" s="127"/>
      <c r="CA41" s="127"/>
      <c r="CB41" s="127"/>
      <c r="CC41" s="127"/>
      <c r="CD41" s="127"/>
      <c r="CE41" s="125"/>
    </row>
    <row r="42" spans="1:83" ht="60" customHeight="1" outlineLevel="1">
      <c r="A42" s="434">
        <v>13</v>
      </c>
      <c r="B42" s="181" t="s">
        <v>975</v>
      </c>
      <c r="C42" s="127" t="s">
        <v>886</v>
      </c>
      <c r="D42" s="127" t="s">
        <v>921</v>
      </c>
      <c r="E42" s="127" t="s">
        <v>49</v>
      </c>
      <c r="F42" s="127" t="s">
        <v>922</v>
      </c>
      <c r="G42" s="127" t="s">
        <v>883</v>
      </c>
      <c r="H42" s="127" t="s">
        <v>923</v>
      </c>
      <c r="I42" s="127" t="s">
        <v>55</v>
      </c>
      <c r="J42" s="126" t="s">
        <v>976</v>
      </c>
      <c r="K42" s="127" t="s">
        <v>960</v>
      </c>
      <c r="L42" s="129">
        <v>2025</v>
      </c>
      <c r="M42" s="127"/>
      <c r="N42" s="127" t="s">
        <v>977</v>
      </c>
      <c r="O42" s="169">
        <v>4700</v>
      </c>
      <c r="P42" s="169"/>
      <c r="Q42" s="169"/>
      <c r="R42" s="169">
        <v>4700</v>
      </c>
      <c r="S42" s="70"/>
      <c r="T42" s="70" t="s">
        <v>923</v>
      </c>
      <c r="U42" s="70"/>
      <c r="V42" s="70"/>
      <c r="W42" s="70"/>
      <c r="X42" s="70"/>
      <c r="Y42" s="169">
        <f t="shared" si="40"/>
        <v>4490.7039999999997</v>
      </c>
      <c r="Z42" s="70"/>
      <c r="AA42" s="70"/>
      <c r="AB42" s="169">
        <f t="shared" si="41"/>
        <v>4490.7039999999997</v>
      </c>
      <c r="AC42" s="169">
        <f t="shared" si="32"/>
        <v>1992.704</v>
      </c>
      <c r="AD42" s="177">
        <v>1992.704</v>
      </c>
      <c r="AE42" s="177"/>
      <c r="AF42" s="169">
        <v>1308</v>
      </c>
      <c r="AG42" s="169">
        <v>1190</v>
      </c>
      <c r="AH42" s="169">
        <f t="shared" si="33"/>
        <v>0</v>
      </c>
      <c r="AI42" s="70"/>
      <c r="AJ42" s="70"/>
      <c r="AK42" s="169">
        <f t="shared" si="34"/>
        <v>0</v>
      </c>
      <c r="AL42" s="169">
        <f t="shared" si="35"/>
        <v>0</v>
      </c>
      <c r="AM42" s="178"/>
      <c r="AN42" s="169"/>
      <c r="AO42" s="68"/>
      <c r="AP42" s="70"/>
      <c r="AQ42" s="169">
        <f t="shared" si="42"/>
        <v>0</v>
      </c>
      <c r="AR42" s="70"/>
      <c r="AS42" s="70"/>
      <c r="AT42" s="169">
        <f t="shared" si="36"/>
        <v>0</v>
      </c>
      <c r="AU42" s="169">
        <f t="shared" si="37"/>
        <v>0</v>
      </c>
      <c r="AV42" s="169"/>
      <c r="AW42" s="70"/>
      <c r="AX42" s="68"/>
      <c r="AY42" s="70"/>
      <c r="AZ42" s="70">
        <f t="shared" si="43"/>
        <v>4147.0069999999996</v>
      </c>
      <c r="BA42" s="70"/>
      <c r="BB42" s="70"/>
      <c r="BC42" s="70">
        <f t="shared" si="38"/>
        <v>4147.0069999999996</v>
      </c>
      <c r="BD42" s="169">
        <f t="shared" si="39"/>
        <v>1992.704</v>
      </c>
      <c r="BE42" s="177">
        <v>1992.704</v>
      </c>
      <c r="BF42" s="70"/>
      <c r="BG42" s="108">
        <v>920.3760000000002</v>
      </c>
      <c r="BH42" s="169">
        <v>1233.9269999999999</v>
      </c>
      <c r="BI42" s="127">
        <f t="shared" si="44"/>
        <v>1297.221</v>
      </c>
      <c r="BJ42" s="127"/>
      <c r="BK42" s="127"/>
      <c r="BL42" s="127">
        <f t="shared" si="45"/>
        <v>1297.221</v>
      </c>
      <c r="BM42" s="127">
        <v>1297.221</v>
      </c>
      <c r="BN42" s="127"/>
      <c r="BO42" s="127"/>
      <c r="BP42" s="127"/>
      <c r="BQ42" s="127">
        <f t="shared" si="46"/>
        <v>0</v>
      </c>
      <c r="BR42" s="127"/>
      <c r="BS42" s="127"/>
      <c r="BT42" s="127"/>
      <c r="BU42" s="127">
        <f t="shared" si="47"/>
        <v>0</v>
      </c>
      <c r="BV42" s="127"/>
      <c r="BW42" s="127"/>
      <c r="BX42" s="127"/>
      <c r="BY42" s="127"/>
      <c r="BZ42" s="127"/>
      <c r="CA42" s="127"/>
      <c r="CB42" s="127"/>
      <c r="CC42" s="127"/>
      <c r="CD42" s="127"/>
      <c r="CE42" s="125" t="s">
        <v>948</v>
      </c>
    </row>
    <row r="43" spans="1:83" ht="46.15" outlineLevel="1">
      <c r="A43" s="434">
        <v>14</v>
      </c>
      <c r="B43" s="181" t="s">
        <v>978</v>
      </c>
      <c r="C43" s="127" t="s">
        <v>886</v>
      </c>
      <c r="D43" s="127" t="s">
        <v>921</v>
      </c>
      <c r="E43" s="127" t="s">
        <v>49</v>
      </c>
      <c r="F43" s="127" t="s">
        <v>922</v>
      </c>
      <c r="G43" s="127" t="s">
        <v>883</v>
      </c>
      <c r="H43" s="127" t="s">
        <v>923</v>
      </c>
      <c r="I43" s="127" t="s">
        <v>82</v>
      </c>
      <c r="J43" s="126" t="s">
        <v>979</v>
      </c>
      <c r="K43" s="127" t="s">
        <v>76</v>
      </c>
      <c r="L43" s="129">
        <v>2022</v>
      </c>
      <c r="M43" s="127" t="s">
        <v>980</v>
      </c>
      <c r="N43" s="127" t="s">
        <v>981</v>
      </c>
      <c r="O43" s="169">
        <v>2000</v>
      </c>
      <c r="P43" s="169"/>
      <c r="Q43" s="169"/>
      <c r="R43" s="169">
        <v>2000</v>
      </c>
      <c r="S43" s="70" t="s">
        <v>982</v>
      </c>
      <c r="T43" s="70" t="s">
        <v>923</v>
      </c>
      <c r="U43" s="70"/>
      <c r="V43" s="70"/>
      <c r="W43" s="70"/>
      <c r="X43" s="70"/>
      <c r="Y43" s="169">
        <f t="shared" si="40"/>
        <v>1749</v>
      </c>
      <c r="Z43" s="70"/>
      <c r="AA43" s="70"/>
      <c r="AB43" s="169">
        <f t="shared" si="41"/>
        <v>1749</v>
      </c>
      <c r="AC43" s="169">
        <f t="shared" si="32"/>
        <v>0</v>
      </c>
      <c r="AD43" s="177"/>
      <c r="AE43" s="177"/>
      <c r="AF43" s="169">
        <v>1749</v>
      </c>
      <c r="AG43" s="169"/>
      <c r="AH43" s="169">
        <f t="shared" si="33"/>
        <v>1748.6779999999999</v>
      </c>
      <c r="AI43" s="70"/>
      <c r="AJ43" s="70"/>
      <c r="AK43" s="169">
        <f t="shared" si="34"/>
        <v>1748.6779999999999</v>
      </c>
      <c r="AL43" s="169">
        <f t="shared" si="35"/>
        <v>0</v>
      </c>
      <c r="AM43" s="178"/>
      <c r="AN43" s="169"/>
      <c r="AO43" s="169">
        <v>1748.6779999999999</v>
      </c>
      <c r="AP43" s="70"/>
      <c r="AQ43" s="169">
        <f t="shared" si="42"/>
        <v>1748.6779999999999</v>
      </c>
      <c r="AR43" s="70"/>
      <c r="AS43" s="70"/>
      <c r="AT43" s="169">
        <f t="shared" si="36"/>
        <v>1748.6779999999999</v>
      </c>
      <c r="AU43" s="169">
        <f t="shared" si="37"/>
        <v>0</v>
      </c>
      <c r="AV43" s="169"/>
      <c r="AW43" s="70"/>
      <c r="AX43" s="70">
        <v>1748.6779999999999</v>
      </c>
      <c r="AY43" s="70"/>
      <c r="AZ43" s="70">
        <f t="shared" si="43"/>
        <v>0</v>
      </c>
      <c r="BA43" s="70"/>
      <c r="BB43" s="70"/>
      <c r="BC43" s="70">
        <f t="shared" si="38"/>
        <v>0</v>
      </c>
      <c r="BD43" s="169">
        <f t="shared" si="39"/>
        <v>0</v>
      </c>
      <c r="BE43" s="177"/>
      <c r="BF43" s="70"/>
      <c r="BG43" s="108"/>
      <c r="BH43" s="169"/>
      <c r="BI43" s="127">
        <f t="shared" si="44"/>
        <v>0</v>
      </c>
      <c r="BJ43" s="127"/>
      <c r="BK43" s="127"/>
      <c r="BL43" s="127">
        <f t="shared" si="45"/>
        <v>0</v>
      </c>
      <c r="BM43" s="127"/>
      <c r="BN43" s="127"/>
      <c r="BO43" s="127"/>
      <c r="BP43" s="127"/>
      <c r="BQ43" s="127">
        <f t="shared" si="46"/>
        <v>0</v>
      </c>
      <c r="BR43" s="127"/>
      <c r="BS43" s="127"/>
      <c r="BT43" s="127"/>
      <c r="BU43" s="127">
        <f t="shared" si="47"/>
        <v>0</v>
      </c>
      <c r="BV43" s="127"/>
      <c r="BW43" s="127"/>
      <c r="BX43" s="127"/>
      <c r="BY43" s="127"/>
      <c r="BZ43" s="127"/>
      <c r="CA43" s="127"/>
      <c r="CB43" s="127"/>
      <c r="CC43" s="127"/>
      <c r="CD43" s="127"/>
      <c r="CE43" s="125"/>
    </row>
    <row r="44" spans="1:83" ht="46.15" outlineLevel="1">
      <c r="A44" s="434">
        <v>15</v>
      </c>
      <c r="B44" s="181" t="s">
        <v>983</v>
      </c>
      <c r="C44" s="127" t="s">
        <v>886</v>
      </c>
      <c r="D44" s="127" t="s">
        <v>921</v>
      </c>
      <c r="E44" s="127" t="s">
        <v>49</v>
      </c>
      <c r="F44" s="127" t="s">
        <v>922</v>
      </c>
      <c r="G44" s="127" t="s">
        <v>883</v>
      </c>
      <c r="H44" s="127" t="s">
        <v>923</v>
      </c>
      <c r="I44" s="127" t="s">
        <v>890</v>
      </c>
      <c r="J44" s="126" t="s">
        <v>984</v>
      </c>
      <c r="K44" s="127" t="s">
        <v>56</v>
      </c>
      <c r="L44" s="129">
        <v>2023</v>
      </c>
      <c r="M44" s="127" t="s">
        <v>985</v>
      </c>
      <c r="N44" s="127" t="s">
        <v>986</v>
      </c>
      <c r="O44" s="169">
        <v>3500</v>
      </c>
      <c r="P44" s="169"/>
      <c r="Q44" s="169"/>
      <c r="R44" s="169">
        <v>3500</v>
      </c>
      <c r="S44" s="70" t="s">
        <v>987</v>
      </c>
      <c r="T44" s="70" t="s">
        <v>923</v>
      </c>
      <c r="U44" s="70"/>
      <c r="V44" s="70"/>
      <c r="W44" s="70"/>
      <c r="X44" s="70"/>
      <c r="Y44" s="169">
        <f t="shared" si="40"/>
        <v>3263</v>
      </c>
      <c r="Z44" s="70"/>
      <c r="AA44" s="70"/>
      <c r="AB44" s="169">
        <f t="shared" si="41"/>
        <v>3263</v>
      </c>
      <c r="AC44" s="169">
        <f t="shared" si="32"/>
        <v>0</v>
      </c>
      <c r="AD44" s="177"/>
      <c r="AE44" s="177"/>
      <c r="AF44" s="169">
        <v>3263</v>
      </c>
      <c r="AG44" s="169"/>
      <c r="AH44" s="169">
        <f t="shared" si="33"/>
        <v>3262.3679999999999</v>
      </c>
      <c r="AI44" s="70"/>
      <c r="AJ44" s="70"/>
      <c r="AK44" s="169">
        <f t="shared" si="34"/>
        <v>3262.3679999999999</v>
      </c>
      <c r="AL44" s="169">
        <f t="shared" si="35"/>
        <v>0</v>
      </c>
      <c r="AM44" s="178"/>
      <c r="AN44" s="169"/>
      <c r="AO44" s="169">
        <v>3262.3679999999999</v>
      </c>
      <c r="AP44" s="70"/>
      <c r="AQ44" s="169">
        <f t="shared" si="42"/>
        <v>3262.3679999999999</v>
      </c>
      <c r="AR44" s="70"/>
      <c r="AS44" s="70"/>
      <c r="AT44" s="169">
        <f t="shared" si="36"/>
        <v>3262.3679999999999</v>
      </c>
      <c r="AU44" s="169">
        <f t="shared" si="37"/>
        <v>0</v>
      </c>
      <c r="AV44" s="169"/>
      <c r="AW44" s="70"/>
      <c r="AX44" s="169">
        <v>3262.3679999999999</v>
      </c>
      <c r="AY44" s="70"/>
      <c r="AZ44" s="70">
        <f t="shared" si="43"/>
        <v>0</v>
      </c>
      <c r="BA44" s="70"/>
      <c r="BB44" s="70"/>
      <c r="BC44" s="70">
        <f t="shared" si="38"/>
        <v>0</v>
      </c>
      <c r="BD44" s="169">
        <f t="shared" si="39"/>
        <v>0</v>
      </c>
      <c r="BE44" s="177"/>
      <c r="BF44" s="70"/>
      <c r="BG44" s="108"/>
      <c r="BH44" s="169"/>
      <c r="BI44" s="127">
        <f t="shared" si="44"/>
        <v>0</v>
      </c>
      <c r="BJ44" s="127"/>
      <c r="BK44" s="127"/>
      <c r="BL44" s="127">
        <f t="shared" si="45"/>
        <v>0</v>
      </c>
      <c r="BM44" s="127"/>
      <c r="BN44" s="127"/>
      <c r="BO44" s="127"/>
      <c r="BP44" s="127"/>
      <c r="BQ44" s="127">
        <f t="shared" si="46"/>
        <v>0</v>
      </c>
      <c r="BR44" s="127"/>
      <c r="BS44" s="127"/>
      <c r="BT44" s="127"/>
      <c r="BU44" s="127">
        <f t="shared" si="47"/>
        <v>0</v>
      </c>
      <c r="BV44" s="127"/>
      <c r="BW44" s="127"/>
      <c r="BX44" s="127"/>
      <c r="BY44" s="127"/>
      <c r="BZ44" s="127"/>
      <c r="CA44" s="127"/>
      <c r="CB44" s="127"/>
      <c r="CC44" s="127"/>
      <c r="CD44" s="127"/>
      <c r="CE44" s="125"/>
    </row>
    <row r="45" spans="1:83" ht="60" customHeight="1" outlineLevel="1">
      <c r="A45" s="434">
        <v>16</v>
      </c>
      <c r="B45" s="181" t="s">
        <v>988</v>
      </c>
      <c r="C45" s="127" t="s">
        <v>886</v>
      </c>
      <c r="D45" s="127" t="s">
        <v>921</v>
      </c>
      <c r="E45" s="127" t="s">
        <v>49</v>
      </c>
      <c r="F45" s="127" t="s">
        <v>989</v>
      </c>
      <c r="G45" s="127" t="s">
        <v>883</v>
      </c>
      <c r="H45" s="127" t="s">
        <v>923</v>
      </c>
      <c r="I45" s="127" t="s">
        <v>55</v>
      </c>
      <c r="J45" s="126" t="s">
        <v>990</v>
      </c>
      <c r="K45" s="127" t="s">
        <v>76</v>
      </c>
      <c r="L45" s="129">
        <v>2022</v>
      </c>
      <c r="M45" s="127" t="s">
        <v>991</v>
      </c>
      <c r="N45" s="127" t="s">
        <v>992</v>
      </c>
      <c r="O45" s="169">
        <v>4900</v>
      </c>
      <c r="P45" s="169"/>
      <c r="Q45" s="169"/>
      <c r="R45" s="169">
        <v>4900</v>
      </c>
      <c r="S45" s="70" t="s">
        <v>993</v>
      </c>
      <c r="T45" s="70" t="s">
        <v>923</v>
      </c>
      <c r="U45" s="70"/>
      <c r="V45" s="70"/>
      <c r="W45" s="70"/>
      <c r="X45" s="70"/>
      <c r="Y45" s="169">
        <f t="shared" si="40"/>
        <v>4899</v>
      </c>
      <c r="Z45" s="70"/>
      <c r="AA45" s="70"/>
      <c r="AB45" s="169">
        <f t="shared" si="41"/>
        <v>4899</v>
      </c>
      <c r="AC45" s="169">
        <f t="shared" si="32"/>
        <v>899</v>
      </c>
      <c r="AD45" s="177">
        <v>899</v>
      </c>
      <c r="AE45" s="177"/>
      <c r="AF45" s="169">
        <v>4000</v>
      </c>
      <c r="AG45" s="169"/>
      <c r="AH45" s="169">
        <f t="shared" si="33"/>
        <v>4788.0509999999995</v>
      </c>
      <c r="AI45" s="70"/>
      <c r="AJ45" s="70"/>
      <c r="AK45" s="169">
        <f t="shared" si="34"/>
        <v>4788.0509999999995</v>
      </c>
      <c r="AL45" s="169">
        <f t="shared" si="35"/>
        <v>899.03800000000001</v>
      </c>
      <c r="AM45" s="178">
        <v>899.03800000000001</v>
      </c>
      <c r="AN45" s="169"/>
      <c r="AO45" s="68">
        <v>3889.0129999999999</v>
      </c>
      <c r="AP45" s="70"/>
      <c r="AQ45" s="169">
        <f t="shared" si="42"/>
        <v>4788.0329999999994</v>
      </c>
      <c r="AR45" s="70"/>
      <c r="AS45" s="70"/>
      <c r="AT45" s="169">
        <f t="shared" si="36"/>
        <v>4788.0329999999994</v>
      </c>
      <c r="AU45" s="169">
        <f t="shared" si="37"/>
        <v>899.02</v>
      </c>
      <c r="AV45" s="169">
        <v>899.02</v>
      </c>
      <c r="AW45" s="70"/>
      <c r="AX45" s="68">
        <v>3889.0129999999999</v>
      </c>
      <c r="AY45" s="70"/>
      <c r="AZ45" s="70">
        <f t="shared" si="43"/>
        <v>0</v>
      </c>
      <c r="BA45" s="70"/>
      <c r="BB45" s="70"/>
      <c r="BC45" s="70">
        <f t="shared" si="38"/>
        <v>0</v>
      </c>
      <c r="BD45" s="169">
        <f t="shared" si="39"/>
        <v>0</v>
      </c>
      <c r="BE45" s="177"/>
      <c r="BF45" s="70"/>
      <c r="BG45" s="108"/>
      <c r="BH45" s="169"/>
      <c r="BI45" s="127">
        <f t="shared" si="44"/>
        <v>0</v>
      </c>
      <c r="BJ45" s="127"/>
      <c r="BK45" s="127"/>
      <c r="BL45" s="127">
        <f t="shared" si="45"/>
        <v>0</v>
      </c>
      <c r="BM45" s="127"/>
      <c r="BN45" s="127"/>
      <c r="BO45" s="127"/>
      <c r="BP45" s="127"/>
      <c r="BQ45" s="127">
        <f t="shared" si="46"/>
        <v>0</v>
      </c>
      <c r="BR45" s="127"/>
      <c r="BS45" s="127"/>
      <c r="BT45" s="127"/>
      <c r="BU45" s="127">
        <f t="shared" si="47"/>
        <v>0</v>
      </c>
      <c r="BV45" s="127"/>
      <c r="BW45" s="127"/>
      <c r="BX45" s="127"/>
      <c r="BY45" s="127"/>
      <c r="BZ45" s="127"/>
      <c r="CA45" s="127"/>
      <c r="CB45" s="127"/>
      <c r="CC45" s="127"/>
      <c r="CD45" s="127"/>
      <c r="CE45" s="125"/>
    </row>
    <row r="46" spans="1:83" ht="69" customHeight="1" outlineLevel="1">
      <c r="A46" s="434">
        <v>17</v>
      </c>
      <c r="B46" s="181" t="s">
        <v>994</v>
      </c>
      <c r="C46" s="127" t="s">
        <v>886</v>
      </c>
      <c r="D46" s="127" t="s">
        <v>921</v>
      </c>
      <c r="E46" s="127" t="s">
        <v>49</v>
      </c>
      <c r="F46" s="127" t="s">
        <v>958</v>
      </c>
      <c r="G46" s="127" t="s">
        <v>883</v>
      </c>
      <c r="H46" s="127" t="s">
        <v>923</v>
      </c>
      <c r="I46" s="127" t="s">
        <v>55</v>
      </c>
      <c r="J46" s="126">
        <v>7934720</v>
      </c>
      <c r="K46" s="127" t="s">
        <v>76</v>
      </c>
      <c r="L46" s="129">
        <v>2022</v>
      </c>
      <c r="M46" s="127" t="s">
        <v>995</v>
      </c>
      <c r="N46" s="127" t="s">
        <v>996</v>
      </c>
      <c r="O46" s="169">
        <v>2500</v>
      </c>
      <c r="P46" s="169"/>
      <c r="Q46" s="169"/>
      <c r="R46" s="169">
        <v>2500</v>
      </c>
      <c r="S46" s="70" t="s">
        <v>997</v>
      </c>
      <c r="T46" s="70" t="s">
        <v>923</v>
      </c>
      <c r="U46" s="70"/>
      <c r="V46" s="70"/>
      <c r="W46" s="70"/>
      <c r="X46" s="70"/>
      <c r="Y46" s="169">
        <f t="shared" si="40"/>
        <v>2500</v>
      </c>
      <c r="Z46" s="70"/>
      <c r="AA46" s="70"/>
      <c r="AB46" s="169">
        <f t="shared" si="41"/>
        <v>2500</v>
      </c>
      <c r="AC46" s="169">
        <f t="shared" si="32"/>
        <v>1000</v>
      </c>
      <c r="AD46" s="177">
        <v>1000</v>
      </c>
      <c r="AE46" s="177"/>
      <c r="AF46" s="169">
        <v>1500</v>
      </c>
      <c r="AG46" s="169"/>
      <c r="AH46" s="169">
        <f t="shared" si="33"/>
        <v>2433.0140000000001</v>
      </c>
      <c r="AI46" s="70"/>
      <c r="AJ46" s="70"/>
      <c r="AK46" s="169">
        <f t="shared" si="34"/>
        <v>2433.0140000000001</v>
      </c>
      <c r="AL46" s="169">
        <f t="shared" si="35"/>
        <v>1000</v>
      </c>
      <c r="AM46" s="178">
        <v>1000</v>
      </c>
      <c r="AN46" s="169"/>
      <c r="AO46" s="68">
        <v>1433.0139999999999</v>
      </c>
      <c r="AP46" s="70"/>
      <c r="AQ46" s="169">
        <f t="shared" si="42"/>
        <v>2433.0140000000001</v>
      </c>
      <c r="AR46" s="70"/>
      <c r="AS46" s="70"/>
      <c r="AT46" s="169">
        <f t="shared" si="36"/>
        <v>2433.0140000000001</v>
      </c>
      <c r="AU46" s="169">
        <f t="shared" si="37"/>
        <v>1000</v>
      </c>
      <c r="AV46" s="169">
        <v>1000</v>
      </c>
      <c r="AW46" s="70"/>
      <c r="AX46" s="68">
        <v>1433.0139999999999</v>
      </c>
      <c r="AY46" s="70"/>
      <c r="AZ46" s="70">
        <f t="shared" si="43"/>
        <v>0</v>
      </c>
      <c r="BA46" s="70"/>
      <c r="BB46" s="70"/>
      <c r="BC46" s="70">
        <f t="shared" si="38"/>
        <v>0</v>
      </c>
      <c r="BD46" s="169">
        <f t="shared" si="39"/>
        <v>0</v>
      </c>
      <c r="BE46" s="177"/>
      <c r="BF46" s="70"/>
      <c r="BG46" s="108"/>
      <c r="BH46" s="169"/>
      <c r="BI46" s="127">
        <f t="shared" si="44"/>
        <v>0</v>
      </c>
      <c r="BJ46" s="127"/>
      <c r="BK46" s="127"/>
      <c r="BL46" s="127">
        <f t="shared" si="45"/>
        <v>0</v>
      </c>
      <c r="BM46" s="127"/>
      <c r="BN46" s="127"/>
      <c r="BO46" s="127"/>
      <c r="BP46" s="127"/>
      <c r="BQ46" s="127">
        <f t="shared" si="46"/>
        <v>0</v>
      </c>
      <c r="BR46" s="127"/>
      <c r="BS46" s="127"/>
      <c r="BT46" s="127"/>
      <c r="BU46" s="127">
        <f t="shared" si="47"/>
        <v>0</v>
      </c>
      <c r="BV46" s="127"/>
      <c r="BW46" s="127"/>
      <c r="BX46" s="127"/>
      <c r="BY46" s="127"/>
      <c r="BZ46" s="127"/>
      <c r="CA46" s="127"/>
      <c r="CB46" s="127"/>
      <c r="CC46" s="127"/>
      <c r="CD46" s="127"/>
      <c r="CE46" s="125"/>
    </row>
    <row r="47" spans="1:83" ht="46.15" outlineLevel="1">
      <c r="A47" s="434">
        <v>18</v>
      </c>
      <c r="B47" s="181" t="s">
        <v>998</v>
      </c>
      <c r="C47" s="127" t="s">
        <v>886</v>
      </c>
      <c r="D47" s="127" t="s">
        <v>921</v>
      </c>
      <c r="E47" s="127" t="s">
        <v>49</v>
      </c>
      <c r="F47" s="127" t="s">
        <v>999</v>
      </c>
      <c r="G47" s="127" t="s">
        <v>883</v>
      </c>
      <c r="H47" s="127" t="s">
        <v>923</v>
      </c>
      <c r="I47" s="127" t="s">
        <v>55</v>
      </c>
      <c r="J47" s="126" t="s">
        <v>1000</v>
      </c>
      <c r="K47" s="127" t="s">
        <v>891</v>
      </c>
      <c r="L47" s="129">
        <v>2021</v>
      </c>
      <c r="M47" s="127" t="s">
        <v>1001</v>
      </c>
      <c r="N47" s="127" t="s">
        <v>1002</v>
      </c>
      <c r="O47" s="169">
        <v>1200</v>
      </c>
      <c r="P47" s="169"/>
      <c r="Q47" s="169"/>
      <c r="R47" s="169">
        <v>1150</v>
      </c>
      <c r="S47" s="70" t="s">
        <v>1003</v>
      </c>
      <c r="T47" s="70" t="s">
        <v>923</v>
      </c>
      <c r="U47" s="70"/>
      <c r="V47" s="70"/>
      <c r="W47" s="70"/>
      <c r="X47" s="70"/>
      <c r="Y47" s="169">
        <f t="shared" si="40"/>
        <v>1039</v>
      </c>
      <c r="Z47" s="70"/>
      <c r="AA47" s="70"/>
      <c r="AB47" s="169">
        <f t="shared" si="41"/>
        <v>1039</v>
      </c>
      <c r="AC47" s="169">
        <f t="shared" si="32"/>
        <v>1039</v>
      </c>
      <c r="AD47" s="177">
        <v>1039</v>
      </c>
      <c r="AE47" s="177"/>
      <c r="AF47" s="169"/>
      <c r="AG47" s="169"/>
      <c r="AH47" s="169">
        <f t="shared" si="33"/>
        <v>1039.164</v>
      </c>
      <c r="AI47" s="70"/>
      <c r="AJ47" s="70"/>
      <c r="AK47" s="169">
        <f t="shared" si="34"/>
        <v>1039.164</v>
      </c>
      <c r="AL47" s="169">
        <f t="shared" si="35"/>
        <v>1039.164</v>
      </c>
      <c r="AM47" s="178">
        <v>1039.164</v>
      </c>
      <c r="AN47" s="169"/>
      <c r="AO47" s="68"/>
      <c r="AP47" s="70"/>
      <c r="AQ47" s="169">
        <f t="shared" si="42"/>
        <v>1039.164</v>
      </c>
      <c r="AR47" s="70"/>
      <c r="AS47" s="70"/>
      <c r="AT47" s="169">
        <f t="shared" si="36"/>
        <v>1039.164</v>
      </c>
      <c r="AU47" s="169">
        <f t="shared" si="37"/>
        <v>1039.164</v>
      </c>
      <c r="AV47" s="169">
        <v>1039.164</v>
      </c>
      <c r="AW47" s="70"/>
      <c r="AX47" s="68"/>
      <c r="AY47" s="70"/>
      <c r="AZ47" s="70">
        <f t="shared" si="43"/>
        <v>0</v>
      </c>
      <c r="BA47" s="70"/>
      <c r="BB47" s="70"/>
      <c r="BC47" s="70">
        <f t="shared" si="38"/>
        <v>0</v>
      </c>
      <c r="BD47" s="169">
        <f t="shared" si="39"/>
        <v>0</v>
      </c>
      <c r="BE47" s="177"/>
      <c r="BF47" s="70"/>
      <c r="BG47" s="108"/>
      <c r="BH47" s="169"/>
      <c r="BI47" s="127">
        <f t="shared" si="44"/>
        <v>0</v>
      </c>
      <c r="BJ47" s="127"/>
      <c r="BK47" s="127"/>
      <c r="BL47" s="127">
        <f t="shared" si="45"/>
        <v>0</v>
      </c>
      <c r="BM47" s="127"/>
      <c r="BN47" s="127"/>
      <c r="BO47" s="127"/>
      <c r="BP47" s="127"/>
      <c r="BQ47" s="127">
        <f t="shared" si="46"/>
        <v>0</v>
      </c>
      <c r="BR47" s="127"/>
      <c r="BS47" s="127"/>
      <c r="BT47" s="127"/>
      <c r="BU47" s="127">
        <f t="shared" si="47"/>
        <v>0</v>
      </c>
      <c r="BV47" s="127"/>
      <c r="BW47" s="127"/>
      <c r="BX47" s="127"/>
      <c r="BY47" s="127"/>
      <c r="BZ47" s="127"/>
      <c r="CA47" s="127"/>
      <c r="CB47" s="127"/>
      <c r="CC47" s="127"/>
      <c r="CD47" s="127"/>
      <c r="CE47" s="125"/>
    </row>
    <row r="48" spans="1:83" ht="46.15" outlineLevel="1">
      <c r="A48" s="434">
        <v>19</v>
      </c>
      <c r="B48" s="181" t="s">
        <v>1004</v>
      </c>
      <c r="C48" s="127" t="s">
        <v>886</v>
      </c>
      <c r="D48" s="127" t="s">
        <v>1005</v>
      </c>
      <c r="E48" s="127" t="s">
        <v>10</v>
      </c>
      <c r="F48" s="127" t="s">
        <v>922</v>
      </c>
      <c r="G48" s="127" t="s">
        <v>883</v>
      </c>
      <c r="H48" s="127" t="s">
        <v>923</v>
      </c>
      <c r="I48" s="127" t="s">
        <v>82</v>
      </c>
      <c r="J48" s="127" t="s">
        <v>1006</v>
      </c>
      <c r="K48" s="127" t="s">
        <v>75</v>
      </c>
      <c r="L48" s="129">
        <v>2021</v>
      </c>
      <c r="M48" s="127" t="s">
        <v>1007</v>
      </c>
      <c r="N48" s="127" t="s">
        <v>1008</v>
      </c>
      <c r="O48" s="169">
        <v>148329.27900000001</v>
      </c>
      <c r="P48" s="169"/>
      <c r="Q48" s="169"/>
      <c r="R48" s="169">
        <v>32100</v>
      </c>
      <c r="S48" s="70"/>
      <c r="T48" s="70" t="s">
        <v>923</v>
      </c>
      <c r="U48" s="70"/>
      <c r="V48" s="70"/>
      <c r="W48" s="70"/>
      <c r="X48" s="70"/>
      <c r="Y48" s="169">
        <f t="shared" si="40"/>
        <v>30000</v>
      </c>
      <c r="Z48" s="70"/>
      <c r="AA48" s="70"/>
      <c r="AB48" s="169">
        <f t="shared" si="41"/>
        <v>30000</v>
      </c>
      <c r="AC48" s="169">
        <f t="shared" si="32"/>
        <v>30000</v>
      </c>
      <c r="AD48" s="177">
        <v>30000</v>
      </c>
      <c r="AE48" s="177"/>
      <c r="AF48" s="70"/>
      <c r="AG48" s="70"/>
      <c r="AH48" s="169">
        <f>SUM(AI48:AK48)</f>
        <v>21201</v>
      </c>
      <c r="AI48" s="70"/>
      <c r="AJ48" s="70"/>
      <c r="AK48" s="169">
        <f t="shared" si="34"/>
        <v>21201</v>
      </c>
      <c r="AL48" s="169">
        <f t="shared" si="35"/>
        <v>21201</v>
      </c>
      <c r="AM48" s="178">
        <v>21201</v>
      </c>
      <c r="AN48" s="70"/>
      <c r="AO48" s="70"/>
      <c r="AP48" s="70"/>
      <c r="AQ48" s="169">
        <f t="shared" si="42"/>
        <v>21201</v>
      </c>
      <c r="AR48" s="70"/>
      <c r="AS48" s="70"/>
      <c r="AT48" s="169">
        <f t="shared" si="36"/>
        <v>21201</v>
      </c>
      <c r="AU48" s="169">
        <f t="shared" si="37"/>
        <v>21201</v>
      </c>
      <c r="AV48" s="169">
        <v>21201</v>
      </c>
      <c r="AW48" s="70"/>
      <c r="AX48" s="70"/>
      <c r="AY48" s="70"/>
      <c r="AZ48" s="70">
        <f t="shared" ref="AZ48:AZ80" si="48">SUM(BA48:BC48)</f>
        <v>8799</v>
      </c>
      <c r="BA48" s="70"/>
      <c r="BB48" s="70"/>
      <c r="BC48" s="70">
        <f t="shared" si="38"/>
        <v>8799</v>
      </c>
      <c r="BD48" s="169">
        <f t="shared" si="39"/>
        <v>8799</v>
      </c>
      <c r="BE48" s="177">
        <v>8799</v>
      </c>
      <c r="BF48" s="70"/>
      <c r="BG48" s="108"/>
      <c r="BH48" s="169"/>
      <c r="BI48" s="127">
        <f t="shared" si="44"/>
        <v>4138.8990000000003</v>
      </c>
      <c r="BJ48" s="127"/>
      <c r="BK48" s="127"/>
      <c r="BL48" s="127">
        <f t="shared" si="45"/>
        <v>4138.8990000000003</v>
      </c>
      <c r="BM48" s="127">
        <v>4138.8990000000003</v>
      </c>
      <c r="BN48" s="127"/>
      <c r="BO48" s="127"/>
      <c r="BP48" s="127"/>
      <c r="BQ48" s="127">
        <f t="shared" si="46"/>
        <v>0</v>
      </c>
      <c r="BR48" s="127"/>
      <c r="BS48" s="127"/>
      <c r="BT48" s="127"/>
      <c r="BU48" s="127">
        <f t="shared" si="47"/>
        <v>0</v>
      </c>
      <c r="BV48" s="127"/>
      <c r="BW48" s="127"/>
      <c r="BX48" s="127"/>
      <c r="BY48" s="127"/>
      <c r="BZ48" s="127"/>
      <c r="CA48" s="127"/>
      <c r="CB48" s="127"/>
      <c r="CC48" s="127"/>
      <c r="CD48" s="127"/>
      <c r="CE48" s="125" t="s">
        <v>948</v>
      </c>
    </row>
    <row r="49" spans="1:83" ht="76.900000000000006" outlineLevel="1">
      <c r="A49" s="434">
        <v>20</v>
      </c>
      <c r="B49" s="181" t="s">
        <v>1009</v>
      </c>
      <c r="C49" s="127" t="s">
        <v>886</v>
      </c>
      <c r="D49" s="127" t="s">
        <v>1005</v>
      </c>
      <c r="E49" s="127" t="s">
        <v>49</v>
      </c>
      <c r="F49" s="127" t="s">
        <v>922</v>
      </c>
      <c r="G49" s="127" t="s">
        <v>883</v>
      </c>
      <c r="H49" s="127" t="s">
        <v>923</v>
      </c>
      <c r="I49" s="127" t="s">
        <v>48</v>
      </c>
      <c r="J49" s="127" t="s">
        <v>1010</v>
      </c>
      <c r="K49" s="127" t="s">
        <v>83</v>
      </c>
      <c r="L49" s="129">
        <v>2022</v>
      </c>
      <c r="M49" s="127" t="s">
        <v>1011</v>
      </c>
      <c r="N49" s="127" t="s">
        <v>1012</v>
      </c>
      <c r="O49" s="169">
        <v>17924</v>
      </c>
      <c r="P49" s="169"/>
      <c r="Q49" s="169"/>
      <c r="R49" s="169">
        <v>17924</v>
      </c>
      <c r="S49" s="70"/>
      <c r="T49" s="70" t="s">
        <v>923</v>
      </c>
      <c r="U49" s="70"/>
      <c r="V49" s="70"/>
      <c r="W49" s="70"/>
      <c r="X49" s="70"/>
      <c r="Y49" s="169">
        <f t="shared" si="40"/>
        <v>17924</v>
      </c>
      <c r="Z49" s="70"/>
      <c r="AA49" s="70"/>
      <c r="AB49" s="169">
        <f t="shared" si="41"/>
        <v>17924</v>
      </c>
      <c r="AC49" s="169">
        <f t="shared" si="32"/>
        <v>10000</v>
      </c>
      <c r="AD49" s="177">
        <v>10000</v>
      </c>
      <c r="AE49" s="177"/>
      <c r="AF49" s="70">
        <v>7924</v>
      </c>
      <c r="AG49" s="70"/>
      <c r="AH49" s="169">
        <f>SUM(AI49:AK49)</f>
        <v>7550</v>
      </c>
      <c r="AI49" s="70"/>
      <c r="AJ49" s="70"/>
      <c r="AK49" s="169">
        <f t="shared" si="34"/>
        <v>7550</v>
      </c>
      <c r="AL49" s="169">
        <f t="shared" si="35"/>
        <v>7500</v>
      </c>
      <c r="AM49" s="178">
        <v>7500</v>
      </c>
      <c r="AN49" s="70"/>
      <c r="AO49" s="70">
        <v>50</v>
      </c>
      <c r="AP49" s="70"/>
      <c r="AQ49" s="169">
        <f t="shared" si="42"/>
        <v>7550</v>
      </c>
      <c r="AR49" s="70"/>
      <c r="AS49" s="70"/>
      <c r="AT49" s="169">
        <f t="shared" si="36"/>
        <v>7550</v>
      </c>
      <c r="AU49" s="169">
        <f t="shared" si="37"/>
        <v>7500</v>
      </c>
      <c r="AV49" s="178">
        <v>7500</v>
      </c>
      <c r="AW49" s="70"/>
      <c r="AX49" s="70">
        <v>50</v>
      </c>
      <c r="AY49" s="70"/>
      <c r="AZ49" s="70">
        <f t="shared" si="48"/>
        <v>7540.884</v>
      </c>
      <c r="BA49" s="70"/>
      <c r="BB49" s="70"/>
      <c r="BC49" s="70">
        <f t="shared" si="38"/>
        <v>7540.884</v>
      </c>
      <c r="BD49" s="169">
        <f t="shared" si="39"/>
        <v>2500</v>
      </c>
      <c r="BE49" s="177">
        <v>2500</v>
      </c>
      <c r="BF49" s="70"/>
      <c r="BG49" s="108">
        <v>5040.884</v>
      </c>
      <c r="BH49" s="169"/>
      <c r="BI49" s="127">
        <f t="shared" si="44"/>
        <v>5747.2375250000005</v>
      </c>
      <c r="BJ49" s="127"/>
      <c r="BK49" s="127"/>
      <c r="BL49" s="127">
        <f t="shared" si="45"/>
        <v>5747.2375250000005</v>
      </c>
      <c r="BM49" s="127">
        <v>2496.430163</v>
      </c>
      <c r="BN49" s="127"/>
      <c r="BO49" s="127">
        <v>3250.807362</v>
      </c>
      <c r="BP49" s="127"/>
      <c r="BQ49" s="127">
        <f t="shared" si="46"/>
        <v>0</v>
      </c>
      <c r="BR49" s="127"/>
      <c r="BS49" s="127"/>
      <c r="BT49" s="127"/>
      <c r="BU49" s="127">
        <f t="shared" si="47"/>
        <v>0</v>
      </c>
      <c r="BV49" s="127"/>
      <c r="BW49" s="127"/>
      <c r="BX49" s="127"/>
      <c r="BY49" s="127">
        <f>SUM(BZ49:CB49)</f>
        <v>775</v>
      </c>
      <c r="BZ49" s="127"/>
      <c r="CA49" s="127"/>
      <c r="CB49" s="127">
        <v>775</v>
      </c>
      <c r="CC49" s="127"/>
      <c r="CD49" s="188"/>
      <c r="CE49" s="125" t="s">
        <v>948</v>
      </c>
    </row>
    <row r="50" spans="1:83" ht="46.15" outlineLevel="1">
      <c r="A50" s="434">
        <v>21</v>
      </c>
      <c r="B50" s="181" t="s">
        <v>1013</v>
      </c>
      <c r="C50" s="127" t="s">
        <v>77</v>
      </c>
      <c r="D50" s="127" t="s">
        <v>1005</v>
      </c>
      <c r="E50" s="127" t="s">
        <v>49</v>
      </c>
      <c r="F50" s="127" t="s">
        <v>3</v>
      </c>
      <c r="G50" s="127" t="s">
        <v>883</v>
      </c>
      <c r="H50" s="127" t="s">
        <v>923</v>
      </c>
      <c r="I50" s="127"/>
      <c r="J50" s="127"/>
      <c r="K50" s="127" t="s">
        <v>84</v>
      </c>
      <c r="L50" s="129">
        <v>2024</v>
      </c>
      <c r="M50" s="127" t="s">
        <v>1014</v>
      </c>
      <c r="N50" s="127" t="s">
        <v>1015</v>
      </c>
      <c r="O50" s="169">
        <v>2700</v>
      </c>
      <c r="P50" s="169"/>
      <c r="Q50" s="169"/>
      <c r="R50" s="169">
        <v>1350</v>
      </c>
      <c r="S50" s="70"/>
      <c r="T50" s="70" t="s">
        <v>923</v>
      </c>
      <c r="U50" s="70"/>
      <c r="V50" s="70"/>
      <c r="W50" s="70"/>
      <c r="X50" s="70"/>
      <c r="Y50" s="169">
        <f t="shared" si="40"/>
        <v>1350</v>
      </c>
      <c r="Z50" s="70"/>
      <c r="AA50" s="70"/>
      <c r="AB50" s="169">
        <f t="shared" si="41"/>
        <v>1350</v>
      </c>
      <c r="AC50" s="169">
        <f t="shared" si="32"/>
        <v>1350</v>
      </c>
      <c r="AD50" s="177">
        <v>1350</v>
      </c>
      <c r="AE50" s="177"/>
      <c r="AF50" s="70"/>
      <c r="AG50" s="70"/>
      <c r="AH50" s="169">
        <f>SUM(AI50:AK50)</f>
        <v>1350</v>
      </c>
      <c r="AI50" s="70"/>
      <c r="AJ50" s="70"/>
      <c r="AK50" s="169">
        <f t="shared" si="34"/>
        <v>1350</v>
      </c>
      <c r="AL50" s="169">
        <f t="shared" si="35"/>
        <v>1350</v>
      </c>
      <c r="AM50" s="178">
        <v>1350</v>
      </c>
      <c r="AN50" s="70"/>
      <c r="AO50" s="70"/>
      <c r="AP50" s="70"/>
      <c r="AQ50" s="169">
        <f t="shared" si="42"/>
        <v>0</v>
      </c>
      <c r="AR50" s="70"/>
      <c r="AS50" s="70"/>
      <c r="AT50" s="169">
        <f t="shared" si="36"/>
        <v>0</v>
      </c>
      <c r="AU50" s="169">
        <f t="shared" si="37"/>
        <v>0</v>
      </c>
      <c r="AV50" s="169"/>
      <c r="AW50" s="70"/>
      <c r="AX50" s="70"/>
      <c r="AY50" s="70"/>
      <c r="AZ50" s="70">
        <f t="shared" si="48"/>
        <v>0</v>
      </c>
      <c r="BA50" s="70"/>
      <c r="BB50" s="70"/>
      <c r="BC50" s="70">
        <f t="shared" si="38"/>
        <v>0</v>
      </c>
      <c r="BD50" s="169">
        <f t="shared" si="39"/>
        <v>0</v>
      </c>
      <c r="BE50" s="177"/>
      <c r="BF50" s="70"/>
      <c r="BG50" s="108"/>
      <c r="BH50" s="169"/>
      <c r="BI50" s="127">
        <f t="shared" si="44"/>
        <v>0</v>
      </c>
      <c r="BJ50" s="127"/>
      <c r="BK50" s="127"/>
      <c r="BL50" s="127">
        <f t="shared" si="45"/>
        <v>0</v>
      </c>
      <c r="BM50" s="127"/>
      <c r="BN50" s="127"/>
      <c r="BO50" s="127"/>
      <c r="BP50" s="127"/>
      <c r="BQ50" s="127">
        <f t="shared" si="46"/>
        <v>1350</v>
      </c>
      <c r="BR50" s="127"/>
      <c r="BS50" s="127"/>
      <c r="BT50" s="127">
        <v>1350</v>
      </c>
      <c r="BU50" s="127">
        <f t="shared" si="47"/>
        <v>1330.5730000000001</v>
      </c>
      <c r="BV50" s="127"/>
      <c r="BW50" s="127"/>
      <c r="BX50" s="127">
        <v>1330.5730000000001</v>
      </c>
      <c r="BY50" s="127"/>
      <c r="BZ50" s="127"/>
      <c r="CA50" s="127"/>
      <c r="CB50" s="127"/>
      <c r="CC50" s="169">
        <v>1350</v>
      </c>
      <c r="CD50" s="127"/>
      <c r="CE50" s="125" t="s">
        <v>956</v>
      </c>
    </row>
    <row r="51" spans="1:83" ht="46.15" outlineLevel="1">
      <c r="A51" s="434">
        <v>22</v>
      </c>
      <c r="B51" s="181" t="s">
        <v>1016</v>
      </c>
      <c r="C51" s="127" t="s">
        <v>886</v>
      </c>
      <c r="D51" s="127" t="s">
        <v>1005</v>
      </c>
      <c r="E51" s="127" t="s">
        <v>49</v>
      </c>
      <c r="F51" s="127" t="s">
        <v>989</v>
      </c>
      <c r="G51" s="127" t="s">
        <v>883</v>
      </c>
      <c r="H51" s="127" t="s">
        <v>923</v>
      </c>
      <c r="I51" s="127" t="s">
        <v>105</v>
      </c>
      <c r="J51" s="126" t="s">
        <v>1017</v>
      </c>
      <c r="K51" s="127" t="s">
        <v>84</v>
      </c>
      <c r="L51" s="129">
        <v>2024</v>
      </c>
      <c r="M51" s="127" t="s">
        <v>1018</v>
      </c>
      <c r="N51" s="127" t="s">
        <v>1019</v>
      </c>
      <c r="O51" s="169">
        <v>1550</v>
      </c>
      <c r="P51" s="169"/>
      <c r="Q51" s="169"/>
      <c r="R51" s="169">
        <v>1500</v>
      </c>
      <c r="S51" s="70"/>
      <c r="T51" s="70" t="s">
        <v>923</v>
      </c>
      <c r="U51" s="70"/>
      <c r="V51" s="70"/>
      <c r="W51" s="70"/>
      <c r="X51" s="70"/>
      <c r="Y51" s="169">
        <f t="shared" si="40"/>
        <v>1500</v>
      </c>
      <c r="Z51" s="70"/>
      <c r="AA51" s="70"/>
      <c r="AB51" s="169">
        <f t="shared" si="41"/>
        <v>1500</v>
      </c>
      <c r="AC51" s="169">
        <f t="shared" si="32"/>
        <v>0</v>
      </c>
      <c r="AD51" s="177"/>
      <c r="AE51" s="177"/>
      <c r="AF51" s="169">
        <v>1500</v>
      </c>
      <c r="AG51" s="169"/>
      <c r="AH51" s="169">
        <f>SUM(AI51:AK51)</f>
        <v>1030</v>
      </c>
      <c r="AI51" s="70"/>
      <c r="AJ51" s="70"/>
      <c r="AK51" s="169">
        <f t="shared" si="34"/>
        <v>1030</v>
      </c>
      <c r="AL51" s="169">
        <f t="shared" si="35"/>
        <v>0</v>
      </c>
      <c r="AM51" s="178"/>
      <c r="AN51" s="169"/>
      <c r="AO51" s="68">
        <v>1030</v>
      </c>
      <c r="AP51" s="70"/>
      <c r="AQ51" s="169">
        <f t="shared" si="42"/>
        <v>1029.9860000000001</v>
      </c>
      <c r="AR51" s="70"/>
      <c r="AS51" s="70"/>
      <c r="AT51" s="169">
        <f t="shared" si="36"/>
        <v>1029.9860000000001</v>
      </c>
      <c r="AU51" s="169">
        <f t="shared" si="37"/>
        <v>0</v>
      </c>
      <c r="AV51" s="169"/>
      <c r="AW51" s="70"/>
      <c r="AX51" s="68">
        <v>1029.9860000000001</v>
      </c>
      <c r="AY51" s="70"/>
      <c r="AZ51" s="70">
        <f t="shared" si="48"/>
        <v>105</v>
      </c>
      <c r="BA51" s="70"/>
      <c r="BB51" s="70"/>
      <c r="BC51" s="70">
        <f t="shared" si="38"/>
        <v>105</v>
      </c>
      <c r="BD51" s="169">
        <f t="shared" si="39"/>
        <v>0</v>
      </c>
      <c r="BE51" s="177"/>
      <c r="BF51" s="70"/>
      <c r="BG51" s="108">
        <v>105</v>
      </c>
      <c r="BH51" s="169"/>
      <c r="BI51" s="127">
        <f t="shared" si="44"/>
        <v>77.506</v>
      </c>
      <c r="BJ51" s="127"/>
      <c r="BK51" s="127"/>
      <c r="BL51" s="127">
        <f t="shared" si="45"/>
        <v>77.506</v>
      </c>
      <c r="BM51" s="127"/>
      <c r="BN51" s="127"/>
      <c r="BO51" s="127">
        <v>77.506</v>
      </c>
      <c r="BP51" s="127"/>
      <c r="BQ51" s="189">
        <f t="shared" si="46"/>
        <v>1.4E-5</v>
      </c>
      <c r="BR51" s="189"/>
      <c r="BS51" s="189"/>
      <c r="BT51" s="189">
        <v>1.4E-5</v>
      </c>
      <c r="BU51" s="127">
        <f t="shared" si="47"/>
        <v>0</v>
      </c>
      <c r="BV51" s="127"/>
      <c r="BW51" s="127"/>
      <c r="BX51" s="127"/>
      <c r="BY51" s="127"/>
      <c r="BZ51" s="127"/>
      <c r="CA51" s="127"/>
      <c r="CB51" s="127"/>
      <c r="CC51" s="127"/>
      <c r="CD51" s="127"/>
      <c r="CE51" s="173"/>
    </row>
    <row r="52" spans="1:83" ht="60" customHeight="1" outlineLevel="1">
      <c r="A52" s="434">
        <v>23</v>
      </c>
      <c r="B52" s="181" t="s">
        <v>1020</v>
      </c>
      <c r="C52" s="127" t="s">
        <v>886</v>
      </c>
      <c r="D52" s="127" t="s">
        <v>1005</v>
      </c>
      <c r="E52" s="127" t="s">
        <v>49</v>
      </c>
      <c r="F52" s="127" t="s">
        <v>958</v>
      </c>
      <c r="G52" s="127" t="s">
        <v>883</v>
      </c>
      <c r="H52" s="127" t="s">
        <v>923</v>
      </c>
      <c r="I52" s="127" t="s">
        <v>105</v>
      </c>
      <c r="J52" s="126" t="s">
        <v>1021</v>
      </c>
      <c r="K52" s="127" t="s">
        <v>56</v>
      </c>
      <c r="L52" s="129">
        <v>2023</v>
      </c>
      <c r="M52" s="127" t="s">
        <v>1022</v>
      </c>
      <c r="N52" s="127" t="s">
        <v>1023</v>
      </c>
      <c r="O52" s="169">
        <v>1550</v>
      </c>
      <c r="P52" s="169"/>
      <c r="Q52" s="169"/>
      <c r="R52" s="169">
        <v>1500</v>
      </c>
      <c r="S52" s="70" t="s">
        <v>1024</v>
      </c>
      <c r="T52" s="70" t="s">
        <v>923</v>
      </c>
      <c r="U52" s="70"/>
      <c r="V52" s="70"/>
      <c r="W52" s="70"/>
      <c r="X52" s="70"/>
      <c r="Y52" s="169">
        <f t="shared" si="40"/>
        <v>1500</v>
      </c>
      <c r="Z52" s="70"/>
      <c r="AA52" s="70"/>
      <c r="AB52" s="169">
        <f t="shared" si="41"/>
        <v>1500</v>
      </c>
      <c r="AC52" s="169">
        <f t="shared" si="32"/>
        <v>0</v>
      </c>
      <c r="AD52" s="177"/>
      <c r="AE52" s="177"/>
      <c r="AF52" s="169">
        <v>1500</v>
      </c>
      <c r="AG52" s="169"/>
      <c r="AH52" s="169">
        <f>SUM(AI52:AK52)</f>
        <v>1449.2280000000001</v>
      </c>
      <c r="AI52" s="70"/>
      <c r="AJ52" s="70"/>
      <c r="AK52" s="169">
        <f t="shared" si="34"/>
        <v>1449.2280000000001</v>
      </c>
      <c r="AL52" s="169">
        <f t="shared" si="35"/>
        <v>0</v>
      </c>
      <c r="AM52" s="178"/>
      <c r="AN52" s="169"/>
      <c r="AO52" s="68">
        <v>1449.2280000000001</v>
      </c>
      <c r="AP52" s="70"/>
      <c r="AQ52" s="169">
        <f t="shared" si="42"/>
        <v>1449.2280000000001</v>
      </c>
      <c r="AR52" s="70"/>
      <c r="AS52" s="70"/>
      <c r="AT52" s="169">
        <f t="shared" si="36"/>
        <v>1449.2280000000001</v>
      </c>
      <c r="AU52" s="169">
        <f t="shared" si="37"/>
        <v>0</v>
      </c>
      <c r="AV52" s="169"/>
      <c r="AW52" s="70"/>
      <c r="AX52" s="68">
        <v>1449.2280000000001</v>
      </c>
      <c r="AY52" s="70"/>
      <c r="AZ52" s="70">
        <f t="shared" si="48"/>
        <v>0</v>
      </c>
      <c r="BA52" s="70"/>
      <c r="BB52" s="70"/>
      <c r="BC52" s="70">
        <f t="shared" si="38"/>
        <v>0</v>
      </c>
      <c r="BD52" s="169">
        <f t="shared" si="39"/>
        <v>0</v>
      </c>
      <c r="BE52" s="177"/>
      <c r="BF52" s="70"/>
      <c r="BG52" s="108"/>
      <c r="BH52" s="169"/>
      <c r="BI52" s="127">
        <f t="shared" si="44"/>
        <v>0</v>
      </c>
      <c r="BJ52" s="127"/>
      <c r="BK52" s="127"/>
      <c r="BL52" s="127">
        <f t="shared" si="45"/>
        <v>0</v>
      </c>
      <c r="BM52" s="127"/>
      <c r="BN52" s="127"/>
      <c r="BO52" s="127"/>
      <c r="BP52" s="127"/>
      <c r="BQ52" s="127">
        <f t="shared" si="46"/>
        <v>0</v>
      </c>
      <c r="BR52" s="127"/>
      <c r="BS52" s="127"/>
      <c r="BT52" s="127"/>
      <c r="BU52" s="127">
        <f t="shared" si="47"/>
        <v>0</v>
      </c>
      <c r="BV52" s="127"/>
      <c r="BW52" s="127"/>
      <c r="BX52" s="127"/>
      <c r="BY52" s="127"/>
      <c r="BZ52" s="127"/>
      <c r="CA52" s="127"/>
      <c r="CB52" s="127"/>
      <c r="CC52" s="127"/>
      <c r="CD52" s="127"/>
      <c r="CE52" s="173"/>
    </row>
    <row r="53" spans="1:83" ht="60" customHeight="1" outlineLevel="1">
      <c r="A53" s="434">
        <v>24</v>
      </c>
      <c r="B53" s="181" t="s">
        <v>1025</v>
      </c>
      <c r="C53" s="127" t="s">
        <v>886</v>
      </c>
      <c r="D53" s="127" t="s">
        <v>1005</v>
      </c>
      <c r="E53" s="127" t="s">
        <v>49</v>
      </c>
      <c r="F53" s="127" t="s">
        <v>989</v>
      </c>
      <c r="G53" s="127" t="s">
        <v>883</v>
      </c>
      <c r="H53" s="127" t="s">
        <v>923</v>
      </c>
      <c r="I53" s="127" t="s">
        <v>78</v>
      </c>
      <c r="J53" s="126"/>
      <c r="K53" s="127" t="s">
        <v>960</v>
      </c>
      <c r="L53" s="129">
        <v>2025</v>
      </c>
      <c r="M53" s="127"/>
      <c r="N53" s="127" t="s">
        <v>1026</v>
      </c>
      <c r="O53" s="169">
        <v>1300</v>
      </c>
      <c r="P53" s="169"/>
      <c r="Q53" s="169"/>
      <c r="R53" s="169">
        <v>350</v>
      </c>
      <c r="S53" s="70"/>
      <c r="T53" s="70" t="s">
        <v>923</v>
      </c>
      <c r="U53" s="70"/>
      <c r="V53" s="70"/>
      <c r="W53" s="70"/>
      <c r="X53" s="70"/>
      <c r="Y53" s="169">
        <f t="shared" si="40"/>
        <v>350</v>
      </c>
      <c r="Z53" s="70"/>
      <c r="AA53" s="70"/>
      <c r="AB53" s="169">
        <f t="shared" si="41"/>
        <v>350</v>
      </c>
      <c r="AC53" s="169">
        <f t="shared" si="32"/>
        <v>0</v>
      </c>
      <c r="AD53" s="177"/>
      <c r="AE53" s="177"/>
      <c r="AF53" s="169">
        <v>350</v>
      </c>
      <c r="AG53" s="169"/>
      <c r="AH53" s="169"/>
      <c r="AI53" s="70"/>
      <c r="AJ53" s="70"/>
      <c r="AK53" s="169">
        <f t="shared" si="34"/>
        <v>0</v>
      </c>
      <c r="AL53" s="169">
        <f t="shared" si="35"/>
        <v>0</v>
      </c>
      <c r="AM53" s="178"/>
      <c r="AN53" s="169"/>
      <c r="AO53" s="68"/>
      <c r="AP53" s="70"/>
      <c r="AQ53" s="169"/>
      <c r="AR53" s="70"/>
      <c r="AS53" s="70"/>
      <c r="AT53" s="169">
        <f t="shared" si="36"/>
        <v>0</v>
      </c>
      <c r="AU53" s="169">
        <f t="shared" si="37"/>
        <v>0</v>
      </c>
      <c r="AV53" s="169"/>
      <c r="AW53" s="70"/>
      <c r="AX53" s="68"/>
      <c r="AY53" s="70"/>
      <c r="AZ53" s="70">
        <f t="shared" si="48"/>
        <v>0</v>
      </c>
      <c r="BA53" s="70"/>
      <c r="BB53" s="70"/>
      <c r="BC53" s="70">
        <f t="shared" si="38"/>
        <v>0</v>
      </c>
      <c r="BD53" s="169">
        <f t="shared" si="39"/>
        <v>0</v>
      </c>
      <c r="BE53" s="177"/>
      <c r="BF53" s="70"/>
      <c r="BG53" s="108"/>
      <c r="BH53" s="169"/>
      <c r="BI53" s="127"/>
      <c r="BJ53" s="127"/>
      <c r="BK53" s="127"/>
      <c r="BL53" s="127"/>
      <c r="BM53" s="127"/>
      <c r="BN53" s="127"/>
      <c r="BO53" s="127"/>
      <c r="BP53" s="127"/>
      <c r="BQ53" s="127"/>
      <c r="BR53" s="127"/>
      <c r="BS53" s="127"/>
      <c r="BT53" s="127"/>
      <c r="BU53" s="127"/>
      <c r="BV53" s="127"/>
      <c r="BW53" s="127"/>
      <c r="BX53" s="127"/>
      <c r="BY53" s="127"/>
      <c r="BZ53" s="127"/>
      <c r="CA53" s="127"/>
      <c r="CB53" s="127"/>
      <c r="CC53" s="127"/>
      <c r="CD53" s="127"/>
      <c r="CE53" s="173"/>
    </row>
    <row r="54" spans="1:83" ht="46.15" outlineLevel="1">
      <c r="A54" s="434">
        <v>25</v>
      </c>
      <c r="B54" s="181" t="s">
        <v>1027</v>
      </c>
      <c r="C54" s="127" t="s">
        <v>886</v>
      </c>
      <c r="D54" s="127" t="s">
        <v>1005</v>
      </c>
      <c r="E54" s="127" t="s">
        <v>49</v>
      </c>
      <c r="F54" s="127" t="s">
        <v>922</v>
      </c>
      <c r="G54" s="127" t="s">
        <v>883</v>
      </c>
      <c r="H54" s="127" t="s">
        <v>923</v>
      </c>
      <c r="I54" s="127" t="s">
        <v>55</v>
      </c>
      <c r="J54" s="129">
        <v>8052614</v>
      </c>
      <c r="K54" s="127" t="s">
        <v>56</v>
      </c>
      <c r="L54" s="129">
        <v>2023</v>
      </c>
      <c r="M54" s="127" t="s">
        <v>1028</v>
      </c>
      <c r="N54" s="127" t="s">
        <v>1029</v>
      </c>
      <c r="O54" s="169">
        <v>3700</v>
      </c>
      <c r="P54" s="169"/>
      <c r="Q54" s="169"/>
      <c r="R54" s="169">
        <v>3700</v>
      </c>
      <c r="S54" s="70" t="s">
        <v>1030</v>
      </c>
      <c r="T54" s="70" t="s">
        <v>923</v>
      </c>
      <c r="U54" s="70"/>
      <c r="V54" s="70"/>
      <c r="W54" s="70"/>
      <c r="X54" s="70"/>
      <c r="Y54" s="169">
        <f t="shared" si="40"/>
        <v>3700</v>
      </c>
      <c r="Z54" s="70"/>
      <c r="AA54" s="70"/>
      <c r="AB54" s="169">
        <f t="shared" si="41"/>
        <v>3700</v>
      </c>
      <c r="AC54" s="169">
        <f t="shared" si="32"/>
        <v>0</v>
      </c>
      <c r="AD54" s="177"/>
      <c r="AE54" s="177"/>
      <c r="AF54" s="169">
        <v>3700</v>
      </c>
      <c r="AG54" s="169"/>
      <c r="AH54" s="169">
        <f>SUM(AI54:AK54)</f>
        <v>3500</v>
      </c>
      <c r="AI54" s="70"/>
      <c r="AJ54" s="70"/>
      <c r="AK54" s="169">
        <f t="shared" si="34"/>
        <v>3500</v>
      </c>
      <c r="AL54" s="169">
        <f t="shared" si="35"/>
        <v>0</v>
      </c>
      <c r="AM54" s="178"/>
      <c r="AN54" s="169"/>
      <c r="AO54" s="68">
        <v>3500</v>
      </c>
      <c r="AP54" s="70"/>
      <c r="AQ54" s="169">
        <f t="shared" ref="AQ54:AQ80" si="49">SUM(AR54:AT54)</f>
        <v>3500</v>
      </c>
      <c r="AR54" s="70"/>
      <c r="AS54" s="70"/>
      <c r="AT54" s="169">
        <f t="shared" si="36"/>
        <v>3500</v>
      </c>
      <c r="AU54" s="169">
        <f t="shared" si="37"/>
        <v>0</v>
      </c>
      <c r="AV54" s="169"/>
      <c r="AW54" s="70"/>
      <c r="AX54" s="68">
        <v>3500</v>
      </c>
      <c r="AY54" s="70"/>
      <c r="AZ54" s="70">
        <f t="shared" si="48"/>
        <v>154</v>
      </c>
      <c r="BA54" s="70"/>
      <c r="BB54" s="70"/>
      <c r="BC54" s="70">
        <f t="shared" si="38"/>
        <v>154</v>
      </c>
      <c r="BD54" s="169">
        <f t="shared" si="39"/>
        <v>0</v>
      </c>
      <c r="BE54" s="177"/>
      <c r="BF54" s="70"/>
      <c r="BG54" s="108">
        <v>154</v>
      </c>
      <c r="BH54" s="169"/>
      <c r="BI54" s="127">
        <f t="shared" ref="BI54:BI80" si="50">SUM(BJ54:BL54)</f>
        <v>122.02</v>
      </c>
      <c r="BJ54" s="127"/>
      <c r="BK54" s="127"/>
      <c r="BL54" s="127">
        <f t="shared" ref="BL54:BL80" si="51">SUM(BM54:BP54)</f>
        <v>122.02</v>
      </c>
      <c r="BM54" s="127"/>
      <c r="BN54" s="127"/>
      <c r="BO54" s="127">
        <v>122.02</v>
      </c>
      <c r="BP54" s="127"/>
      <c r="BQ54" s="127">
        <f t="shared" ref="BQ54" si="52">SUM(BR54:BT54)</f>
        <v>0</v>
      </c>
      <c r="BR54" s="127"/>
      <c r="BS54" s="127"/>
      <c r="BT54" s="127"/>
      <c r="BU54" s="127">
        <f t="shared" ref="BU54" si="53">SUM(BV54:BX54)</f>
        <v>0</v>
      </c>
      <c r="BV54" s="127"/>
      <c r="BW54" s="127"/>
      <c r="BX54" s="127"/>
      <c r="BY54" s="127"/>
      <c r="BZ54" s="127"/>
      <c r="CA54" s="127"/>
      <c r="CB54" s="127"/>
      <c r="CC54" s="127"/>
      <c r="CD54" s="127"/>
      <c r="CE54" s="125"/>
    </row>
    <row r="55" spans="1:83" ht="60" customHeight="1" outlineLevel="1">
      <c r="A55" s="434">
        <v>26</v>
      </c>
      <c r="B55" s="181" t="s">
        <v>1031</v>
      </c>
      <c r="C55" s="127" t="s">
        <v>886</v>
      </c>
      <c r="D55" s="127" t="s">
        <v>1005</v>
      </c>
      <c r="E55" s="127" t="s">
        <v>49</v>
      </c>
      <c r="F55" s="127" t="s">
        <v>989</v>
      </c>
      <c r="G55" s="127" t="s">
        <v>883</v>
      </c>
      <c r="H55" s="127" t="s">
        <v>923</v>
      </c>
      <c r="I55" s="127" t="s">
        <v>55</v>
      </c>
      <c r="J55" s="126"/>
      <c r="K55" s="127" t="s">
        <v>860</v>
      </c>
      <c r="L55" s="129"/>
      <c r="M55" s="127"/>
      <c r="N55" s="127" t="s">
        <v>1032</v>
      </c>
      <c r="O55" s="169">
        <v>2700</v>
      </c>
      <c r="P55" s="169"/>
      <c r="Q55" s="169"/>
      <c r="R55" s="169">
        <v>500</v>
      </c>
      <c r="S55" s="70"/>
      <c r="T55" s="70" t="s">
        <v>923</v>
      </c>
      <c r="U55" s="70"/>
      <c r="V55" s="70"/>
      <c r="W55" s="70"/>
      <c r="X55" s="70"/>
      <c r="Y55" s="169">
        <f t="shared" si="40"/>
        <v>500</v>
      </c>
      <c r="Z55" s="70"/>
      <c r="AA55" s="70"/>
      <c r="AB55" s="169">
        <f t="shared" si="41"/>
        <v>500</v>
      </c>
      <c r="AC55" s="169">
        <f t="shared" si="32"/>
        <v>0</v>
      </c>
      <c r="AD55" s="177"/>
      <c r="AE55" s="177"/>
      <c r="AF55" s="169">
        <v>500</v>
      </c>
      <c r="AG55" s="169"/>
      <c r="AH55" s="169">
        <f>SUM(AI55:AK55)</f>
        <v>500</v>
      </c>
      <c r="AI55" s="70"/>
      <c r="AJ55" s="70"/>
      <c r="AK55" s="169">
        <f t="shared" si="34"/>
        <v>500</v>
      </c>
      <c r="AL55" s="169">
        <f t="shared" si="35"/>
        <v>0</v>
      </c>
      <c r="AM55" s="178"/>
      <c r="AN55" s="169"/>
      <c r="AO55" s="68">
        <v>500</v>
      </c>
      <c r="AP55" s="70"/>
      <c r="AQ55" s="169">
        <f t="shared" si="49"/>
        <v>500</v>
      </c>
      <c r="AR55" s="70"/>
      <c r="AS55" s="70"/>
      <c r="AT55" s="169">
        <f t="shared" si="36"/>
        <v>500</v>
      </c>
      <c r="AU55" s="169">
        <f t="shared" si="37"/>
        <v>0</v>
      </c>
      <c r="AV55" s="169"/>
      <c r="AW55" s="70"/>
      <c r="AX55" s="68">
        <v>500</v>
      </c>
      <c r="AY55" s="70"/>
      <c r="AZ55" s="70">
        <f t="shared" si="48"/>
        <v>0</v>
      </c>
      <c r="BA55" s="70"/>
      <c r="BB55" s="70"/>
      <c r="BC55" s="70">
        <f t="shared" si="38"/>
        <v>0</v>
      </c>
      <c r="BD55" s="169">
        <f t="shared" si="39"/>
        <v>0</v>
      </c>
      <c r="BE55" s="177"/>
      <c r="BF55" s="70"/>
      <c r="BG55" s="108"/>
      <c r="BH55" s="169"/>
      <c r="BI55" s="127">
        <f t="shared" si="50"/>
        <v>0</v>
      </c>
      <c r="BJ55" s="127"/>
      <c r="BK55" s="127"/>
      <c r="BL55" s="127">
        <f t="shared" si="51"/>
        <v>0</v>
      </c>
      <c r="BM55" s="127"/>
      <c r="BN55" s="127"/>
      <c r="BO55" s="190"/>
      <c r="BP55" s="127"/>
      <c r="BQ55" s="127"/>
      <c r="BR55" s="127"/>
      <c r="BS55" s="127"/>
      <c r="BT55" s="127"/>
      <c r="BU55" s="127"/>
      <c r="BV55" s="127"/>
      <c r="BW55" s="127"/>
      <c r="BX55" s="127"/>
      <c r="BY55" s="127"/>
      <c r="BZ55" s="127"/>
      <c r="CA55" s="127"/>
      <c r="CB55" s="127"/>
      <c r="CC55" s="127"/>
      <c r="CD55" s="127"/>
      <c r="CE55" s="173"/>
    </row>
    <row r="56" spans="1:83" ht="30.75" outlineLevel="1">
      <c r="A56" s="434">
        <v>27</v>
      </c>
      <c r="B56" s="181" t="s">
        <v>1033</v>
      </c>
      <c r="C56" s="127" t="s">
        <v>1034</v>
      </c>
      <c r="D56" s="127" t="s">
        <v>1005</v>
      </c>
      <c r="E56" s="127" t="s">
        <v>10</v>
      </c>
      <c r="F56" s="127" t="s">
        <v>922</v>
      </c>
      <c r="G56" s="127" t="s">
        <v>883</v>
      </c>
      <c r="H56" s="127" t="s">
        <v>923</v>
      </c>
      <c r="I56" s="127" t="s">
        <v>1035</v>
      </c>
      <c r="J56" s="127"/>
      <c r="K56" s="127" t="s">
        <v>1036</v>
      </c>
      <c r="L56" s="129">
        <v>2023</v>
      </c>
      <c r="M56" s="127"/>
      <c r="N56" s="127" t="s">
        <v>1037</v>
      </c>
      <c r="O56" s="169">
        <v>183500</v>
      </c>
      <c r="P56" s="169">
        <v>180000</v>
      </c>
      <c r="Q56" s="169"/>
      <c r="R56" s="169">
        <v>3500</v>
      </c>
      <c r="S56" s="70"/>
      <c r="T56" s="70" t="s">
        <v>923</v>
      </c>
      <c r="U56" s="70"/>
      <c r="V56" s="70"/>
      <c r="W56" s="70"/>
      <c r="X56" s="70"/>
      <c r="Y56" s="169">
        <f t="shared" si="40"/>
        <v>81202</v>
      </c>
      <c r="Z56" s="178">
        <v>77702</v>
      </c>
      <c r="AA56" s="70"/>
      <c r="AB56" s="169">
        <f t="shared" si="41"/>
        <v>3500</v>
      </c>
      <c r="AC56" s="169">
        <f t="shared" si="32"/>
        <v>0</v>
      </c>
      <c r="AD56" s="177"/>
      <c r="AE56" s="177"/>
      <c r="AF56" s="70">
        <v>3500</v>
      </c>
      <c r="AG56" s="70"/>
      <c r="AH56" s="169">
        <f>SUM(AI56:AK56)</f>
        <v>58500</v>
      </c>
      <c r="AI56" s="178">
        <f>500+8000+50000</f>
        <v>58500</v>
      </c>
      <c r="AJ56" s="70"/>
      <c r="AK56" s="169">
        <f t="shared" si="34"/>
        <v>0</v>
      </c>
      <c r="AL56" s="169">
        <f t="shared" si="35"/>
        <v>0</v>
      </c>
      <c r="AM56" s="178"/>
      <c r="AN56" s="70"/>
      <c r="AO56" s="70"/>
      <c r="AP56" s="70"/>
      <c r="AQ56" s="169">
        <f t="shared" si="49"/>
        <v>58500</v>
      </c>
      <c r="AR56" s="178">
        <f>500+8000+50000</f>
        <v>58500</v>
      </c>
      <c r="AS56" s="178"/>
      <c r="AT56" s="169">
        <f t="shared" si="36"/>
        <v>0</v>
      </c>
      <c r="AU56" s="169">
        <f t="shared" si="37"/>
        <v>0</v>
      </c>
      <c r="AV56" s="169"/>
      <c r="AW56" s="70"/>
      <c r="AX56" s="70"/>
      <c r="AY56" s="70"/>
      <c r="AZ56" s="70">
        <f t="shared" si="48"/>
        <v>19202</v>
      </c>
      <c r="BA56" s="178">
        <v>19202</v>
      </c>
      <c r="BB56" s="70"/>
      <c r="BC56" s="70">
        <f t="shared" si="38"/>
        <v>0</v>
      </c>
      <c r="BD56" s="169">
        <f t="shared" si="39"/>
        <v>0</v>
      </c>
      <c r="BE56" s="177"/>
      <c r="BF56" s="70"/>
      <c r="BG56" s="108"/>
      <c r="BH56" s="169"/>
      <c r="BI56" s="127">
        <f t="shared" si="50"/>
        <v>0</v>
      </c>
      <c r="BJ56" s="127"/>
      <c r="BK56" s="127"/>
      <c r="BL56" s="127">
        <f t="shared" si="51"/>
        <v>0</v>
      </c>
      <c r="BM56" s="127"/>
      <c r="BN56" s="127"/>
      <c r="BO56" s="127"/>
      <c r="BP56" s="127"/>
      <c r="BQ56" s="127"/>
      <c r="BR56" s="127"/>
      <c r="BS56" s="127"/>
      <c r="BT56" s="127"/>
      <c r="BU56" s="127"/>
      <c r="BV56" s="127"/>
      <c r="BW56" s="127"/>
      <c r="BX56" s="127"/>
      <c r="BY56" s="127"/>
      <c r="BZ56" s="127"/>
      <c r="CA56" s="127"/>
      <c r="CB56" s="127"/>
      <c r="CC56" s="127"/>
      <c r="CD56" s="127"/>
      <c r="CE56" s="125" t="s">
        <v>1038</v>
      </c>
    </row>
    <row r="57" spans="1:83" ht="46.15" outlineLevel="1">
      <c r="A57" s="434">
        <v>28</v>
      </c>
      <c r="B57" s="181" t="s">
        <v>1039</v>
      </c>
      <c r="C57" s="127" t="s">
        <v>886</v>
      </c>
      <c r="D57" s="127" t="s">
        <v>1005</v>
      </c>
      <c r="E57" s="127" t="s">
        <v>49</v>
      </c>
      <c r="F57" s="127" t="s">
        <v>922</v>
      </c>
      <c r="G57" s="127" t="s">
        <v>883</v>
      </c>
      <c r="H57" s="127" t="s">
        <v>883</v>
      </c>
      <c r="I57" s="127" t="s">
        <v>48</v>
      </c>
      <c r="J57" s="126" t="s">
        <v>1040</v>
      </c>
      <c r="K57" s="127" t="s">
        <v>84</v>
      </c>
      <c r="L57" s="129">
        <v>2024</v>
      </c>
      <c r="M57" s="127" t="s">
        <v>1041</v>
      </c>
      <c r="N57" s="127" t="s">
        <v>1042</v>
      </c>
      <c r="O57" s="169">
        <v>4525</v>
      </c>
      <c r="P57" s="169"/>
      <c r="Q57" s="169"/>
      <c r="R57" s="169">
        <v>4525</v>
      </c>
      <c r="S57" s="70"/>
      <c r="T57" s="70" t="s">
        <v>883</v>
      </c>
      <c r="U57" s="70"/>
      <c r="V57" s="70"/>
      <c r="W57" s="70"/>
      <c r="X57" s="70"/>
      <c r="Y57" s="169">
        <f t="shared" si="40"/>
        <v>4525</v>
      </c>
      <c r="Z57" s="70"/>
      <c r="AA57" s="70"/>
      <c r="AB57" s="169">
        <f t="shared" si="41"/>
        <v>4525</v>
      </c>
      <c r="AC57" s="169">
        <f t="shared" si="32"/>
        <v>0</v>
      </c>
      <c r="AD57" s="169"/>
      <c r="AE57" s="70"/>
      <c r="AF57" s="169"/>
      <c r="AG57" s="169">
        <v>4525</v>
      </c>
      <c r="AH57" s="169">
        <f t="shared" ref="AH57:AH80" si="54">SUM(AI57:AK57)</f>
        <v>2442.8290569999999</v>
      </c>
      <c r="AI57" s="70"/>
      <c r="AJ57" s="70"/>
      <c r="AK57" s="169">
        <f t="shared" si="34"/>
        <v>2442.8290569999999</v>
      </c>
      <c r="AL57" s="169">
        <f t="shared" si="35"/>
        <v>0</v>
      </c>
      <c r="AM57" s="169"/>
      <c r="AN57" s="169"/>
      <c r="AO57" s="169"/>
      <c r="AP57" s="169">
        <v>2442.8290569999999</v>
      </c>
      <c r="AQ57" s="169">
        <f t="shared" si="49"/>
        <v>2442.8290569999999</v>
      </c>
      <c r="AR57" s="70"/>
      <c r="AS57" s="70"/>
      <c r="AT57" s="169">
        <f t="shared" si="36"/>
        <v>2442.8290569999999</v>
      </c>
      <c r="AU57" s="169">
        <f t="shared" si="37"/>
        <v>0</v>
      </c>
      <c r="AV57" s="169"/>
      <c r="AW57" s="70"/>
      <c r="AX57" s="68"/>
      <c r="AY57" s="70">
        <v>2442.8290569999999</v>
      </c>
      <c r="AZ57" s="70">
        <f t="shared" si="48"/>
        <v>1230</v>
      </c>
      <c r="BA57" s="70"/>
      <c r="BB57" s="70"/>
      <c r="BC57" s="70">
        <f t="shared" si="38"/>
        <v>1230</v>
      </c>
      <c r="BD57" s="169">
        <f t="shared" si="39"/>
        <v>0</v>
      </c>
      <c r="BE57" s="70"/>
      <c r="BF57" s="70"/>
      <c r="BG57" s="70"/>
      <c r="BH57" s="70">
        <v>1230</v>
      </c>
      <c r="BI57" s="127">
        <f t="shared" si="50"/>
        <v>1169.6481060000001</v>
      </c>
      <c r="BJ57" s="127"/>
      <c r="BK57" s="127"/>
      <c r="BL57" s="127">
        <f t="shared" si="51"/>
        <v>1169.6481060000001</v>
      </c>
      <c r="BM57" s="127"/>
      <c r="BN57" s="127"/>
      <c r="BO57" s="127"/>
      <c r="BP57" s="127">
        <v>1169.6481060000001</v>
      </c>
      <c r="BQ57" s="127">
        <f t="shared" ref="BQ57:BQ80" si="55">SUM(BR57:BT57)</f>
        <v>0</v>
      </c>
      <c r="BR57" s="127"/>
      <c r="BS57" s="127"/>
      <c r="BT57" s="127"/>
      <c r="BU57" s="127">
        <f t="shared" ref="BU57:BU61" si="56">SUM(BV57:BX57)</f>
        <v>0</v>
      </c>
      <c r="BV57" s="127"/>
      <c r="BW57" s="127"/>
      <c r="BX57" s="127"/>
      <c r="BY57" s="127"/>
      <c r="BZ57" s="127"/>
      <c r="CA57" s="127"/>
      <c r="CB57" s="127"/>
      <c r="CC57" s="127"/>
      <c r="CD57" s="127"/>
      <c r="CE57" s="125" t="s">
        <v>956</v>
      </c>
    </row>
    <row r="58" spans="1:83" ht="46.15" outlineLevel="1">
      <c r="A58" s="434">
        <v>29</v>
      </c>
      <c r="B58" s="181" t="s">
        <v>1043</v>
      </c>
      <c r="C58" s="127" t="s">
        <v>886</v>
      </c>
      <c r="D58" s="127" t="s">
        <v>1005</v>
      </c>
      <c r="E58" s="127" t="s">
        <v>49</v>
      </c>
      <c r="F58" s="127" t="s">
        <v>999</v>
      </c>
      <c r="G58" s="127" t="s">
        <v>883</v>
      </c>
      <c r="H58" s="127" t="s">
        <v>883</v>
      </c>
      <c r="I58" s="127" t="s">
        <v>890</v>
      </c>
      <c r="J58" s="126" t="s">
        <v>1044</v>
      </c>
      <c r="K58" s="127" t="s">
        <v>84</v>
      </c>
      <c r="L58" s="129">
        <v>2024</v>
      </c>
      <c r="M58" s="127"/>
      <c r="N58" s="127" t="s">
        <v>1045</v>
      </c>
      <c r="O58" s="169">
        <v>1050</v>
      </c>
      <c r="P58" s="169"/>
      <c r="Q58" s="169"/>
      <c r="R58" s="169">
        <v>1050</v>
      </c>
      <c r="S58" s="70"/>
      <c r="T58" s="70" t="s">
        <v>883</v>
      </c>
      <c r="U58" s="70"/>
      <c r="V58" s="70"/>
      <c r="W58" s="70"/>
      <c r="X58" s="70"/>
      <c r="Y58" s="169">
        <f t="shared" si="40"/>
        <v>950</v>
      </c>
      <c r="Z58" s="70"/>
      <c r="AA58" s="70"/>
      <c r="AB58" s="169">
        <f t="shared" si="41"/>
        <v>950</v>
      </c>
      <c r="AC58" s="169">
        <f t="shared" si="32"/>
        <v>0</v>
      </c>
      <c r="AD58" s="169"/>
      <c r="AE58" s="70"/>
      <c r="AF58" s="169"/>
      <c r="AG58" s="169">
        <v>950</v>
      </c>
      <c r="AH58" s="169">
        <f t="shared" si="54"/>
        <v>505.15699999999998</v>
      </c>
      <c r="AI58" s="70"/>
      <c r="AJ58" s="70"/>
      <c r="AK58" s="169">
        <f t="shared" si="34"/>
        <v>505.15699999999998</v>
      </c>
      <c r="AL58" s="169">
        <f t="shared" si="35"/>
        <v>0</v>
      </c>
      <c r="AM58" s="169"/>
      <c r="AN58" s="169"/>
      <c r="AO58" s="169"/>
      <c r="AP58" s="169">
        <v>505.15699999999998</v>
      </c>
      <c r="AQ58" s="169">
        <f t="shared" si="49"/>
        <v>505.15699999999998</v>
      </c>
      <c r="AR58" s="70"/>
      <c r="AS58" s="70"/>
      <c r="AT58" s="169">
        <f t="shared" si="36"/>
        <v>505.15699999999998</v>
      </c>
      <c r="AU58" s="169">
        <f t="shared" si="37"/>
        <v>0</v>
      </c>
      <c r="AV58" s="169"/>
      <c r="AW58" s="70"/>
      <c r="AX58" s="68"/>
      <c r="AY58" s="70">
        <v>505.15699999999998</v>
      </c>
      <c r="AZ58" s="70">
        <f t="shared" si="48"/>
        <v>433.1</v>
      </c>
      <c r="BA58" s="70"/>
      <c r="BB58" s="70"/>
      <c r="BC58" s="70">
        <f t="shared" si="38"/>
        <v>433.1</v>
      </c>
      <c r="BD58" s="169">
        <f t="shared" si="39"/>
        <v>0</v>
      </c>
      <c r="BE58" s="70"/>
      <c r="BF58" s="70"/>
      <c r="BG58" s="70"/>
      <c r="BH58" s="70">
        <v>433.1</v>
      </c>
      <c r="BI58" s="127">
        <f t="shared" si="50"/>
        <v>425.32100000000003</v>
      </c>
      <c r="BJ58" s="127"/>
      <c r="BK58" s="127"/>
      <c r="BL58" s="127">
        <f t="shared" si="51"/>
        <v>425.32100000000003</v>
      </c>
      <c r="BM58" s="127"/>
      <c r="BN58" s="127"/>
      <c r="BO58" s="127"/>
      <c r="BP58" s="127">
        <v>425.32100000000003</v>
      </c>
      <c r="BQ58" s="127">
        <f t="shared" si="55"/>
        <v>0</v>
      </c>
      <c r="BR58" s="127"/>
      <c r="BS58" s="127"/>
      <c r="BT58" s="127"/>
      <c r="BU58" s="127">
        <f t="shared" si="56"/>
        <v>0</v>
      </c>
      <c r="BV58" s="127"/>
      <c r="BW58" s="127"/>
      <c r="BX58" s="127"/>
      <c r="BY58" s="127"/>
      <c r="BZ58" s="127"/>
      <c r="CA58" s="127"/>
      <c r="CB58" s="127"/>
      <c r="CC58" s="127"/>
      <c r="CD58" s="127"/>
      <c r="CE58" s="125" t="s">
        <v>956</v>
      </c>
    </row>
    <row r="59" spans="1:83" ht="46.15" outlineLevel="1">
      <c r="A59" s="434">
        <v>30</v>
      </c>
      <c r="B59" s="181" t="s">
        <v>1046</v>
      </c>
      <c r="C59" s="127" t="s">
        <v>886</v>
      </c>
      <c r="D59" s="127" t="s">
        <v>1005</v>
      </c>
      <c r="E59" s="127" t="s">
        <v>49</v>
      </c>
      <c r="F59" s="127" t="s">
        <v>922</v>
      </c>
      <c r="G59" s="127" t="s">
        <v>883</v>
      </c>
      <c r="H59" s="127" t="s">
        <v>883</v>
      </c>
      <c r="I59" s="127" t="s">
        <v>48</v>
      </c>
      <c r="J59" s="126" t="s">
        <v>1047</v>
      </c>
      <c r="K59" s="127" t="s">
        <v>56</v>
      </c>
      <c r="L59" s="129">
        <v>2023</v>
      </c>
      <c r="M59" s="127" t="s">
        <v>1048</v>
      </c>
      <c r="N59" s="127" t="s">
        <v>1049</v>
      </c>
      <c r="O59" s="169">
        <v>3000</v>
      </c>
      <c r="P59" s="169"/>
      <c r="Q59" s="169"/>
      <c r="R59" s="169">
        <v>3000</v>
      </c>
      <c r="S59" s="70"/>
      <c r="T59" s="70" t="s">
        <v>883</v>
      </c>
      <c r="U59" s="70"/>
      <c r="V59" s="70"/>
      <c r="W59" s="70"/>
      <c r="X59" s="70"/>
      <c r="Y59" s="169">
        <f t="shared" si="40"/>
        <v>3000</v>
      </c>
      <c r="Z59" s="70"/>
      <c r="AA59" s="70"/>
      <c r="AB59" s="169">
        <f t="shared" si="41"/>
        <v>3000</v>
      </c>
      <c r="AC59" s="169">
        <f t="shared" si="32"/>
        <v>0</v>
      </c>
      <c r="AD59" s="169"/>
      <c r="AE59" s="70"/>
      <c r="AF59" s="169"/>
      <c r="AG59" s="169">
        <v>3000</v>
      </c>
      <c r="AH59" s="169">
        <f t="shared" si="54"/>
        <v>2743.1329999999998</v>
      </c>
      <c r="AI59" s="70"/>
      <c r="AJ59" s="70"/>
      <c r="AK59" s="169">
        <f t="shared" si="34"/>
        <v>2743.1329999999998</v>
      </c>
      <c r="AL59" s="169">
        <f t="shared" si="35"/>
        <v>0</v>
      </c>
      <c r="AM59" s="169"/>
      <c r="AN59" s="169"/>
      <c r="AO59" s="169"/>
      <c r="AP59" s="169">
        <v>2743.1329999999998</v>
      </c>
      <c r="AQ59" s="169">
        <f t="shared" si="49"/>
        <v>2743.1329999999998</v>
      </c>
      <c r="AR59" s="70"/>
      <c r="AS59" s="70"/>
      <c r="AT59" s="169">
        <f t="shared" si="36"/>
        <v>2743.1329999999998</v>
      </c>
      <c r="AU59" s="169">
        <f t="shared" si="37"/>
        <v>0</v>
      </c>
      <c r="AV59" s="169"/>
      <c r="AW59" s="70"/>
      <c r="AX59" s="68"/>
      <c r="AY59" s="169">
        <v>2743.1329999999998</v>
      </c>
      <c r="AZ59" s="70">
        <f t="shared" si="48"/>
        <v>0</v>
      </c>
      <c r="BA59" s="70"/>
      <c r="BB59" s="70"/>
      <c r="BC59" s="70">
        <f t="shared" si="38"/>
        <v>0</v>
      </c>
      <c r="BD59" s="169">
        <f t="shared" si="39"/>
        <v>0</v>
      </c>
      <c r="BE59" s="70"/>
      <c r="BF59" s="70"/>
      <c r="BG59" s="70"/>
      <c r="BH59" s="70"/>
      <c r="BI59" s="127">
        <f t="shared" si="50"/>
        <v>0</v>
      </c>
      <c r="BJ59" s="127"/>
      <c r="BK59" s="127"/>
      <c r="BL59" s="127">
        <f t="shared" si="51"/>
        <v>0</v>
      </c>
      <c r="BM59" s="127"/>
      <c r="BN59" s="127"/>
      <c r="BO59" s="127"/>
      <c r="BP59" s="127"/>
      <c r="BQ59" s="127">
        <f t="shared" si="55"/>
        <v>0</v>
      </c>
      <c r="BR59" s="127"/>
      <c r="BS59" s="127"/>
      <c r="BT59" s="127"/>
      <c r="BU59" s="127">
        <f t="shared" si="56"/>
        <v>0</v>
      </c>
      <c r="BV59" s="127"/>
      <c r="BW59" s="127"/>
      <c r="BX59" s="127"/>
      <c r="BY59" s="127"/>
      <c r="BZ59" s="127"/>
      <c r="CA59" s="127"/>
      <c r="CB59" s="127"/>
      <c r="CC59" s="127"/>
      <c r="CD59" s="127"/>
      <c r="CE59" s="125" t="s">
        <v>956</v>
      </c>
    </row>
    <row r="60" spans="1:83" ht="46.15" outlineLevel="1">
      <c r="A60" s="434">
        <v>31</v>
      </c>
      <c r="B60" s="181" t="s">
        <v>1050</v>
      </c>
      <c r="C60" s="127" t="s">
        <v>886</v>
      </c>
      <c r="D60" s="127" t="s">
        <v>1005</v>
      </c>
      <c r="E60" s="127" t="s">
        <v>49</v>
      </c>
      <c r="F60" s="127" t="s">
        <v>922</v>
      </c>
      <c r="G60" s="127" t="s">
        <v>883</v>
      </c>
      <c r="H60" s="127" t="s">
        <v>883</v>
      </c>
      <c r="I60" s="127" t="s">
        <v>48</v>
      </c>
      <c r="J60" s="126"/>
      <c r="K60" s="127" t="s">
        <v>73</v>
      </c>
      <c r="L60" s="129">
        <v>2021</v>
      </c>
      <c r="M60" s="127" t="s">
        <v>1051</v>
      </c>
      <c r="N60" s="127" t="s">
        <v>1052</v>
      </c>
      <c r="O60" s="169">
        <v>2400</v>
      </c>
      <c r="P60" s="169"/>
      <c r="Q60" s="169"/>
      <c r="R60" s="169">
        <v>2100</v>
      </c>
      <c r="S60" s="70" t="s">
        <v>1053</v>
      </c>
      <c r="T60" s="70" t="s">
        <v>883</v>
      </c>
      <c r="U60" s="70"/>
      <c r="V60" s="70"/>
      <c r="W60" s="70"/>
      <c r="X60" s="70"/>
      <c r="Y60" s="169">
        <f t="shared" si="40"/>
        <v>2100</v>
      </c>
      <c r="Z60" s="70"/>
      <c r="AA60" s="70"/>
      <c r="AB60" s="169">
        <f t="shared" si="41"/>
        <v>2100</v>
      </c>
      <c r="AC60" s="169">
        <f t="shared" si="32"/>
        <v>0</v>
      </c>
      <c r="AD60" s="169"/>
      <c r="AE60" s="70"/>
      <c r="AF60" s="169"/>
      <c r="AG60" s="169">
        <v>2100</v>
      </c>
      <c r="AH60" s="169">
        <f t="shared" si="54"/>
        <v>1514.777</v>
      </c>
      <c r="AI60" s="70"/>
      <c r="AJ60" s="70"/>
      <c r="AK60" s="169">
        <f t="shared" si="34"/>
        <v>1514.777</v>
      </c>
      <c r="AL60" s="169">
        <f t="shared" si="35"/>
        <v>0</v>
      </c>
      <c r="AM60" s="169"/>
      <c r="AN60" s="169"/>
      <c r="AO60" s="169"/>
      <c r="AP60" s="169">
        <v>1514.777</v>
      </c>
      <c r="AQ60" s="169">
        <f t="shared" si="49"/>
        <v>1514.777</v>
      </c>
      <c r="AR60" s="70"/>
      <c r="AS60" s="70"/>
      <c r="AT60" s="169">
        <f t="shared" si="36"/>
        <v>1514.777</v>
      </c>
      <c r="AU60" s="169">
        <f t="shared" si="37"/>
        <v>0</v>
      </c>
      <c r="AV60" s="169"/>
      <c r="AW60" s="70"/>
      <c r="AX60" s="68"/>
      <c r="AY60" s="169">
        <v>1514.777</v>
      </c>
      <c r="AZ60" s="70">
        <f t="shared" si="48"/>
        <v>0</v>
      </c>
      <c r="BA60" s="70"/>
      <c r="BB60" s="70"/>
      <c r="BC60" s="70">
        <f t="shared" si="38"/>
        <v>0</v>
      </c>
      <c r="BD60" s="169">
        <f t="shared" si="39"/>
        <v>0</v>
      </c>
      <c r="BE60" s="70"/>
      <c r="BF60" s="70"/>
      <c r="BG60" s="70"/>
      <c r="BH60" s="70"/>
      <c r="BI60" s="127">
        <f t="shared" si="50"/>
        <v>0</v>
      </c>
      <c r="BJ60" s="127"/>
      <c r="BK60" s="127"/>
      <c r="BL60" s="127">
        <f t="shared" si="51"/>
        <v>0</v>
      </c>
      <c r="BM60" s="127"/>
      <c r="BN60" s="127"/>
      <c r="BO60" s="127"/>
      <c r="BP60" s="127"/>
      <c r="BQ60" s="127">
        <f t="shared" si="55"/>
        <v>0</v>
      </c>
      <c r="BR60" s="127"/>
      <c r="BS60" s="127"/>
      <c r="BT60" s="127"/>
      <c r="BU60" s="127">
        <f t="shared" si="56"/>
        <v>0</v>
      </c>
      <c r="BV60" s="127"/>
      <c r="BW60" s="127"/>
      <c r="BX60" s="127"/>
      <c r="BY60" s="127"/>
      <c r="BZ60" s="127"/>
      <c r="CA60" s="127"/>
      <c r="CB60" s="127"/>
      <c r="CC60" s="127"/>
      <c r="CD60" s="127"/>
      <c r="CE60" s="125"/>
    </row>
    <row r="61" spans="1:83" ht="46.15" outlineLevel="1">
      <c r="A61" s="434">
        <v>32</v>
      </c>
      <c r="B61" s="181" t="s">
        <v>1054</v>
      </c>
      <c r="C61" s="127" t="s">
        <v>886</v>
      </c>
      <c r="D61" s="127" t="s">
        <v>1005</v>
      </c>
      <c r="E61" s="127" t="s">
        <v>49</v>
      </c>
      <c r="F61" s="127" t="s">
        <v>922</v>
      </c>
      <c r="G61" s="127" t="s">
        <v>883</v>
      </c>
      <c r="H61" s="127" t="s">
        <v>883</v>
      </c>
      <c r="I61" s="127" t="s">
        <v>82</v>
      </c>
      <c r="J61" s="126"/>
      <c r="K61" s="127" t="s">
        <v>73</v>
      </c>
      <c r="L61" s="129">
        <v>2021</v>
      </c>
      <c r="M61" s="127" t="s">
        <v>1055</v>
      </c>
      <c r="N61" s="127" t="s">
        <v>1056</v>
      </c>
      <c r="O61" s="169">
        <v>2700</v>
      </c>
      <c r="P61" s="169"/>
      <c r="Q61" s="169"/>
      <c r="R61" s="169">
        <v>2508</v>
      </c>
      <c r="S61" s="70" t="s">
        <v>1057</v>
      </c>
      <c r="T61" s="70" t="s">
        <v>883</v>
      </c>
      <c r="U61" s="70"/>
      <c r="V61" s="70"/>
      <c r="W61" s="70"/>
      <c r="X61" s="70"/>
      <c r="Y61" s="169">
        <f t="shared" si="40"/>
        <v>2508</v>
      </c>
      <c r="Z61" s="70"/>
      <c r="AA61" s="70"/>
      <c r="AB61" s="169">
        <f t="shared" si="41"/>
        <v>2508</v>
      </c>
      <c r="AC61" s="169">
        <f t="shared" si="32"/>
        <v>0</v>
      </c>
      <c r="AD61" s="169"/>
      <c r="AE61" s="70"/>
      <c r="AF61" s="169"/>
      <c r="AG61" s="169">
        <v>2508</v>
      </c>
      <c r="AH61" s="169">
        <f t="shared" si="54"/>
        <v>2507.3209999999999</v>
      </c>
      <c r="AI61" s="70"/>
      <c r="AJ61" s="70"/>
      <c r="AK61" s="169">
        <f t="shared" si="34"/>
        <v>2507.3209999999999</v>
      </c>
      <c r="AL61" s="169">
        <f t="shared" si="35"/>
        <v>0</v>
      </c>
      <c r="AM61" s="169"/>
      <c r="AN61" s="169"/>
      <c r="AO61" s="169"/>
      <c r="AP61" s="169">
        <v>2507.3209999999999</v>
      </c>
      <c r="AQ61" s="169">
        <f t="shared" si="49"/>
        <v>2507.3209999999999</v>
      </c>
      <c r="AR61" s="70"/>
      <c r="AS61" s="70"/>
      <c r="AT61" s="169">
        <f t="shared" si="36"/>
        <v>2507.3209999999999</v>
      </c>
      <c r="AU61" s="169">
        <f t="shared" si="37"/>
        <v>0</v>
      </c>
      <c r="AV61" s="169"/>
      <c r="AW61" s="70"/>
      <c r="AX61" s="68"/>
      <c r="AY61" s="169">
        <v>2507.3209999999999</v>
      </c>
      <c r="AZ61" s="70">
        <f t="shared" si="48"/>
        <v>0</v>
      </c>
      <c r="BA61" s="70"/>
      <c r="BB61" s="70"/>
      <c r="BC61" s="70">
        <f t="shared" si="38"/>
        <v>0</v>
      </c>
      <c r="BD61" s="169">
        <f t="shared" si="39"/>
        <v>0</v>
      </c>
      <c r="BE61" s="70"/>
      <c r="BF61" s="70"/>
      <c r="BG61" s="70"/>
      <c r="BH61" s="70"/>
      <c r="BI61" s="127">
        <f t="shared" si="50"/>
        <v>0</v>
      </c>
      <c r="BJ61" s="127"/>
      <c r="BK61" s="127"/>
      <c r="BL61" s="127">
        <f t="shared" si="51"/>
        <v>0</v>
      </c>
      <c r="BM61" s="127"/>
      <c r="BN61" s="127"/>
      <c r="BO61" s="127"/>
      <c r="BP61" s="127"/>
      <c r="BQ61" s="127">
        <f t="shared" si="55"/>
        <v>0</v>
      </c>
      <c r="BR61" s="127"/>
      <c r="BS61" s="127"/>
      <c r="BT61" s="127"/>
      <c r="BU61" s="127">
        <f t="shared" si="56"/>
        <v>0</v>
      </c>
      <c r="BV61" s="127"/>
      <c r="BW61" s="127"/>
      <c r="BX61" s="127"/>
      <c r="BY61" s="127"/>
      <c r="BZ61" s="127"/>
      <c r="CA61" s="127"/>
      <c r="CB61" s="127"/>
      <c r="CC61" s="127"/>
      <c r="CD61" s="127"/>
      <c r="CE61" s="125"/>
    </row>
    <row r="62" spans="1:83" ht="46.15" outlineLevel="1">
      <c r="A62" s="434">
        <v>33</v>
      </c>
      <c r="B62" s="181" t="s">
        <v>1058</v>
      </c>
      <c r="C62" s="127" t="s">
        <v>886</v>
      </c>
      <c r="D62" s="127" t="s">
        <v>1005</v>
      </c>
      <c r="E62" s="127" t="s">
        <v>49</v>
      </c>
      <c r="F62" s="127" t="s">
        <v>922</v>
      </c>
      <c r="G62" s="127" t="s">
        <v>883</v>
      </c>
      <c r="H62" s="127" t="s">
        <v>883</v>
      </c>
      <c r="I62" s="127" t="s">
        <v>82</v>
      </c>
      <c r="J62" s="126"/>
      <c r="K62" s="127" t="s">
        <v>73</v>
      </c>
      <c r="L62" s="129">
        <v>2021</v>
      </c>
      <c r="M62" s="127" t="s">
        <v>1059</v>
      </c>
      <c r="N62" s="127" t="s">
        <v>1060</v>
      </c>
      <c r="O62" s="169">
        <v>4990</v>
      </c>
      <c r="P62" s="169"/>
      <c r="Q62" s="169"/>
      <c r="R62" s="169">
        <v>4600</v>
      </c>
      <c r="S62" s="70" t="s">
        <v>1061</v>
      </c>
      <c r="T62" s="70" t="s">
        <v>883</v>
      </c>
      <c r="U62" s="70"/>
      <c r="V62" s="70"/>
      <c r="W62" s="70"/>
      <c r="X62" s="70"/>
      <c r="Y62" s="169">
        <f t="shared" si="40"/>
        <v>4600</v>
      </c>
      <c r="Z62" s="70"/>
      <c r="AA62" s="70"/>
      <c r="AB62" s="169">
        <f t="shared" si="41"/>
        <v>4600</v>
      </c>
      <c r="AC62" s="169">
        <f t="shared" si="32"/>
        <v>0</v>
      </c>
      <c r="AD62" s="169"/>
      <c r="AE62" s="70"/>
      <c r="AF62" s="169"/>
      <c r="AG62" s="169">
        <v>4600</v>
      </c>
      <c r="AH62" s="169">
        <f t="shared" si="54"/>
        <v>4035.5277999999998</v>
      </c>
      <c r="AI62" s="70"/>
      <c r="AJ62" s="70"/>
      <c r="AK62" s="169">
        <f t="shared" si="34"/>
        <v>4035.5277999999998</v>
      </c>
      <c r="AL62" s="169">
        <f t="shared" si="35"/>
        <v>0</v>
      </c>
      <c r="AM62" s="169"/>
      <c r="AN62" s="169"/>
      <c r="AO62" s="169"/>
      <c r="AP62" s="169">
        <v>4035.5277999999998</v>
      </c>
      <c r="AQ62" s="169">
        <f t="shared" si="49"/>
        <v>4035.5277999999998</v>
      </c>
      <c r="AR62" s="70"/>
      <c r="AS62" s="70"/>
      <c r="AT62" s="169">
        <f t="shared" si="36"/>
        <v>4035.5277999999998</v>
      </c>
      <c r="AU62" s="169">
        <f t="shared" si="37"/>
        <v>0</v>
      </c>
      <c r="AV62" s="169"/>
      <c r="AW62" s="70"/>
      <c r="AX62" s="68"/>
      <c r="AY62" s="169">
        <v>4035.5277999999998</v>
      </c>
      <c r="AZ62" s="70">
        <f t="shared" si="48"/>
        <v>0</v>
      </c>
      <c r="BA62" s="70"/>
      <c r="BB62" s="70"/>
      <c r="BC62" s="70">
        <f t="shared" si="38"/>
        <v>0</v>
      </c>
      <c r="BD62" s="169">
        <f t="shared" si="39"/>
        <v>0</v>
      </c>
      <c r="BE62" s="70"/>
      <c r="BF62" s="70"/>
      <c r="BG62" s="70"/>
      <c r="BH62" s="70"/>
      <c r="BI62" s="127">
        <f t="shared" si="50"/>
        <v>0</v>
      </c>
      <c r="BJ62" s="127"/>
      <c r="BK62" s="127"/>
      <c r="BL62" s="127">
        <f t="shared" si="51"/>
        <v>0</v>
      </c>
      <c r="BM62" s="127"/>
      <c r="BN62" s="127"/>
      <c r="BO62" s="127"/>
      <c r="BP62" s="127"/>
      <c r="BQ62" s="127">
        <f t="shared" si="55"/>
        <v>0</v>
      </c>
      <c r="BR62" s="127"/>
      <c r="BS62" s="127"/>
      <c r="BT62" s="127"/>
      <c r="BU62" s="127"/>
      <c r="BV62" s="127"/>
      <c r="BW62" s="127"/>
      <c r="BX62" s="127"/>
      <c r="BY62" s="127"/>
      <c r="BZ62" s="127"/>
      <c r="CA62" s="127"/>
      <c r="CB62" s="127"/>
      <c r="CC62" s="127"/>
      <c r="CD62" s="127"/>
      <c r="CE62" s="125"/>
    </row>
    <row r="63" spans="1:83" ht="46.15" outlineLevel="1">
      <c r="A63" s="434">
        <v>34</v>
      </c>
      <c r="B63" s="181" t="s">
        <v>1062</v>
      </c>
      <c r="C63" s="127" t="s">
        <v>886</v>
      </c>
      <c r="D63" s="127" t="s">
        <v>1005</v>
      </c>
      <c r="E63" s="127" t="s">
        <v>49</v>
      </c>
      <c r="F63" s="127" t="s">
        <v>922</v>
      </c>
      <c r="G63" s="127" t="s">
        <v>883</v>
      </c>
      <c r="H63" s="127" t="s">
        <v>883</v>
      </c>
      <c r="I63" s="127" t="s">
        <v>890</v>
      </c>
      <c r="J63" s="126"/>
      <c r="K63" s="127" t="s">
        <v>906</v>
      </c>
      <c r="L63" s="129">
        <v>2022</v>
      </c>
      <c r="M63" s="127" t="s">
        <v>1063</v>
      </c>
      <c r="N63" s="127" t="s">
        <v>1064</v>
      </c>
      <c r="O63" s="169">
        <v>800</v>
      </c>
      <c r="P63" s="169"/>
      <c r="Q63" s="169"/>
      <c r="R63" s="169">
        <v>800</v>
      </c>
      <c r="S63" s="70" t="s">
        <v>1065</v>
      </c>
      <c r="T63" s="70" t="s">
        <v>883</v>
      </c>
      <c r="U63" s="70"/>
      <c r="V63" s="70"/>
      <c r="W63" s="70"/>
      <c r="X63" s="70"/>
      <c r="Y63" s="169">
        <f t="shared" si="40"/>
        <v>800</v>
      </c>
      <c r="Z63" s="70"/>
      <c r="AA63" s="70"/>
      <c r="AB63" s="169">
        <f t="shared" si="41"/>
        <v>800</v>
      </c>
      <c r="AC63" s="169">
        <f t="shared" si="32"/>
        <v>0</v>
      </c>
      <c r="AD63" s="169"/>
      <c r="AE63" s="70"/>
      <c r="AF63" s="169"/>
      <c r="AG63" s="169">
        <v>800</v>
      </c>
      <c r="AH63" s="169">
        <f t="shared" si="54"/>
        <v>783.23900000000003</v>
      </c>
      <c r="AI63" s="70"/>
      <c r="AJ63" s="70"/>
      <c r="AK63" s="169">
        <f t="shared" si="34"/>
        <v>783.23900000000003</v>
      </c>
      <c r="AL63" s="169">
        <f t="shared" si="35"/>
        <v>0</v>
      </c>
      <c r="AM63" s="169"/>
      <c r="AN63" s="169"/>
      <c r="AO63" s="169"/>
      <c r="AP63" s="169">
        <v>783.23900000000003</v>
      </c>
      <c r="AQ63" s="169">
        <f t="shared" si="49"/>
        <v>783.23900000000003</v>
      </c>
      <c r="AR63" s="70"/>
      <c r="AS63" s="70"/>
      <c r="AT63" s="169">
        <f t="shared" si="36"/>
        <v>783.23900000000003</v>
      </c>
      <c r="AU63" s="169">
        <f t="shared" si="37"/>
        <v>0</v>
      </c>
      <c r="AV63" s="169"/>
      <c r="AW63" s="70"/>
      <c r="AX63" s="68"/>
      <c r="AY63" s="169">
        <v>783.23900000000003</v>
      </c>
      <c r="AZ63" s="70">
        <f t="shared" si="48"/>
        <v>0</v>
      </c>
      <c r="BA63" s="70"/>
      <c r="BB63" s="70"/>
      <c r="BC63" s="70">
        <f t="shared" si="38"/>
        <v>0</v>
      </c>
      <c r="BD63" s="169">
        <f t="shared" si="39"/>
        <v>0</v>
      </c>
      <c r="BE63" s="70"/>
      <c r="BF63" s="70"/>
      <c r="BG63" s="70"/>
      <c r="BH63" s="70"/>
      <c r="BI63" s="127">
        <f t="shared" si="50"/>
        <v>0</v>
      </c>
      <c r="BJ63" s="127"/>
      <c r="BK63" s="127"/>
      <c r="BL63" s="127">
        <f t="shared" si="51"/>
        <v>0</v>
      </c>
      <c r="BM63" s="127"/>
      <c r="BN63" s="127"/>
      <c r="BO63" s="127"/>
      <c r="BP63" s="127"/>
      <c r="BQ63" s="127">
        <f t="shared" si="55"/>
        <v>0</v>
      </c>
      <c r="BR63" s="127"/>
      <c r="BS63" s="127"/>
      <c r="BT63" s="127"/>
      <c r="BU63" s="127"/>
      <c r="BV63" s="127"/>
      <c r="BW63" s="127"/>
      <c r="BX63" s="127"/>
      <c r="BY63" s="127"/>
      <c r="BZ63" s="127"/>
      <c r="CA63" s="127"/>
      <c r="CB63" s="127"/>
      <c r="CC63" s="127"/>
      <c r="CD63" s="127"/>
      <c r="CE63" s="125"/>
    </row>
    <row r="64" spans="1:83" ht="46.15" outlineLevel="1">
      <c r="A64" s="434">
        <v>35</v>
      </c>
      <c r="B64" s="181" t="s">
        <v>1066</v>
      </c>
      <c r="C64" s="127" t="s">
        <v>77</v>
      </c>
      <c r="D64" s="127" t="s">
        <v>1005</v>
      </c>
      <c r="E64" s="127" t="s">
        <v>49</v>
      </c>
      <c r="F64" s="127" t="s">
        <v>922</v>
      </c>
      <c r="G64" s="127" t="s">
        <v>883</v>
      </c>
      <c r="H64" s="127" t="s">
        <v>883</v>
      </c>
      <c r="I64" s="127" t="s">
        <v>890</v>
      </c>
      <c r="J64" s="126"/>
      <c r="K64" s="127" t="s">
        <v>906</v>
      </c>
      <c r="L64" s="129">
        <v>2022</v>
      </c>
      <c r="M64" s="127" t="s">
        <v>1067</v>
      </c>
      <c r="N64" s="127" t="s">
        <v>1068</v>
      </c>
      <c r="O64" s="169">
        <v>700</v>
      </c>
      <c r="P64" s="169"/>
      <c r="Q64" s="169"/>
      <c r="R64" s="169">
        <v>700</v>
      </c>
      <c r="S64" s="70"/>
      <c r="T64" s="70" t="s">
        <v>883</v>
      </c>
      <c r="U64" s="70"/>
      <c r="V64" s="70"/>
      <c r="W64" s="70"/>
      <c r="X64" s="70"/>
      <c r="Y64" s="169">
        <f t="shared" si="40"/>
        <v>700</v>
      </c>
      <c r="Z64" s="70"/>
      <c r="AA64" s="70"/>
      <c r="AB64" s="169">
        <f t="shared" si="41"/>
        <v>700</v>
      </c>
      <c r="AC64" s="169">
        <f t="shared" si="32"/>
        <v>0</v>
      </c>
      <c r="AD64" s="169"/>
      <c r="AE64" s="70"/>
      <c r="AF64" s="169"/>
      <c r="AG64" s="169">
        <v>700</v>
      </c>
      <c r="AH64" s="169">
        <f t="shared" si="54"/>
        <v>695</v>
      </c>
      <c r="AI64" s="70"/>
      <c r="AJ64" s="70"/>
      <c r="AK64" s="169">
        <f t="shared" si="34"/>
        <v>695</v>
      </c>
      <c r="AL64" s="169">
        <f t="shared" si="35"/>
        <v>0</v>
      </c>
      <c r="AM64" s="169"/>
      <c r="AN64" s="169"/>
      <c r="AO64" s="169"/>
      <c r="AP64" s="169">
        <v>695</v>
      </c>
      <c r="AQ64" s="169">
        <f t="shared" si="49"/>
        <v>695</v>
      </c>
      <c r="AR64" s="70"/>
      <c r="AS64" s="70"/>
      <c r="AT64" s="169">
        <f t="shared" si="36"/>
        <v>695</v>
      </c>
      <c r="AU64" s="169">
        <f t="shared" si="37"/>
        <v>0</v>
      </c>
      <c r="AV64" s="169"/>
      <c r="AW64" s="70"/>
      <c r="AX64" s="68"/>
      <c r="AY64" s="169">
        <v>695</v>
      </c>
      <c r="AZ64" s="70">
        <f t="shared" si="48"/>
        <v>0</v>
      </c>
      <c r="BA64" s="70"/>
      <c r="BB64" s="70"/>
      <c r="BC64" s="70">
        <f t="shared" si="38"/>
        <v>0</v>
      </c>
      <c r="BD64" s="169">
        <f t="shared" si="39"/>
        <v>0</v>
      </c>
      <c r="BE64" s="70"/>
      <c r="BF64" s="70"/>
      <c r="BG64" s="70"/>
      <c r="BH64" s="70"/>
      <c r="BI64" s="127">
        <f t="shared" si="50"/>
        <v>0</v>
      </c>
      <c r="BJ64" s="127"/>
      <c r="BK64" s="127"/>
      <c r="BL64" s="127">
        <f t="shared" si="51"/>
        <v>0</v>
      </c>
      <c r="BM64" s="127"/>
      <c r="BN64" s="127"/>
      <c r="BO64" s="127"/>
      <c r="BP64" s="127"/>
      <c r="BQ64" s="127">
        <f t="shared" si="55"/>
        <v>0</v>
      </c>
      <c r="BR64" s="127"/>
      <c r="BS64" s="127"/>
      <c r="BT64" s="127"/>
      <c r="BU64" s="127"/>
      <c r="BV64" s="127"/>
      <c r="BW64" s="127"/>
      <c r="BX64" s="127"/>
      <c r="BY64" s="127"/>
      <c r="BZ64" s="127"/>
      <c r="CA64" s="127"/>
      <c r="CB64" s="127"/>
      <c r="CC64" s="127"/>
      <c r="CD64" s="127"/>
      <c r="CE64" s="125"/>
    </row>
    <row r="65" spans="1:83" ht="46.15" outlineLevel="1">
      <c r="A65" s="126">
        <v>36</v>
      </c>
      <c r="B65" s="181" t="s">
        <v>1069</v>
      </c>
      <c r="C65" s="127" t="s">
        <v>1070</v>
      </c>
      <c r="D65" s="127" t="s">
        <v>1005</v>
      </c>
      <c r="E65" s="127" t="s">
        <v>49</v>
      </c>
      <c r="F65" s="127" t="s">
        <v>922</v>
      </c>
      <c r="G65" s="127" t="s">
        <v>883</v>
      </c>
      <c r="H65" s="127" t="s">
        <v>883</v>
      </c>
      <c r="I65" s="127" t="s">
        <v>890</v>
      </c>
      <c r="J65" s="126"/>
      <c r="K65" s="127" t="s">
        <v>906</v>
      </c>
      <c r="L65" s="129">
        <v>2022</v>
      </c>
      <c r="M65" s="127" t="s">
        <v>1071</v>
      </c>
      <c r="N65" s="127" t="s">
        <v>1072</v>
      </c>
      <c r="O65" s="169">
        <v>300</v>
      </c>
      <c r="P65" s="169"/>
      <c r="Q65" s="169"/>
      <c r="R65" s="169">
        <v>300</v>
      </c>
      <c r="S65" s="70"/>
      <c r="T65" s="70" t="s">
        <v>883</v>
      </c>
      <c r="U65" s="70"/>
      <c r="V65" s="70"/>
      <c r="W65" s="70"/>
      <c r="X65" s="70"/>
      <c r="Y65" s="169">
        <f t="shared" si="40"/>
        <v>300</v>
      </c>
      <c r="Z65" s="70"/>
      <c r="AA65" s="70"/>
      <c r="AB65" s="169">
        <f t="shared" si="41"/>
        <v>300</v>
      </c>
      <c r="AC65" s="169">
        <f t="shared" si="32"/>
        <v>0</v>
      </c>
      <c r="AD65" s="169"/>
      <c r="AE65" s="70"/>
      <c r="AF65" s="169"/>
      <c r="AG65" s="169">
        <v>300</v>
      </c>
      <c r="AH65" s="169">
        <f t="shared" si="54"/>
        <v>299</v>
      </c>
      <c r="AI65" s="70"/>
      <c r="AJ65" s="70"/>
      <c r="AK65" s="169">
        <f t="shared" si="34"/>
        <v>299</v>
      </c>
      <c r="AL65" s="169">
        <f t="shared" si="35"/>
        <v>0</v>
      </c>
      <c r="AM65" s="169"/>
      <c r="AN65" s="169"/>
      <c r="AO65" s="169"/>
      <c r="AP65" s="169">
        <v>299</v>
      </c>
      <c r="AQ65" s="169">
        <f t="shared" si="49"/>
        <v>299</v>
      </c>
      <c r="AR65" s="70"/>
      <c r="AS65" s="70"/>
      <c r="AT65" s="169">
        <f t="shared" si="36"/>
        <v>299</v>
      </c>
      <c r="AU65" s="169">
        <f t="shared" si="37"/>
        <v>0</v>
      </c>
      <c r="AV65" s="169"/>
      <c r="AW65" s="70"/>
      <c r="AX65" s="68"/>
      <c r="AY65" s="169">
        <v>299</v>
      </c>
      <c r="AZ65" s="70">
        <f t="shared" si="48"/>
        <v>0</v>
      </c>
      <c r="BA65" s="70"/>
      <c r="BB65" s="70"/>
      <c r="BC65" s="70">
        <f t="shared" si="38"/>
        <v>0</v>
      </c>
      <c r="BD65" s="169">
        <f t="shared" si="39"/>
        <v>0</v>
      </c>
      <c r="BE65" s="70"/>
      <c r="BF65" s="70"/>
      <c r="BG65" s="70"/>
      <c r="BH65" s="70"/>
      <c r="BI65" s="127">
        <f t="shared" si="50"/>
        <v>0</v>
      </c>
      <c r="BJ65" s="127"/>
      <c r="BK65" s="127"/>
      <c r="BL65" s="127">
        <f t="shared" si="51"/>
        <v>0</v>
      </c>
      <c r="BM65" s="127"/>
      <c r="BN65" s="127"/>
      <c r="BO65" s="127"/>
      <c r="BP65" s="127"/>
      <c r="BQ65" s="127">
        <f t="shared" si="55"/>
        <v>0</v>
      </c>
      <c r="BR65" s="127"/>
      <c r="BS65" s="127"/>
      <c r="BT65" s="127"/>
      <c r="BU65" s="127"/>
      <c r="BV65" s="127"/>
      <c r="BW65" s="127"/>
      <c r="BX65" s="127"/>
      <c r="BY65" s="127"/>
      <c r="BZ65" s="127"/>
      <c r="CA65" s="127"/>
      <c r="CB65" s="127"/>
      <c r="CC65" s="127"/>
      <c r="CD65" s="127"/>
      <c r="CE65" s="125"/>
    </row>
    <row r="66" spans="1:83" ht="46.15" outlineLevel="1">
      <c r="A66" s="126">
        <v>37</v>
      </c>
      <c r="B66" s="181" t="s">
        <v>1073</v>
      </c>
      <c r="C66" s="127" t="s">
        <v>1074</v>
      </c>
      <c r="D66" s="127" t="s">
        <v>1005</v>
      </c>
      <c r="E66" s="127" t="s">
        <v>49</v>
      </c>
      <c r="F66" s="127" t="s">
        <v>922</v>
      </c>
      <c r="G66" s="127" t="s">
        <v>883</v>
      </c>
      <c r="H66" s="127" t="s">
        <v>883</v>
      </c>
      <c r="I66" s="127" t="s">
        <v>890</v>
      </c>
      <c r="J66" s="126"/>
      <c r="K66" s="127" t="s">
        <v>906</v>
      </c>
      <c r="L66" s="129">
        <v>2022</v>
      </c>
      <c r="M66" s="127" t="s">
        <v>1075</v>
      </c>
      <c r="N66" s="127" t="s">
        <v>1076</v>
      </c>
      <c r="O66" s="169">
        <v>240</v>
      </c>
      <c r="P66" s="169"/>
      <c r="Q66" s="169"/>
      <c r="R66" s="169">
        <v>240</v>
      </c>
      <c r="S66" s="70"/>
      <c r="T66" s="70" t="s">
        <v>883</v>
      </c>
      <c r="U66" s="70"/>
      <c r="V66" s="70"/>
      <c r="W66" s="70"/>
      <c r="X66" s="70"/>
      <c r="Y66" s="169">
        <f t="shared" si="40"/>
        <v>240</v>
      </c>
      <c r="Z66" s="70"/>
      <c r="AA66" s="70"/>
      <c r="AB66" s="169">
        <f t="shared" si="41"/>
        <v>240</v>
      </c>
      <c r="AC66" s="169">
        <f t="shared" si="32"/>
        <v>0</v>
      </c>
      <c r="AD66" s="169"/>
      <c r="AE66" s="70"/>
      <c r="AF66" s="169"/>
      <c r="AG66" s="169">
        <v>240</v>
      </c>
      <c r="AH66" s="169">
        <f t="shared" si="54"/>
        <v>239</v>
      </c>
      <c r="AI66" s="70"/>
      <c r="AJ66" s="70"/>
      <c r="AK66" s="169">
        <f t="shared" si="34"/>
        <v>239</v>
      </c>
      <c r="AL66" s="169">
        <f t="shared" si="35"/>
        <v>0</v>
      </c>
      <c r="AM66" s="169"/>
      <c r="AN66" s="169"/>
      <c r="AO66" s="169"/>
      <c r="AP66" s="169">
        <v>239</v>
      </c>
      <c r="AQ66" s="169">
        <f t="shared" si="49"/>
        <v>239</v>
      </c>
      <c r="AR66" s="70"/>
      <c r="AS66" s="70"/>
      <c r="AT66" s="169">
        <f t="shared" si="36"/>
        <v>239</v>
      </c>
      <c r="AU66" s="169">
        <f t="shared" si="37"/>
        <v>0</v>
      </c>
      <c r="AV66" s="169"/>
      <c r="AW66" s="70"/>
      <c r="AX66" s="68"/>
      <c r="AY66" s="169">
        <v>239</v>
      </c>
      <c r="AZ66" s="70">
        <f t="shared" si="48"/>
        <v>0</v>
      </c>
      <c r="BA66" s="70"/>
      <c r="BB66" s="70"/>
      <c r="BC66" s="70">
        <f t="shared" si="38"/>
        <v>0</v>
      </c>
      <c r="BD66" s="169">
        <f t="shared" si="39"/>
        <v>0</v>
      </c>
      <c r="BE66" s="70"/>
      <c r="BF66" s="70"/>
      <c r="BG66" s="70"/>
      <c r="BH66" s="70"/>
      <c r="BI66" s="127">
        <f t="shared" si="50"/>
        <v>0</v>
      </c>
      <c r="BJ66" s="127"/>
      <c r="BK66" s="127"/>
      <c r="BL66" s="127">
        <f t="shared" si="51"/>
        <v>0</v>
      </c>
      <c r="BM66" s="127"/>
      <c r="BN66" s="127"/>
      <c r="BO66" s="127"/>
      <c r="BP66" s="127"/>
      <c r="BQ66" s="127">
        <f t="shared" si="55"/>
        <v>0</v>
      </c>
      <c r="BR66" s="127"/>
      <c r="BS66" s="127"/>
      <c r="BT66" s="127"/>
      <c r="BU66" s="127"/>
      <c r="BV66" s="127"/>
      <c r="BW66" s="127"/>
      <c r="BX66" s="127"/>
      <c r="BY66" s="127"/>
      <c r="BZ66" s="127"/>
      <c r="CA66" s="127"/>
      <c r="CB66" s="127"/>
      <c r="CC66" s="127"/>
      <c r="CD66" s="127"/>
      <c r="CE66" s="125"/>
    </row>
    <row r="67" spans="1:83" ht="46.15" outlineLevel="1">
      <c r="A67" s="126">
        <v>38</v>
      </c>
      <c r="B67" s="181" t="s">
        <v>1077</v>
      </c>
      <c r="C67" s="127" t="s">
        <v>1078</v>
      </c>
      <c r="D67" s="127" t="s">
        <v>1005</v>
      </c>
      <c r="E67" s="127" t="s">
        <v>49</v>
      </c>
      <c r="F67" s="127" t="s">
        <v>922</v>
      </c>
      <c r="G67" s="127" t="s">
        <v>883</v>
      </c>
      <c r="H67" s="127" t="s">
        <v>883</v>
      </c>
      <c r="I67" s="127" t="s">
        <v>890</v>
      </c>
      <c r="J67" s="126"/>
      <c r="K67" s="127" t="s">
        <v>906</v>
      </c>
      <c r="L67" s="129">
        <v>2022</v>
      </c>
      <c r="M67" s="127" t="s">
        <v>1079</v>
      </c>
      <c r="N67" s="127" t="s">
        <v>1080</v>
      </c>
      <c r="O67" s="169">
        <v>135</v>
      </c>
      <c r="P67" s="169"/>
      <c r="Q67" s="169"/>
      <c r="R67" s="169">
        <v>135</v>
      </c>
      <c r="S67" s="70"/>
      <c r="T67" s="70" t="s">
        <v>883</v>
      </c>
      <c r="U67" s="70"/>
      <c r="V67" s="70"/>
      <c r="W67" s="70"/>
      <c r="X67" s="70"/>
      <c r="Y67" s="169">
        <f t="shared" si="40"/>
        <v>135</v>
      </c>
      <c r="Z67" s="70"/>
      <c r="AA67" s="70"/>
      <c r="AB67" s="169">
        <f t="shared" si="41"/>
        <v>135</v>
      </c>
      <c r="AC67" s="169">
        <f t="shared" si="32"/>
        <v>0</v>
      </c>
      <c r="AD67" s="169"/>
      <c r="AE67" s="70"/>
      <c r="AF67" s="169"/>
      <c r="AG67" s="169">
        <v>135</v>
      </c>
      <c r="AH67" s="169">
        <f t="shared" si="54"/>
        <v>132</v>
      </c>
      <c r="AI67" s="70"/>
      <c r="AJ67" s="70"/>
      <c r="AK67" s="169">
        <f t="shared" si="34"/>
        <v>132</v>
      </c>
      <c r="AL67" s="169">
        <f t="shared" si="35"/>
        <v>0</v>
      </c>
      <c r="AM67" s="169"/>
      <c r="AN67" s="169"/>
      <c r="AO67" s="169"/>
      <c r="AP67" s="169">
        <v>132</v>
      </c>
      <c r="AQ67" s="169">
        <f t="shared" si="49"/>
        <v>132</v>
      </c>
      <c r="AR67" s="70"/>
      <c r="AS67" s="70"/>
      <c r="AT67" s="169">
        <f t="shared" si="36"/>
        <v>132</v>
      </c>
      <c r="AU67" s="169">
        <f t="shared" si="37"/>
        <v>0</v>
      </c>
      <c r="AV67" s="169"/>
      <c r="AW67" s="70"/>
      <c r="AX67" s="68"/>
      <c r="AY67" s="169">
        <v>132</v>
      </c>
      <c r="AZ67" s="70">
        <f t="shared" si="48"/>
        <v>0</v>
      </c>
      <c r="BA67" s="70"/>
      <c r="BB67" s="70"/>
      <c r="BC67" s="70">
        <f t="shared" si="38"/>
        <v>0</v>
      </c>
      <c r="BD67" s="169">
        <f t="shared" si="39"/>
        <v>0</v>
      </c>
      <c r="BE67" s="70"/>
      <c r="BF67" s="70"/>
      <c r="BG67" s="70"/>
      <c r="BH67" s="70"/>
      <c r="BI67" s="127">
        <f t="shared" si="50"/>
        <v>0</v>
      </c>
      <c r="BJ67" s="127"/>
      <c r="BK67" s="127"/>
      <c r="BL67" s="127">
        <f t="shared" si="51"/>
        <v>0</v>
      </c>
      <c r="BM67" s="127"/>
      <c r="BN67" s="127"/>
      <c r="BO67" s="127"/>
      <c r="BP67" s="127"/>
      <c r="BQ67" s="127">
        <f t="shared" si="55"/>
        <v>0</v>
      </c>
      <c r="BR67" s="127"/>
      <c r="BS67" s="127"/>
      <c r="BT67" s="127"/>
      <c r="BU67" s="127"/>
      <c r="BV67" s="127"/>
      <c r="BW67" s="127"/>
      <c r="BX67" s="127"/>
      <c r="BY67" s="127"/>
      <c r="BZ67" s="127"/>
      <c r="CA67" s="127"/>
      <c r="CB67" s="127"/>
      <c r="CC67" s="127"/>
      <c r="CD67" s="127"/>
      <c r="CE67" s="125"/>
    </row>
    <row r="68" spans="1:83" ht="46.15" outlineLevel="1">
      <c r="A68" s="126">
        <v>39</v>
      </c>
      <c r="B68" s="181" t="s">
        <v>1081</v>
      </c>
      <c r="C68" s="127" t="s">
        <v>886</v>
      </c>
      <c r="D68" s="127" t="s">
        <v>1005</v>
      </c>
      <c r="E68" s="127" t="s">
        <v>49</v>
      </c>
      <c r="F68" s="127" t="s">
        <v>922</v>
      </c>
      <c r="G68" s="127" t="s">
        <v>883</v>
      </c>
      <c r="H68" s="127" t="s">
        <v>883</v>
      </c>
      <c r="I68" s="127" t="s">
        <v>890</v>
      </c>
      <c r="J68" s="126"/>
      <c r="K68" s="127" t="s">
        <v>906</v>
      </c>
      <c r="L68" s="129">
        <v>2022</v>
      </c>
      <c r="M68" s="127" t="s">
        <v>1082</v>
      </c>
      <c r="N68" s="127" t="s">
        <v>1083</v>
      </c>
      <c r="O68" s="169">
        <v>550</v>
      </c>
      <c r="P68" s="169"/>
      <c r="Q68" s="169"/>
      <c r="R68" s="169">
        <v>550</v>
      </c>
      <c r="S68" s="70" t="s">
        <v>1084</v>
      </c>
      <c r="T68" s="70" t="s">
        <v>883</v>
      </c>
      <c r="U68" s="70"/>
      <c r="V68" s="70"/>
      <c r="W68" s="70"/>
      <c r="X68" s="70"/>
      <c r="Y68" s="169">
        <f t="shared" si="40"/>
        <v>550</v>
      </c>
      <c r="Z68" s="70"/>
      <c r="AA68" s="70"/>
      <c r="AB68" s="169">
        <f t="shared" si="41"/>
        <v>550</v>
      </c>
      <c r="AC68" s="169">
        <f t="shared" si="32"/>
        <v>0</v>
      </c>
      <c r="AD68" s="169"/>
      <c r="AE68" s="70"/>
      <c r="AF68" s="169"/>
      <c r="AG68" s="169">
        <v>550</v>
      </c>
      <c r="AH68" s="169">
        <f t="shared" si="54"/>
        <v>549.78899999999999</v>
      </c>
      <c r="AI68" s="70"/>
      <c r="AJ68" s="70"/>
      <c r="AK68" s="169">
        <f t="shared" si="34"/>
        <v>549.78899999999999</v>
      </c>
      <c r="AL68" s="169">
        <f t="shared" si="35"/>
        <v>0</v>
      </c>
      <c r="AM68" s="169"/>
      <c r="AN68" s="169"/>
      <c r="AO68" s="169"/>
      <c r="AP68" s="169">
        <v>549.78899999999999</v>
      </c>
      <c r="AQ68" s="169">
        <f t="shared" si="49"/>
        <v>549.78899999999999</v>
      </c>
      <c r="AR68" s="70"/>
      <c r="AS68" s="70"/>
      <c r="AT68" s="169">
        <f t="shared" si="36"/>
        <v>549.78899999999999</v>
      </c>
      <c r="AU68" s="169">
        <f t="shared" si="37"/>
        <v>0</v>
      </c>
      <c r="AV68" s="169"/>
      <c r="AW68" s="70"/>
      <c r="AX68" s="68"/>
      <c r="AY68" s="169">
        <v>549.78899999999999</v>
      </c>
      <c r="AZ68" s="70">
        <f t="shared" si="48"/>
        <v>0</v>
      </c>
      <c r="BA68" s="70"/>
      <c r="BB68" s="70"/>
      <c r="BC68" s="70">
        <f t="shared" si="38"/>
        <v>0</v>
      </c>
      <c r="BD68" s="169">
        <f t="shared" si="39"/>
        <v>0</v>
      </c>
      <c r="BE68" s="70"/>
      <c r="BF68" s="70"/>
      <c r="BG68" s="70"/>
      <c r="BH68" s="70"/>
      <c r="BI68" s="127">
        <f t="shared" si="50"/>
        <v>0</v>
      </c>
      <c r="BJ68" s="127"/>
      <c r="BK68" s="127"/>
      <c r="BL68" s="127">
        <f t="shared" si="51"/>
        <v>0</v>
      </c>
      <c r="BM68" s="127"/>
      <c r="BN68" s="127"/>
      <c r="BO68" s="127"/>
      <c r="BP68" s="127"/>
      <c r="BQ68" s="127">
        <f t="shared" si="55"/>
        <v>0</v>
      </c>
      <c r="BR68" s="127"/>
      <c r="BS68" s="127"/>
      <c r="BT68" s="127"/>
      <c r="BU68" s="127"/>
      <c r="BV68" s="127"/>
      <c r="BW68" s="127"/>
      <c r="BX68" s="127"/>
      <c r="BY68" s="127"/>
      <c r="BZ68" s="127"/>
      <c r="CA68" s="127"/>
      <c r="CB68" s="127"/>
      <c r="CC68" s="127"/>
      <c r="CD68" s="127"/>
      <c r="CE68" s="125"/>
    </row>
    <row r="69" spans="1:83" ht="46.15" outlineLevel="1">
      <c r="A69" s="126">
        <v>40</v>
      </c>
      <c r="B69" s="181" t="s">
        <v>1085</v>
      </c>
      <c r="C69" s="127" t="s">
        <v>886</v>
      </c>
      <c r="D69" s="127" t="s">
        <v>1005</v>
      </c>
      <c r="E69" s="127" t="s">
        <v>49</v>
      </c>
      <c r="F69" s="127" t="s">
        <v>922</v>
      </c>
      <c r="G69" s="127" t="s">
        <v>883</v>
      </c>
      <c r="H69" s="127" t="s">
        <v>883</v>
      </c>
      <c r="I69" s="127" t="s">
        <v>82</v>
      </c>
      <c r="J69" s="126"/>
      <c r="K69" s="127" t="s">
        <v>76</v>
      </c>
      <c r="L69" s="129">
        <v>2022</v>
      </c>
      <c r="M69" s="127" t="s">
        <v>1086</v>
      </c>
      <c r="N69" s="127" t="s">
        <v>1087</v>
      </c>
      <c r="O69" s="169">
        <v>1150</v>
      </c>
      <c r="P69" s="169"/>
      <c r="Q69" s="169"/>
      <c r="R69" s="169">
        <v>1150</v>
      </c>
      <c r="S69" s="70" t="s">
        <v>1088</v>
      </c>
      <c r="T69" s="70" t="s">
        <v>883</v>
      </c>
      <c r="U69" s="70"/>
      <c r="V69" s="70"/>
      <c r="W69" s="70"/>
      <c r="X69" s="70"/>
      <c r="Y69" s="169">
        <f t="shared" si="40"/>
        <v>1150</v>
      </c>
      <c r="Z69" s="70"/>
      <c r="AA69" s="70"/>
      <c r="AB69" s="169">
        <f t="shared" si="41"/>
        <v>1150</v>
      </c>
      <c r="AC69" s="169">
        <f t="shared" si="32"/>
        <v>0</v>
      </c>
      <c r="AD69" s="169"/>
      <c r="AE69" s="70"/>
      <c r="AF69" s="169"/>
      <c r="AG69" s="169">
        <v>1150</v>
      </c>
      <c r="AH69" s="169">
        <f t="shared" si="54"/>
        <v>1105.184</v>
      </c>
      <c r="AI69" s="70"/>
      <c r="AJ69" s="70"/>
      <c r="AK69" s="169">
        <f t="shared" si="34"/>
        <v>1105.184</v>
      </c>
      <c r="AL69" s="169">
        <f t="shared" si="35"/>
        <v>0</v>
      </c>
      <c r="AM69" s="169"/>
      <c r="AN69" s="169"/>
      <c r="AO69" s="169"/>
      <c r="AP69" s="169">
        <f>1100+5.184</f>
        <v>1105.184</v>
      </c>
      <c r="AQ69" s="169">
        <f t="shared" si="49"/>
        <v>1105.184</v>
      </c>
      <c r="AR69" s="70"/>
      <c r="AS69" s="70"/>
      <c r="AT69" s="169">
        <f t="shared" si="36"/>
        <v>1105.184</v>
      </c>
      <c r="AU69" s="169">
        <f t="shared" si="37"/>
        <v>0</v>
      </c>
      <c r="AV69" s="169"/>
      <c r="AW69" s="70"/>
      <c r="AX69" s="68"/>
      <c r="AY69" s="169">
        <f>1100+5.184</f>
        <v>1105.184</v>
      </c>
      <c r="AZ69" s="70">
        <f t="shared" si="48"/>
        <v>0</v>
      </c>
      <c r="BA69" s="70"/>
      <c r="BB69" s="70"/>
      <c r="BC69" s="70">
        <f t="shared" si="38"/>
        <v>0</v>
      </c>
      <c r="BD69" s="169">
        <f t="shared" si="39"/>
        <v>0</v>
      </c>
      <c r="BE69" s="70"/>
      <c r="BF69" s="70"/>
      <c r="BG69" s="70"/>
      <c r="BH69" s="70"/>
      <c r="BI69" s="127">
        <f t="shared" si="50"/>
        <v>0</v>
      </c>
      <c r="BJ69" s="127"/>
      <c r="BK69" s="127"/>
      <c r="BL69" s="127">
        <f t="shared" si="51"/>
        <v>0</v>
      </c>
      <c r="BM69" s="127"/>
      <c r="BN69" s="127"/>
      <c r="BO69" s="127"/>
      <c r="BP69" s="127"/>
      <c r="BQ69" s="127">
        <f t="shared" si="55"/>
        <v>0</v>
      </c>
      <c r="BR69" s="127"/>
      <c r="BS69" s="127"/>
      <c r="BT69" s="127"/>
      <c r="BU69" s="127"/>
      <c r="BV69" s="127"/>
      <c r="BW69" s="127"/>
      <c r="BX69" s="127"/>
      <c r="BY69" s="127"/>
      <c r="BZ69" s="127"/>
      <c r="CA69" s="127"/>
      <c r="CB69" s="127"/>
      <c r="CC69" s="127"/>
      <c r="CD69" s="127"/>
      <c r="CE69" s="125"/>
    </row>
    <row r="70" spans="1:83" ht="46.15" outlineLevel="1">
      <c r="A70" s="126">
        <v>41</v>
      </c>
      <c r="B70" s="181" t="s">
        <v>1089</v>
      </c>
      <c r="C70" s="127" t="s">
        <v>1090</v>
      </c>
      <c r="D70" s="127" t="s">
        <v>1005</v>
      </c>
      <c r="E70" s="127" t="s">
        <v>49</v>
      </c>
      <c r="F70" s="127" t="s">
        <v>989</v>
      </c>
      <c r="G70" s="127" t="s">
        <v>883</v>
      </c>
      <c r="H70" s="127" t="s">
        <v>883</v>
      </c>
      <c r="I70" s="127" t="s">
        <v>890</v>
      </c>
      <c r="J70" s="126"/>
      <c r="K70" s="127" t="s">
        <v>906</v>
      </c>
      <c r="L70" s="129">
        <v>2022</v>
      </c>
      <c r="M70" s="127" t="s">
        <v>1091</v>
      </c>
      <c r="N70" s="127" t="s">
        <v>1092</v>
      </c>
      <c r="O70" s="169">
        <v>400</v>
      </c>
      <c r="P70" s="169"/>
      <c r="Q70" s="169"/>
      <c r="R70" s="169">
        <v>400</v>
      </c>
      <c r="S70" s="70" t="s">
        <v>1093</v>
      </c>
      <c r="T70" s="70" t="s">
        <v>883</v>
      </c>
      <c r="U70" s="70"/>
      <c r="V70" s="70"/>
      <c r="W70" s="70"/>
      <c r="X70" s="70"/>
      <c r="Y70" s="169">
        <f t="shared" si="40"/>
        <v>400</v>
      </c>
      <c r="Z70" s="70"/>
      <c r="AA70" s="70"/>
      <c r="AB70" s="169">
        <f t="shared" si="41"/>
        <v>400</v>
      </c>
      <c r="AC70" s="169">
        <f t="shared" si="32"/>
        <v>0</v>
      </c>
      <c r="AD70" s="169"/>
      <c r="AE70" s="70"/>
      <c r="AF70" s="169"/>
      <c r="AG70" s="169">
        <v>400</v>
      </c>
      <c r="AH70" s="169">
        <f t="shared" si="54"/>
        <v>365</v>
      </c>
      <c r="AI70" s="70"/>
      <c r="AJ70" s="70"/>
      <c r="AK70" s="169">
        <f t="shared" si="34"/>
        <v>365</v>
      </c>
      <c r="AL70" s="169">
        <f t="shared" si="35"/>
        <v>0</v>
      </c>
      <c r="AM70" s="169"/>
      <c r="AN70" s="169"/>
      <c r="AO70" s="169"/>
      <c r="AP70" s="169">
        <v>365</v>
      </c>
      <c r="AQ70" s="169">
        <f t="shared" si="49"/>
        <v>365</v>
      </c>
      <c r="AR70" s="70"/>
      <c r="AS70" s="70"/>
      <c r="AT70" s="169">
        <f t="shared" si="36"/>
        <v>365</v>
      </c>
      <c r="AU70" s="169">
        <f t="shared" si="37"/>
        <v>0</v>
      </c>
      <c r="AV70" s="169"/>
      <c r="AW70" s="70"/>
      <c r="AX70" s="68"/>
      <c r="AY70" s="169">
        <v>365</v>
      </c>
      <c r="AZ70" s="70">
        <f t="shared" si="48"/>
        <v>0</v>
      </c>
      <c r="BA70" s="70"/>
      <c r="BB70" s="70"/>
      <c r="BC70" s="70">
        <f t="shared" si="38"/>
        <v>0</v>
      </c>
      <c r="BD70" s="169">
        <f t="shared" si="39"/>
        <v>0</v>
      </c>
      <c r="BE70" s="70"/>
      <c r="BF70" s="70"/>
      <c r="BG70" s="70"/>
      <c r="BH70" s="70"/>
      <c r="BI70" s="127">
        <f t="shared" si="50"/>
        <v>0</v>
      </c>
      <c r="BJ70" s="127"/>
      <c r="BK70" s="127"/>
      <c r="BL70" s="127">
        <f t="shared" si="51"/>
        <v>0</v>
      </c>
      <c r="BM70" s="127"/>
      <c r="BN70" s="127"/>
      <c r="BO70" s="127"/>
      <c r="BP70" s="127"/>
      <c r="BQ70" s="127">
        <f t="shared" si="55"/>
        <v>0</v>
      </c>
      <c r="BR70" s="127"/>
      <c r="BS70" s="127"/>
      <c r="BT70" s="127"/>
      <c r="BU70" s="127"/>
      <c r="BV70" s="127"/>
      <c r="BW70" s="127"/>
      <c r="BX70" s="127"/>
      <c r="BY70" s="127"/>
      <c r="BZ70" s="127"/>
      <c r="CA70" s="127"/>
      <c r="CB70" s="127"/>
      <c r="CC70" s="127"/>
      <c r="CD70" s="127"/>
      <c r="CE70" s="125"/>
    </row>
    <row r="71" spans="1:83" ht="46.15" outlineLevel="1">
      <c r="A71" s="126">
        <v>42</v>
      </c>
      <c r="B71" s="181" t="s">
        <v>1094</v>
      </c>
      <c r="C71" s="127" t="s">
        <v>1095</v>
      </c>
      <c r="D71" s="127" t="s">
        <v>1005</v>
      </c>
      <c r="E71" s="127" t="s">
        <v>49</v>
      </c>
      <c r="F71" s="127" t="s">
        <v>1096</v>
      </c>
      <c r="G71" s="127" t="s">
        <v>883</v>
      </c>
      <c r="H71" s="127" t="s">
        <v>883</v>
      </c>
      <c r="I71" s="127" t="s">
        <v>890</v>
      </c>
      <c r="J71" s="126"/>
      <c r="K71" s="127" t="s">
        <v>906</v>
      </c>
      <c r="L71" s="129">
        <v>2022</v>
      </c>
      <c r="M71" s="127" t="s">
        <v>1097</v>
      </c>
      <c r="N71" s="127" t="s">
        <v>1098</v>
      </c>
      <c r="O71" s="169">
        <v>430</v>
      </c>
      <c r="P71" s="169"/>
      <c r="Q71" s="169"/>
      <c r="R71" s="169">
        <v>430</v>
      </c>
      <c r="S71" s="70" t="s">
        <v>1099</v>
      </c>
      <c r="T71" s="70" t="s">
        <v>883</v>
      </c>
      <c r="U71" s="70"/>
      <c r="V71" s="70"/>
      <c r="W71" s="70"/>
      <c r="X71" s="70"/>
      <c r="Y71" s="169">
        <f t="shared" si="40"/>
        <v>430</v>
      </c>
      <c r="Z71" s="70"/>
      <c r="AA71" s="70"/>
      <c r="AB71" s="169">
        <f t="shared" si="41"/>
        <v>430</v>
      </c>
      <c r="AC71" s="169">
        <f t="shared" si="32"/>
        <v>0</v>
      </c>
      <c r="AD71" s="169"/>
      <c r="AE71" s="70"/>
      <c r="AF71" s="169"/>
      <c r="AG71" s="169">
        <v>430</v>
      </c>
      <c r="AH71" s="169">
        <f t="shared" si="54"/>
        <v>421.58</v>
      </c>
      <c r="AI71" s="70"/>
      <c r="AJ71" s="70"/>
      <c r="AK71" s="169">
        <f t="shared" si="34"/>
        <v>421.58</v>
      </c>
      <c r="AL71" s="169">
        <f t="shared" si="35"/>
        <v>0</v>
      </c>
      <c r="AM71" s="169"/>
      <c r="AN71" s="169"/>
      <c r="AO71" s="169"/>
      <c r="AP71" s="169">
        <v>421.58</v>
      </c>
      <c r="AQ71" s="169">
        <f t="shared" si="49"/>
        <v>421.58</v>
      </c>
      <c r="AR71" s="70"/>
      <c r="AS71" s="70"/>
      <c r="AT71" s="169">
        <f t="shared" si="36"/>
        <v>421.58</v>
      </c>
      <c r="AU71" s="169">
        <f t="shared" si="37"/>
        <v>0</v>
      </c>
      <c r="AV71" s="169"/>
      <c r="AW71" s="70"/>
      <c r="AX71" s="68"/>
      <c r="AY71" s="169">
        <v>421.58</v>
      </c>
      <c r="AZ71" s="70"/>
      <c r="BA71" s="70"/>
      <c r="BB71" s="70"/>
      <c r="BC71" s="70">
        <f t="shared" si="38"/>
        <v>0</v>
      </c>
      <c r="BD71" s="169">
        <f t="shared" si="39"/>
        <v>0</v>
      </c>
      <c r="BE71" s="70"/>
      <c r="BF71" s="70"/>
      <c r="BG71" s="70"/>
      <c r="BH71" s="70"/>
      <c r="BI71" s="127">
        <f t="shared" si="50"/>
        <v>0</v>
      </c>
      <c r="BJ71" s="127"/>
      <c r="BK71" s="127"/>
      <c r="BL71" s="127">
        <f t="shared" si="51"/>
        <v>0</v>
      </c>
      <c r="BM71" s="127"/>
      <c r="BN71" s="127"/>
      <c r="BO71" s="127"/>
      <c r="BP71" s="127"/>
      <c r="BQ71" s="127">
        <f t="shared" si="55"/>
        <v>0</v>
      </c>
      <c r="BR71" s="127"/>
      <c r="BS71" s="127"/>
      <c r="BT71" s="127"/>
      <c r="BU71" s="127"/>
      <c r="BV71" s="127"/>
      <c r="BW71" s="127"/>
      <c r="BX71" s="127"/>
      <c r="BY71" s="127"/>
      <c r="BZ71" s="127"/>
      <c r="CA71" s="127"/>
      <c r="CB71" s="127"/>
      <c r="CC71" s="127"/>
      <c r="CD71" s="127"/>
      <c r="CE71" s="125"/>
    </row>
    <row r="72" spans="1:83" ht="46.15" outlineLevel="1">
      <c r="A72" s="126">
        <v>43</v>
      </c>
      <c r="B72" s="181" t="s">
        <v>1100</v>
      </c>
      <c r="C72" s="127" t="s">
        <v>1101</v>
      </c>
      <c r="D72" s="127" t="s">
        <v>1005</v>
      </c>
      <c r="E72" s="127" t="s">
        <v>49</v>
      </c>
      <c r="F72" s="127" t="s">
        <v>922</v>
      </c>
      <c r="G72" s="127" t="s">
        <v>883</v>
      </c>
      <c r="H72" s="127" t="s">
        <v>883</v>
      </c>
      <c r="I72" s="127" t="s">
        <v>890</v>
      </c>
      <c r="J72" s="126"/>
      <c r="K72" s="127" t="s">
        <v>906</v>
      </c>
      <c r="L72" s="129">
        <v>2022</v>
      </c>
      <c r="M72" s="127" t="s">
        <v>1102</v>
      </c>
      <c r="N72" s="127" t="s">
        <v>1103</v>
      </c>
      <c r="O72" s="169">
        <v>230</v>
      </c>
      <c r="P72" s="169"/>
      <c r="Q72" s="169"/>
      <c r="R72" s="169">
        <v>230</v>
      </c>
      <c r="S72" s="70" t="s">
        <v>1104</v>
      </c>
      <c r="T72" s="70" t="s">
        <v>883</v>
      </c>
      <c r="U72" s="70"/>
      <c r="V72" s="70"/>
      <c r="W72" s="70"/>
      <c r="X72" s="70"/>
      <c r="Y72" s="169">
        <f t="shared" si="40"/>
        <v>230</v>
      </c>
      <c r="Z72" s="70"/>
      <c r="AA72" s="70"/>
      <c r="AB72" s="169">
        <f t="shared" si="41"/>
        <v>230</v>
      </c>
      <c r="AC72" s="169">
        <f t="shared" si="32"/>
        <v>0</v>
      </c>
      <c r="AD72" s="169"/>
      <c r="AE72" s="70"/>
      <c r="AF72" s="169"/>
      <c r="AG72" s="169">
        <v>230</v>
      </c>
      <c r="AH72" s="169">
        <f t="shared" si="54"/>
        <v>224.73</v>
      </c>
      <c r="AI72" s="70"/>
      <c r="AJ72" s="70"/>
      <c r="AK72" s="169">
        <f t="shared" si="34"/>
        <v>224.73</v>
      </c>
      <c r="AL72" s="169">
        <f t="shared" si="35"/>
        <v>0</v>
      </c>
      <c r="AM72" s="169"/>
      <c r="AN72" s="169"/>
      <c r="AO72" s="169"/>
      <c r="AP72" s="169">
        <v>224.73</v>
      </c>
      <c r="AQ72" s="169">
        <f t="shared" si="49"/>
        <v>224.73</v>
      </c>
      <c r="AR72" s="70"/>
      <c r="AS72" s="70"/>
      <c r="AT72" s="169">
        <f t="shared" si="36"/>
        <v>224.73</v>
      </c>
      <c r="AU72" s="169">
        <f t="shared" si="37"/>
        <v>0</v>
      </c>
      <c r="AV72" s="169"/>
      <c r="AW72" s="70"/>
      <c r="AX72" s="68"/>
      <c r="AY72" s="169">
        <v>224.73</v>
      </c>
      <c r="AZ72" s="70"/>
      <c r="BA72" s="70"/>
      <c r="BB72" s="70"/>
      <c r="BC72" s="70">
        <f t="shared" si="38"/>
        <v>0</v>
      </c>
      <c r="BD72" s="169">
        <f t="shared" si="39"/>
        <v>0</v>
      </c>
      <c r="BE72" s="70"/>
      <c r="BF72" s="70"/>
      <c r="BG72" s="70"/>
      <c r="BH72" s="70"/>
      <c r="BI72" s="127">
        <f t="shared" si="50"/>
        <v>0</v>
      </c>
      <c r="BJ72" s="127"/>
      <c r="BK72" s="127"/>
      <c r="BL72" s="127">
        <f t="shared" si="51"/>
        <v>0</v>
      </c>
      <c r="BM72" s="127"/>
      <c r="BN72" s="127"/>
      <c r="BO72" s="127"/>
      <c r="BP72" s="127"/>
      <c r="BQ72" s="127">
        <f t="shared" si="55"/>
        <v>0</v>
      </c>
      <c r="BR72" s="127"/>
      <c r="BS72" s="127"/>
      <c r="BT72" s="127"/>
      <c r="BU72" s="127"/>
      <c r="BV72" s="127"/>
      <c r="BW72" s="127"/>
      <c r="BX72" s="127"/>
      <c r="BY72" s="127"/>
      <c r="BZ72" s="127"/>
      <c r="CA72" s="127"/>
      <c r="CB72" s="127"/>
      <c r="CC72" s="127"/>
      <c r="CD72" s="127"/>
      <c r="CE72" s="125"/>
    </row>
    <row r="73" spans="1:83" ht="46.15" outlineLevel="1">
      <c r="A73" s="126">
        <v>44</v>
      </c>
      <c r="B73" s="181" t="s">
        <v>1105</v>
      </c>
      <c r="C73" s="127" t="s">
        <v>1101</v>
      </c>
      <c r="D73" s="127" t="s">
        <v>1005</v>
      </c>
      <c r="E73" s="127" t="s">
        <v>49</v>
      </c>
      <c r="F73" s="127" t="s">
        <v>922</v>
      </c>
      <c r="G73" s="127" t="s">
        <v>883</v>
      </c>
      <c r="H73" s="127" t="s">
        <v>883</v>
      </c>
      <c r="I73" s="127" t="s">
        <v>890</v>
      </c>
      <c r="J73" s="126"/>
      <c r="K73" s="127" t="s">
        <v>906</v>
      </c>
      <c r="L73" s="129">
        <v>2022</v>
      </c>
      <c r="M73" s="127" t="s">
        <v>1106</v>
      </c>
      <c r="N73" s="127" t="s">
        <v>1107</v>
      </c>
      <c r="O73" s="169">
        <v>700</v>
      </c>
      <c r="P73" s="169"/>
      <c r="Q73" s="169"/>
      <c r="R73" s="169">
        <v>700</v>
      </c>
      <c r="S73" s="70" t="s">
        <v>1108</v>
      </c>
      <c r="T73" s="70" t="s">
        <v>883</v>
      </c>
      <c r="U73" s="70"/>
      <c r="V73" s="70"/>
      <c r="W73" s="70"/>
      <c r="X73" s="70"/>
      <c r="Y73" s="169">
        <f t="shared" si="40"/>
        <v>700</v>
      </c>
      <c r="Z73" s="70"/>
      <c r="AA73" s="70"/>
      <c r="AB73" s="169">
        <f t="shared" si="41"/>
        <v>700</v>
      </c>
      <c r="AC73" s="169">
        <f t="shared" si="32"/>
        <v>0</v>
      </c>
      <c r="AD73" s="169"/>
      <c r="AE73" s="70"/>
      <c r="AF73" s="169"/>
      <c r="AG73" s="169">
        <v>700</v>
      </c>
      <c r="AH73" s="169">
        <f t="shared" si="54"/>
        <v>665.80899999999997</v>
      </c>
      <c r="AI73" s="70"/>
      <c r="AJ73" s="70"/>
      <c r="AK73" s="169">
        <f t="shared" si="34"/>
        <v>665.80899999999997</v>
      </c>
      <c r="AL73" s="169">
        <f t="shared" si="35"/>
        <v>0</v>
      </c>
      <c r="AM73" s="169"/>
      <c r="AN73" s="169"/>
      <c r="AO73" s="169"/>
      <c r="AP73" s="169">
        <v>665.80899999999997</v>
      </c>
      <c r="AQ73" s="169">
        <f t="shared" si="49"/>
        <v>665.80899999999997</v>
      </c>
      <c r="AR73" s="70"/>
      <c r="AS73" s="70"/>
      <c r="AT73" s="169">
        <f t="shared" si="36"/>
        <v>665.80899999999997</v>
      </c>
      <c r="AU73" s="169">
        <f t="shared" si="37"/>
        <v>0</v>
      </c>
      <c r="AV73" s="169"/>
      <c r="AW73" s="70"/>
      <c r="AX73" s="68"/>
      <c r="AY73" s="169">
        <v>665.80899999999997</v>
      </c>
      <c r="AZ73" s="70"/>
      <c r="BA73" s="70"/>
      <c r="BB73" s="70"/>
      <c r="BC73" s="70">
        <f t="shared" si="38"/>
        <v>0</v>
      </c>
      <c r="BD73" s="169">
        <f t="shared" si="39"/>
        <v>0</v>
      </c>
      <c r="BE73" s="70"/>
      <c r="BF73" s="70"/>
      <c r="BG73" s="70"/>
      <c r="BH73" s="70"/>
      <c r="BI73" s="127">
        <f t="shared" si="50"/>
        <v>0</v>
      </c>
      <c r="BJ73" s="127"/>
      <c r="BK73" s="127"/>
      <c r="BL73" s="127">
        <f t="shared" si="51"/>
        <v>0</v>
      </c>
      <c r="BM73" s="127"/>
      <c r="BN73" s="127"/>
      <c r="BO73" s="127"/>
      <c r="BP73" s="127"/>
      <c r="BQ73" s="127">
        <f t="shared" si="55"/>
        <v>0</v>
      </c>
      <c r="BR73" s="127"/>
      <c r="BS73" s="127"/>
      <c r="BT73" s="127"/>
      <c r="BU73" s="127"/>
      <c r="BV73" s="127"/>
      <c r="BW73" s="127"/>
      <c r="BX73" s="127"/>
      <c r="BY73" s="127"/>
      <c r="BZ73" s="127"/>
      <c r="CA73" s="127"/>
      <c r="CB73" s="127"/>
      <c r="CC73" s="127"/>
      <c r="CD73" s="127"/>
      <c r="CE73" s="125"/>
    </row>
    <row r="74" spans="1:83" ht="46.15" outlineLevel="1">
      <c r="A74" s="126">
        <v>45</v>
      </c>
      <c r="B74" s="181" t="s">
        <v>1109</v>
      </c>
      <c r="C74" s="127" t="s">
        <v>958</v>
      </c>
      <c r="D74" s="127" t="s">
        <v>1005</v>
      </c>
      <c r="E74" s="127" t="s">
        <v>49</v>
      </c>
      <c r="F74" s="127" t="s">
        <v>958</v>
      </c>
      <c r="G74" s="127" t="s">
        <v>883</v>
      </c>
      <c r="H74" s="127" t="s">
        <v>883</v>
      </c>
      <c r="I74" s="127" t="s">
        <v>82</v>
      </c>
      <c r="J74" s="126"/>
      <c r="K74" s="127" t="s">
        <v>906</v>
      </c>
      <c r="L74" s="129">
        <v>2022</v>
      </c>
      <c r="M74" s="127" t="s">
        <v>1110</v>
      </c>
      <c r="N74" s="127" t="s">
        <v>1111</v>
      </c>
      <c r="O74" s="169">
        <v>1051</v>
      </c>
      <c r="P74" s="169"/>
      <c r="Q74" s="169"/>
      <c r="R74" s="169">
        <v>1051</v>
      </c>
      <c r="S74" s="70" t="s">
        <v>1112</v>
      </c>
      <c r="T74" s="70" t="s">
        <v>883</v>
      </c>
      <c r="U74" s="70"/>
      <c r="V74" s="70"/>
      <c r="W74" s="70"/>
      <c r="X74" s="70"/>
      <c r="Y74" s="169">
        <f t="shared" si="40"/>
        <v>1051</v>
      </c>
      <c r="Z74" s="70"/>
      <c r="AA74" s="70"/>
      <c r="AB74" s="169">
        <f t="shared" si="41"/>
        <v>1051</v>
      </c>
      <c r="AC74" s="169">
        <f t="shared" si="32"/>
        <v>0</v>
      </c>
      <c r="AD74" s="169"/>
      <c r="AE74" s="70"/>
      <c r="AF74" s="169"/>
      <c r="AG74" s="169">
        <v>1051</v>
      </c>
      <c r="AH74" s="169">
        <f t="shared" si="54"/>
        <v>1012.94</v>
      </c>
      <c r="AI74" s="70"/>
      <c r="AJ74" s="70"/>
      <c r="AK74" s="169">
        <f t="shared" si="34"/>
        <v>1012.94</v>
      </c>
      <c r="AL74" s="169">
        <f t="shared" si="35"/>
        <v>0</v>
      </c>
      <c r="AM74" s="169"/>
      <c r="AN74" s="169"/>
      <c r="AO74" s="169"/>
      <c r="AP74" s="169">
        <v>1012.94</v>
      </c>
      <c r="AQ74" s="169">
        <f t="shared" si="49"/>
        <v>1012.94</v>
      </c>
      <c r="AR74" s="70"/>
      <c r="AS74" s="70"/>
      <c r="AT74" s="169">
        <f t="shared" si="36"/>
        <v>1012.94</v>
      </c>
      <c r="AU74" s="169">
        <f t="shared" si="37"/>
        <v>0</v>
      </c>
      <c r="AV74" s="169"/>
      <c r="AW74" s="70"/>
      <c r="AX74" s="68"/>
      <c r="AY74" s="169">
        <v>1012.94</v>
      </c>
      <c r="AZ74" s="70">
        <f t="shared" si="48"/>
        <v>0</v>
      </c>
      <c r="BA74" s="70"/>
      <c r="BB74" s="70"/>
      <c r="BC74" s="70">
        <f t="shared" si="38"/>
        <v>0</v>
      </c>
      <c r="BD74" s="169">
        <f t="shared" si="39"/>
        <v>0</v>
      </c>
      <c r="BE74" s="70"/>
      <c r="BF74" s="70"/>
      <c r="BG74" s="70"/>
      <c r="BH74" s="70"/>
      <c r="BI74" s="127">
        <f t="shared" si="50"/>
        <v>0</v>
      </c>
      <c r="BJ74" s="127"/>
      <c r="BK74" s="127"/>
      <c r="BL74" s="127">
        <f t="shared" si="51"/>
        <v>0</v>
      </c>
      <c r="BM74" s="127"/>
      <c r="BN74" s="127"/>
      <c r="BO74" s="127"/>
      <c r="BP74" s="127"/>
      <c r="BQ74" s="127">
        <f t="shared" si="55"/>
        <v>0</v>
      </c>
      <c r="BR74" s="127"/>
      <c r="BS74" s="127"/>
      <c r="BT74" s="127"/>
      <c r="BU74" s="127"/>
      <c r="BV74" s="127"/>
      <c r="BW74" s="127"/>
      <c r="BX74" s="127"/>
      <c r="BY74" s="127"/>
      <c r="BZ74" s="127"/>
      <c r="CA74" s="127"/>
      <c r="CB74" s="127"/>
      <c r="CC74" s="127"/>
      <c r="CD74" s="127"/>
      <c r="CE74" s="125"/>
    </row>
    <row r="75" spans="1:83" ht="46.15" outlineLevel="1">
      <c r="A75" s="126">
        <v>46</v>
      </c>
      <c r="B75" s="181" t="s">
        <v>1113</v>
      </c>
      <c r="C75" s="127" t="s">
        <v>886</v>
      </c>
      <c r="D75" s="127" t="s">
        <v>1005</v>
      </c>
      <c r="E75" s="127" t="s">
        <v>49</v>
      </c>
      <c r="F75" s="127" t="s">
        <v>922</v>
      </c>
      <c r="G75" s="127" t="s">
        <v>883</v>
      </c>
      <c r="H75" s="127" t="s">
        <v>883</v>
      </c>
      <c r="I75" s="127" t="s">
        <v>890</v>
      </c>
      <c r="J75" s="126"/>
      <c r="K75" s="127" t="s">
        <v>910</v>
      </c>
      <c r="L75" s="129">
        <v>2023</v>
      </c>
      <c r="M75" s="127" t="s">
        <v>1114</v>
      </c>
      <c r="N75" s="127" t="s">
        <v>1115</v>
      </c>
      <c r="O75" s="169">
        <v>750</v>
      </c>
      <c r="P75" s="169"/>
      <c r="Q75" s="169"/>
      <c r="R75" s="169">
        <v>750</v>
      </c>
      <c r="S75" s="70" t="s">
        <v>1116</v>
      </c>
      <c r="T75" s="70" t="s">
        <v>883</v>
      </c>
      <c r="U75" s="70"/>
      <c r="V75" s="70"/>
      <c r="W75" s="70"/>
      <c r="X75" s="70"/>
      <c r="Y75" s="169">
        <f t="shared" si="40"/>
        <v>750</v>
      </c>
      <c r="Z75" s="70"/>
      <c r="AA75" s="70"/>
      <c r="AB75" s="169">
        <f t="shared" si="41"/>
        <v>750</v>
      </c>
      <c r="AC75" s="169">
        <f t="shared" si="32"/>
        <v>0</v>
      </c>
      <c r="AD75" s="169"/>
      <c r="AE75" s="70"/>
      <c r="AF75" s="169"/>
      <c r="AG75" s="169">
        <v>750</v>
      </c>
      <c r="AH75" s="169">
        <f t="shared" si="54"/>
        <v>696.005</v>
      </c>
      <c r="AI75" s="70"/>
      <c r="AJ75" s="70"/>
      <c r="AK75" s="169">
        <f t="shared" si="34"/>
        <v>696.005</v>
      </c>
      <c r="AL75" s="169">
        <f t="shared" si="35"/>
        <v>0</v>
      </c>
      <c r="AM75" s="169"/>
      <c r="AN75" s="169"/>
      <c r="AO75" s="169"/>
      <c r="AP75" s="169">
        <v>696.005</v>
      </c>
      <c r="AQ75" s="169">
        <f t="shared" si="49"/>
        <v>696.005</v>
      </c>
      <c r="AR75" s="70"/>
      <c r="AS75" s="70"/>
      <c r="AT75" s="169">
        <f t="shared" si="36"/>
        <v>696.005</v>
      </c>
      <c r="AU75" s="169">
        <f t="shared" si="37"/>
        <v>0</v>
      </c>
      <c r="AV75" s="169"/>
      <c r="AW75" s="70"/>
      <c r="AX75" s="68"/>
      <c r="AY75" s="169">
        <v>696.005</v>
      </c>
      <c r="AZ75" s="70">
        <f t="shared" si="48"/>
        <v>0</v>
      </c>
      <c r="BA75" s="70"/>
      <c r="BB75" s="70"/>
      <c r="BC75" s="70">
        <f t="shared" si="38"/>
        <v>0</v>
      </c>
      <c r="BD75" s="169">
        <f t="shared" si="39"/>
        <v>0</v>
      </c>
      <c r="BE75" s="70"/>
      <c r="BF75" s="70"/>
      <c r="BG75" s="70"/>
      <c r="BH75" s="70"/>
      <c r="BI75" s="127">
        <f t="shared" si="50"/>
        <v>0</v>
      </c>
      <c r="BJ75" s="127"/>
      <c r="BK75" s="127"/>
      <c r="BL75" s="127">
        <f t="shared" si="51"/>
        <v>0</v>
      </c>
      <c r="BM75" s="127"/>
      <c r="BN75" s="127"/>
      <c r="BO75" s="127"/>
      <c r="BP75" s="127"/>
      <c r="BQ75" s="127">
        <f t="shared" si="55"/>
        <v>0</v>
      </c>
      <c r="BR75" s="127"/>
      <c r="BS75" s="127"/>
      <c r="BT75" s="127"/>
      <c r="BU75" s="127"/>
      <c r="BV75" s="127"/>
      <c r="BW75" s="127"/>
      <c r="BX75" s="127"/>
      <c r="BY75" s="127"/>
      <c r="BZ75" s="127"/>
      <c r="CA75" s="127"/>
      <c r="CB75" s="127"/>
      <c r="CC75" s="127"/>
      <c r="CD75" s="127"/>
      <c r="CE75" s="125"/>
    </row>
    <row r="76" spans="1:83" ht="46.15" outlineLevel="1">
      <c r="A76" s="126">
        <v>47</v>
      </c>
      <c r="B76" s="181" t="s">
        <v>1117</v>
      </c>
      <c r="C76" s="127" t="s">
        <v>886</v>
      </c>
      <c r="D76" s="127" t="s">
        <v>1005</v>
      </c>
      <c r="E76" s="127" t="s">
        <v>49</v>
      </c>
      <c r="F76" s="127" t="s">
        <v>922</v>
      </c>
      <c r="G76" s="127" t="s">
        <v>883</v>
      </c>
      <c r="H76" s="127" t="s">
        <v>883</v>
      </c>
      <c r="I76" s="127" t="s">
        <v>890</v>
      </c>
      <c r="J76" s="126"/>
      <c r="K76" s="127" t="s">
        <v>910</v>
      </c>
      <c r="L76" s="129">
        <v>2023</v>
      </c>
      <c r="M76" s="127" t="s">
        <v>1118</v>
      </c>
      <c r="N76" s="127" t="s">
        <v>1119</v>
      </c>
      <c r="O76" s="169">
        <v>750</v>
      </c>
      <c r="P76" s="169"/>
      <c r="Q76" s="169"/>
      <c r="R76" s="169">
        <v>750</v>
      </c>
      <c r="S76" s="70" t="s">
        <v>1120</v>
      </c>
      <c r="T76" s="70" t="s">
        <v>883</v>
      </c>
      <c r="U76" s="70"/>
      <c r="V76" s="70"/>
      <c r="W76" s="70"/>
      <c r="X76" s="70"/>
      <c r="Y76" s="169">
        <f t="shared" si="40"/>
        <v>750</v>
      </c>
      <c r="Z76" s="70"/>
      <c r="AA76" s="70"/>
      <c r="AB76" s="169">
        <f t="shared" si="41"/>
        <v>750</v>
      </c>
      <c r="AC76" s="169">
        <f t="shared" si="32"/>
        <v>0</v>
      </c>
      <c r="AD76" s="169"/>
      <c r="AE76" s="70"/>
      <c r="AF76" s="169"/>
      <c r="AG76" s="169">
        <v>750</v>
      </c>
      <c r="AH76" s="169">
        <f t="shared" si="54"/>
        <v>725.30100000000004</v>
      </c>
      <c r="AI76" s="70"/>
      <c r="AJ76" s="70"/>
      <c r="AK76" s="169">
        <f t="shared" si="34"/>
        <v>725.30100000000004</v>
      </c>
      <c r="AL76" s="169">
        <f t="shared" si="35"/>
        <v>0</v>
      </c>
      <c r="AM76" s="169"/>
      <c r="AN76" s="169"/>
      <c r="AO76" s="169"/>
      <c r="AP76" s="169">
        <v>725.30100000000004</v>
      </c>
      <c r="AQ76" s="169">
        <f t="shared" si="49"/>
        <v>725.30100000000004</v>
      </c>
      <c r="AR76" s="70"/>
      <c r="AS76" s="70"/>
      <c r="AT76" s="169">
        <f t="shared" si="36"/>
        <v>725.30100000000004</v>
      </c>
      <c r="AU76" s="169">
        <f t="shared" si="37"/>
        <v>0</v>
      </c>
      <c r="AV76" s="169"/>
      <c r="AW76" s="70"/>
      <c r="AX76" s="68"/>
      <c r="AY76" s="169">
        <v>725.30100000000004</v>
      </c>
      <c r="AZ76" s="70">
        <f t="shared" si="48"/>
        <v>0</v>
      </c>
      <c r="BA76" s="70"/>
      <c r="BB76" s="70"/>
      <c r="BC76" s="70">
        <f t="shared" si="38"/>
        <v>0</v>
      </c>
      <c r="BD76" s="169">
        <f t="shared" si="39"/>
        <v>0</v>
      </c>
      <c r="BE76" s="70"/>
      <c r="BF76" s="70"/>
      <c r="BG76" s="70"/>
      <c r="BH76" s="70"/>
      <c r="BI76" s="127">
        <f t="shared" si="50"/>
        <v>0</v>
      </c>
      <c r="BJ76" s="127"/>
      <c r="BK76" s="127"/>
      <c r="BL76" s="127">
        <f t="shared" si="51"/>
        <v>0</v>
      </c>
      <c r="BM76" s="127"/>
      <c r="BN76" s="127"/>
      <c r="BO76" s="127"/>
      <c r="BP76" s="127"/>
      <c r="BQ76" s="127">
        <f t="shared" si="55"/>
        <v>0</v>
      </c>
      <c r="BR76" s="127"/>
      <c r="BS76" s="127"/>
      <c r="BT76" s="127"/>
      <c r="BU76" s="127">
        <f t="shared" ref="BU76:BU80" si="57">SUM(BV76:BX76)</f>
        <v>0</v>
      </c>
      <c r="BV76" s="127"/>
      <c r="BW76" s="127"/>
      <c r="BX76" s="127"/>
      <c r="BY76" s="127"/>
      <c r="BZ76" s="127"/>
      <c r="CA76" s="127"/>
      <c r="CB76" s="127"/>
      <c r="CC76" s="127"/>
      <c r="CD76" s="127"/>
      <c r="CE76" s="125"/>
    </row>
    <row r="77" spans="1:83" ht="46.15" outlineLevel="1">
      <c r="A77" s="126">
        <v>48</v>
      </c>
      <c r="B77" s="181" t="s">
        <v>1121</v>
      </c>
      <c r="C77" s="127" t="s">
        <v>886</v>
      </c>
      <c r="D77" s="127" t="s">
        <v>1005</v>
      </c>
      <c r="E77" s="127" t="s">
        <v>49</v>
      </c>
      <c r="F77" s="127" t="s">
        <v>3</v>
      </c>
      <c r="G77" s="127" t="s">
        <v>883</v>
      </c>
      <c r="H77" s="127" t="s">
        <v>883</v>
      </c>
      <c r="I77" s="127" t="s">
        <v>1122</v>
      </c>
      <c r="J77" s="126"/>
      <c r="K77" s="127" t="s">
        <v>910</v>
      </c>
      <c r="L77" s="129">
        <v>2023</v>
      </c>
      <c r="M77" s="127" t="s">
        <v>1123</v>
      </c>
      <c r="N77" s="127" t="s">
        <v>1124</v>
      </c>
      <c r="O77" s="169">
        <v>230</v>
      </c>
      <c r="P77" s="169"/>
      <c r="Q77" s="169"/>
      <c r="R77" s="169">
        <v>230</v>
      </c>
      <c r="S77" s="70" t="s">
        <v>1125</v>
      </c>
      <c r="T77" s="70" t="s">
        <v>883</v>
      </c>
      <c r="U77" s="70"/>
      <c r="V77" s="70"/>
      <c r="W77" s="70"/>
      <c r="X77" s="70"/>
      <c r="Y77" s="169">
        <f t="shared" si="40"/>
        <v>230</v>
      </c>
      <c r="Z77" s="70"/>
      <c r="AA77" s="70"/>
      <c r="AB77" s="169">
        <f t="shared" si="41"/>
        <v>230</v>
      </c>
      <c r="AC77" s="169">
        <f t="shared" si="32"/>
        <v>0</v>
      </c>
      <c r="AD77" s="169"/>
      <c r="AE77" s="70"/>
      <c r="AF77" s="169"/>
      <c r="AG77" s="169">
        <v>230</v>
      </c>
      <c r="AH77" s="169">
        <f t="shared" si="54"/>
        <v>225.81399999999999</v>
      </c>
      <c r="AI77" s="70"/>
      <c r="AJ77" s="70"/>
      <c r="AK77" s="169">
        <f t="shared" si="34"/>
        <v>225.81399999999999</v>
      </c>
      <c r="AL77" s="169">
        <f t="shared" si="35"/>
        <v>0</v>
      </c>
      <c r="AM77" s="169"/>
      <c r="AN77" s="169"/>
      <c r="AO77" s="169"/>
      <c r="AP77" s="169">
        <v>225.81399999999999</v>
      </c>
      <c r="AQ77" s="169">
        <f t="shared" si="49"/>
        <v>225.81399999999999</v>
      </c>
      <c r="AR77" s="70"/>
      <c r="AS77" s="70"/>
      <c r="AT77" s="169">
        <f t="shared" si="36"/>
        <v>225.81399999999999</v>
      </c>
      <c r="AU77" s="169">
        <f t="shared" si="37"/>
        <v>0</v>
      </c>
      <c r="AV77" s="169"/>
      <c r="AW77" s="70"/>
      <c r="AX77" s="68"/>
      <c r="AY77" s="169">
        <v>225.81399999999999</v>
      </c>
      <c r="AZ77" s="70">
        <f t="shared" si="48"/>
        <v>0</v>
      </c>
      <c r="BA77" s="70"/>
      <c r="BB77" s="70"/>
      <c r="BC77" s="70">
        <f t="shared" si="38"/>
        <v>0</v>
      </c>
      <c r="BD77" s="169">
        <f t="shared" si="39"/>
        <v>0</v>
      </c>
      <c r="BE77" s="70"/>
      <c r="BF77" s="70"/>
      <c r="BG77" s="70"/>
      <c r="BH77" s="70"/>
      <c r="BI77" s="127">
        <f t="shared" si="50"/>
        <v>0</v>
      </c>
      <c r="BJ77" s="127"/>
      <c r="BK77" s="127"/>
      <c r="BL77" s="127">
        <f t="shared" si="51"/>
        <v>0</v>
      </c>
      <c r="BM77" s="127"/>
      <c r="BN77" s="127"/>
      <c r="BO77" s="127"/>
      <c r="BP77" s="127"/>
      <c r="BQ77" s="127">
        <f t="shared" si="55"/>
        <v>0</v>
      </c>
      <c r="BR77" s="127"/>
      <c r="BS77" s="127"/>
      <c r="BT77" s="127"/>
      <c r="BU77" s="127">
        <f t="shared" si="57"/>
        <v>0</v>
      </c>
      <c r="BV77" s="127"/>
      <c r="BW77" s="127"/>
      <c r="BX77" s="127"/>
      <c r="BY77" s="127"/>
      <c r="BZ77" s="127"/>
      <c r="CA77" s="127"/>
      <c r="CB77" s="127"/>
      <c r="CC77" s="127"/>
      <c r="CD77" s="127"/>
      <c r="CE77" s="125"/>
    </row>
    <row r="78" spans="1:83" ht="46.15" outlineLevel="1">
      <c r="A78" s="126">
        <v>49</v>
      </c>
      <c r="B78" s="181" t="s">
        <v>1126</v>
      </c>
      <c r="C78" s="127" t="s">
        <v>264</v>
      </c>
      <c r="D78" s="127" t="s">
        <v>1005</v>
      </c>
      <c r="E78" s="127" t="s">
        <v>49</v>
      </c>
      <c r="F78" s="127" t="s">
        <v>922</v>
      </c>
      <c r="G78" s="127" t="s">
        <v>883</v>
      </c>
      <c r="H78" s="127" t="s">
        <v>883</v>
      </c>
      <c r="I78" s="127" t="s">
        <v>82</v>
      </c>
      <c r="J78" s="126"/>
      <c r="K78" s="127" t="s">
        <v>1127</v>
      </c>
      <c r="L78" s="129" t="s">
        <v>750</v>
      </c>
      <c r="M78" s="127" t="s">
        <v>1128</v>
      </c>
      <c r="N78" s="127" t="s">
        <v>1129</v>
      </c>
      <c r="O78" s="169">
        <v>630</v>
      </c>
      <c r="P78" s="169"/>
      <c r="Q78" s="169"/>
      <c r="R78" s="169">
        <v>630</v>
      </c>
      <c r="S78" s="70"/>
      <c r="T78" s="70" t="s">
        <v>883</v>
      </c>
      <c r="U78" s="70"/>
      <c r="V78" s="70"/>
      <c r="W78" s="70"/>
      <c r="X78" s="70"/>
      <c r="Y78" s="169">
        <f t="shared" si="40"/>
        <v>630</v>
      </c>
      <c r="Z78" s="70"/>
      <c r="AA78" s="70"/>
      <c r="AB78" s="169">
        <f t="shared" si="41"/>
        <v>630</v>
      </c>
      <c r="AC78" s="169">
        <f t="shared" si="32"/>
        <v>0</v>
      </c>
      <c r="AD78" s="169"/>
      <c r="AE78" s="70"/>
      <c r="AF78" s="169"/>
      <c r="AG78" s="169">
        <v>630</v>
      </c>
      <c r="AH78" s="169">
        <f t="shared" si="54"/>
        <v>600</v>
      </c>
      <c r="AI78" s="70"/>
      <c r="AJ78" s="70"/>
      <c r="AK78" s="169">
        <f t="shared" si="34"/>
        <v>600</v>
      </c>
      <c r="AL78" s="169">
        <f t="shared" si="35"/>
        <v>0</v>
      </c>
      <c r="AM78" s="169"/>
      <c r="AN78" s="169"/>
      <c r="AO78" s="169"/>
      <c r="AP78" s="169">
        <v>600</v>
      </c>
      <c r="AQ78" s="169">
        <f t="shared" si="49"/>
        <v>600</v>
      </c>
      <c r="AR78" s="70"/>
      <c r="AS78" s="70"/>
      <c r="AT78" s="169">
        <f t="shared" si="36"/>
        <v>600</v>
      </c>
      <c r="AU78" s="169">
        <f t="shared" si="37"/>
        <v>0</v>
      </c>
      <c r="AV78" s="169"/>
      <c r="AW78" s="70"/>
      <c r="AX78" s="68"/>
      <c r="AY78" s="169">
        <v>600</v>
      </c>
      <c r="AZ78" s="70">
        <f t="shared" si="48"/>
        <v>0</v>
      </c>
      <c r="BA78" s="70"/>
      <c r="BB78" s="70"/>
      <c r="BC78" s="70">
        <f t="shared" si="38"/>
        <v>0</v>
      </c>
      <c r="BD78" s="169">
        <f t="shared" si="39"/>
        <v>0</v>
      </c>
      <c r="BE78" s="70"/>
      <c r="BF78" s="70"/>
      <c r="BG78" s="70"/>
      <c r="BH78" s="70"/>
      <c r="BI78" s="127">
        <f t="shared" si="50"/>
        <v>0</v>
      </c>
      <c r="BJ78" s="127"/>
      <c r="BK78" s="127"/>
      <c r="BL78" s="127">
        <f t="shared" si="51"/>
        <v>0</v>
      </c>
      <c r="BM78" s="127"/>
      <c r="BN78" s="127"/>
      <c r="BO78" s="127"/>
      <c r="BP78" s="127"/>
      <c r="BQ78" s="127">
        <f t="shared" si="55"/>
        <v>0</v>
      </c>
      <c r="BR78" s="127"/>
      <c r="BS78" s="127"/>
      <c r="BT78" s="127"/>
      <c r="BU78" s="127">
        <f t="shared" si="57"/>
        <v>0</v>
      </c>
      <c r="BV78" s="127"/>
      <c r="BW78" s="127"/>
      <c r="BX78" s="127"/>
      <c r="BY78" s="127"/>
      <c r="BZ78" s="127"/>
      <c r="CA78" s="127"/>
      <c r="CB78" s="127"/>
      <c r="CC78" s="127"/>
      <c r="CD78" s="127"/>
      <c r="CE78" s="125" t="s">
        <v>956</v>
      </c>
    </row>
    <row r="79" spans="1:83" ht="46.15" outlineLevel="1">
      <c r="A79" s="126">
        <v>50</v>
      </c>
      <c r="B79" s="181" t="s">
        <v>1130</v>
      </c>
      <c r="C79" s="127" t="s">
        <v>886</v>
      </c>
      <c r="D79" s="127" t="s">
        <v>1005</v>
      </c>
      <c r="E79" s="127" t="s">
        <v>49</v>
      </c>
      <c r="F79" s="127" t="s">
        <v>958</v>
      </c>
      <c r="G79" s="127" t="s">
        <v>883</v>
      </c>
      <c r="H79" s="127" t="s">
        <v>883</v>
      </c>
      <c r="I79" s="127" t="s">
        <v>890</v>
      </c>
      <c r="J79" s="126"/>
      <c r="K79" s="127" t="s">
        <v>84</v>
      </c>
      <c r="L79" s="129" t="s">
        <v>750</v>
      </c>
      <c r="M79" s="127" t="s">
        <v>1131</v>
      </c>
      <c r="N79" s="127" t="s">
        <v>1132</v>
      </c>
      <c r="O79" s="169">
        <v>4750</v>
      </c>
      <c r="P79" s="169"/>
      <c r="Q79" s="169"/>
      <c r="R79" s="169">
        <v>4750</v>
      </c>
      <c r="S79" s="70"/>
      <c r="T79" s="70" t="s">
        <v>883</v>
      </c>
      <c r="U79" s="70"/>
      <c r="V79" s="70"/>
      <c r="W79" s="70"/>
      <c r="X79" s="70"/>
      <c r="Y79" s="169">
        <f t="shared" si="40"/>
        <v>4000</v>
      </c>
      <c r="Z79" s="70"/>
      <c r="AA79" s="70"/>
      <c r="AB79" s="169">
        <f t="shared" si="41"/>
        <v>4000</v>
      </c>
      <c r="AC79" s="169">
        <f t="shared" si="32"/>
        <v>0</v>
      </c>
      <c r="AD79" s="169"/>
      <c r="AE79" s="70"/>
      <c r="AF79" s="169"/>
      <c r="AG79" s="169">
        <v>4000</v>
      </c>
      <c r="AH79" s="169">
        <f t="shared" si="54"/>
        <v>3581.2950000000001</v>
      </c>
      <c r="AI79" s="70"/>
      <c r="AJ79" s="70"/>
      <c r="AK79" s="169">
        <f t="shared" si="34"/>
        <v>3581.2950000000001</v>
      </c>
      <c r="AL79" s="169">
        <f t="shared" si="35"/>
        <v>0</v>
      </c>
      <c r="AM79" s="169"/>
      <c r="AN79" s="169"/>
      <c r="AO79" s="169"/>
      <c r="AP79" s="169">
        <v>3581.2950000000001</v>
      </c>
      <c r="AQ79" s="169">
        <f t="shared" si="49"/>
        <v>2771.3573160000001</v>
      </c>
      <c r="AR79" s="70"/>
      <c r="AS79" s="70"/>
      <c r="AT79" s="169">
        <f t="shared" si="36"/>
        <v>2771.3573160000001</v>
      </c>
      <c r="AU79" s="169">
        <f t="shared" si="37"/>
        <v>0</v>
      </c>
      <c r="AV79" s="169"/>
      <c r="AW79" s="70"/>
      <c r="AX79" s="68"/>
      <c r="AY79" s="169">
        <v>2771.3573160000001</v>
      </c>
      <c r="AZ79" s="70">
        <f t="shared" si="48"/>
        <v>508.9</v>
      </c>
      <c r="BA79" s="70"/>
      <c r="BB79" s="70"/>
      <c r="BC79" s="70">
        <f t="shared" si="38"/>
        <v>508.9</v>
      </c>
      <c r="BD79" s="169">
        <f t="shared" si="39"/>
        <v>0</v>
      </c>
      <c r="BE79" s="70"/>
      <c r="BF79" s="70"/>
      <c r="BG79" s="70"/>
      <c r="BH79" s="70">
        <v>508.9</v>
      </c>
      <c r="BI79" s="127">
        <f t="shared" si="50"/>
        <v>500.28933999999998</v>
      </c>
      <c r="BJ79" s="127"/>
      <c r="BK79" s="127"/>
      <c r="BL79" s="127">
        <f t="shared" si="51"/>
        <v>500.28933999999998</v>
      </c>
      <c r="BM79" s="127"/>
      <c r="BN79" s="127"/>
      <c r="BO79" s="127"/>
      <c r="BP79" s="127">
        <v>500.28933999999998</v>
      </c>
      <c r="BQ79" s="127">
        <f t="shared" si="55"/>
        <v>809.93768399999999</v>
      </c>
      <c r="BR79" s="127"/>
      <c r="BS79" s="127"/>
      <c r="BT79" s="127">
        <v>809.93768399999999</v>
      </c>
      <c r="BU79" s="127">
        <f t="shared" si="57"/>
        <v>809.93768399999999</v>
      </c>
      <c r="BV79" s="127"/>
      <c r="BW79" s="127"/>
      <c r="BX79" s="127">
        <v>809.93768399999999</v>
      </c>
      <c r="BY79" s="127">
        <f t="shared" ref="BY79" si="58">SUM(BZ79:CB79)</f>
        <v>117</v>
      </c>
      <c r="BZ79" s="127"/>
      <c r="CA79" s="127"/>
      <c r="CB79" s="127">
        <v>117</v>
      </c>
      <c r="CC79" s="234">
        <v>809.93768399999999</v>
      </c>
      <c r="CD79" s="127"/>
      <c r="CE79" s="125" t="s">
        <v>1133</v>
      </c>
    </row>
    <row r="80" spans="1:83" ht="69.75" customHeight="1" outlineLevel="1">
      <c r="A80" s="126">
        <v>51</v>
      </c>
      <c r="B80" s="181" t="s">
        <v>1134</v>
      </c>
      <c r="C80" s="127" t="s">
        <v>264</v>
      </c>
      <c r="D80" s="127" t="s">
        <v>1005</v>
      </c>
      <c r="E80" s="127" t="s">
        <v>49</v>
      </c>
      <c r="F80" s="127" t="s">
        <v>922</v>
      </c>
      <c r="G80" s="127" t="s">
        <v>883</v>
      </c>
      <c r="H80" s="127" t="s">
        <v>883</v>
      </c>
      <c r="I80" s="127" t="s">
        <v>916</v>
      </c>
      <c r="J80" s="126"/>
      <c r="K80" s="127" t="s">
        <v>1127</v>
      </c>
      <c r="L80" s="129" t="s">
        <v>750</v>
      </c>
      <c r="M80" s="127"/>
      <c r="N80" s="127" t="s">
        <v>1135</v>
      </c>
      <c r="O80" s="169">
        <v>260</v>
      </c>
      <c r="P80" s="169"/>
      <c r="Q80" s="169"/>
      <c r="R80" s="169">
        <v>260</v>
      </c>
      <c r="S80" s="70"/>
      <c r="T80" s="70" t="s">
        <v>883</v>
      </c>
      <c r="U80" s="70"/>
      <c r="V80" s="70"/>
      <c r="W80" s="70"/>
      <c r="X80" s="70"/>
      <c r="Y80" s="169">
        <f t="shared" si="40"/>
        <v>260</v>
      </c>
      <c r="Z80" s="70"/>
      <c r="AA80" s="70"/>
      <c r="AB80" s="169">
        <f t="shared" si="41"/>
        <v>260</v>
      </c>
      <c r="AC80" s="169">
        <f t="shared" si="32"/>
        <v>0</v>
      </c>
      <c r="AD80" s="169"/>
      <c r="AE80" s="70"/>
      <c r="AF80" s="169"/>
      <c r="AG80" s="169">
        <v>260</v>
      </c>
      <c r="AH80" s="169">
        <f t="shared" si="54"/>
        <v>250.434</v>
      </c>
      <c r="AI80" s="70"/>
      <c r="AJ80" s="70"/>
      <c r="AK80" s="169">
        <f t="shared" si="34"/>
        <v>250.434</v>
      </c>
      <c r="AL80" s="169">
        <f t="shared" si="35"/>
        <v>0</v>
      </c>
      <c r="AM80" s="169"/>
      <c r="AN80" s="169"/>
      <c r="AO80" s="169"/>
      <c r="AP80" s="169">
        <v>250.434</v>
      </c>
      <c r="AQ80" s="169">
        <f t="shared" si="49"/>
        <v>250.434</v>
      </c>
      <c r="AR80" s="70"/>
      <c r="AS80" s="70"/>
      <c r="AT80" s="169">
        <f t="shared" si="36"/>
        <v>250.434</v>
      </c>
      <c r="AU80" s="169">
        <f t="shared" si="37"/>
        <v>0</v>
      </c>
      <c r="AV80" s="169"/>
      <c r="AW80" s="70"/>
      <c r="AX80" s="68"/>
      <c r="AY80" s="169">
        <v>250.434</v>
      </c>
      <c r="AZ80" s="70">
        <f t="shared" si="48"/>
        <v>0</v>
      </c>
      <c r="BA80" s="70"/>
      <c r="BB80" s="70"/>
      <c r="BC80" s="70">
        <f t="shared" si="38"/>
        <v>0</v>
      </c>
      <c r="BD80" s="169">
        <f t="shared" si="39"/>
        <v>0</v>
      </c>
      <c r="BE80" s="70"/>
      <c r="BF80" s="70"/>
      <c r="BG80" s="70"/>
      <c r="BH80" s="70"/>
      <c r="BI80" s="127">
        <f t="shared" si="50"/>
        <v>0</v>
      </c>
      <c r="BJ80" s="127"/>
      <c r="BK80" s="127"/>
      <c r="BL80" s="127">
        <f t="shared" si="51"/>
        <v>0</v>
      </c>
      <c r="BM80" s="127"/>
      <c r="BN80" s="127"/>
      <c r="BO80" s="127"/>
      <c r="BP80" s="127"/>
      <c r="BQ80" s="127">
        <f t="shared" si="55"/>
        <v>0</v>
      </c>
      <c r="BR80" s="127"/>
      <c r="BS80" s="127"/>
      <c r="BT80" s="127"/>
      <c r="BU80" s="127">
        <f t="shared" si="57"/>
        <v>0</v>
      </c>
      <c r="BV80" s="127"/>
      <c r="BW80" s="127"/>
      <c r="BX80" s="127"/>
      <c r="BY80" s="127"/>
      <c r="BZ80" s="127"/>
      <c r="CA80" s="127"/>
      <c r="CB80" s="127"/>
      <c r="CC80" s="127"/>
      <c r="CD80" s="127"/>
      <c r="CE80" s="128" t="s">
        <v>956</v>
      </c>
    </row>
    <row r="81" spans="1:83" ht="36.75" customHeight="1" outlineLevel="1">
      <c r="A81" s="488" t="s">
        <v>45</v>
      </c>
      <c r="B81" s="489" t="s">
        <v>913</v>
      </c>
      <c r="C81" s="191"/>
      <c r="D81" s="191"/>
      <c r="E81" s="191"/>
      <c r="F81" s="191"/>
      <c r="G81" s="191"/>
      <c r="H81" s="191"/>
      <c r="I81" s="192"/>
      <c r="J81" s="191"/>
      <c r="K81" s="191"/>
      <c r="L81" s="191"/>
      <c r="M81" s="191"/>
      <c r="N81" s="193"/>
      <c r="O81" s="194">
        <f>SUM(O82:O89)</f>
        <v>32220</v>
      </c>
      <c r="P81" s="194">
        <f t="shared" ref="P81:CA81" si="59">SUM(P82:P89)</f>
        <v>0</v>
      </c>
      <c r="Q81" s="194">
        <f t="shared" si="59"/>
        <v>0</v>
      </c>
      <c r="R81" s="194">
        <f t="shared" si="59"/>
        <v>31280</v>
      </c>
      <c r="S81" s="194">
        <f t="shared" si="59"/>
        <v>0</v>
      </c>
      <c r="T81" s="194">
        <f t="shared" si="59"/>
        <v>0</v>
      </c>
      <c r="U81" s="194">
        <f t="shared" si="59"/>
        <v>0</v>
      </c>
      <c r="V81" s="194">
        <f t="shared" si="59"/>
        <v>0</v>
      </c>
      <c r="W81" s="194">
        <f t="shared" si="59"/>
        <v>0</v>
      </c>
      <c r="X81" s="194">
        <f t="shared" si="59"/>
        <v>0</v>
      </c>
      <c r="Y81" s="194">
        <f t="shared" si="59"/>
        <v>31280</v>
      </c>
      <c r="Z81" s="194">
        <f t="shared" si="59"/>
        <v>0</v>
      </c>
      <c r="AA81" s="194">
        <f t="shared" si="59"/>
        <v>0</v>
      </c>
      <c r="AB81" s="194">
        <f t="shared" si="59"/>
        <v>31280</v>
      </c>
      <c r="AC81" s="194">
        <f t="shared" si="59"/>
        <v>0</v>
      </c>
      <c r="AD81" s="194">
        <f t="shared" si="59"/>
        <v>0</v>
      </c>
      <c r="AE81" s="194">
        <f t="shared" si="59"/>
        <v>0</v>
      </c>
      <c r="AF81" s="194">
        <f t="shared" si="59"/>
        <v>30100</v>
      </c>
      <c r="AG81" s="194">
        <f t="shared" si="59"/>
        <v>1180</v>
      </c>
      <c r="AH81" s="194">
        <f t="shared" si="59"/>
        <v>0</v>
      </c>
      <c r="AI81" s="194">
        <f t="shared" si="59"/>
        <v>0</v>
      </c>
      <c r="AJ81" s="194">
        <f t="shared" si="59"/>
        <v>0</v>
      </c>
      <c r="AK81" s="194">
        <f t="shared" si="59"/>
        <v>0</v>
      </c>
      <c r="AL81" s="194">
        <f t="shared" si="59"/>
        <v>0</v>
      </c>
      <c r="AM81" s="194">
        <f t="shared" si="59"/>
        <v>0</v>
      </c>
      <c r="AN81" s="194">
        <f t="shared" si="59"/>
        <v>0</v>
      </c>
      <c r="AO81" s="194">
        <f t="shared" si="59"/>
        <v>0</v>
      </c>
      <c r="AP81" s="194">
        <f t="shared" si="59"/>
        <v>0</v>
      </c>
      <c r="AQ81" s="194">
        <f t="shared" si="59"/>
        <v>0</v>
      </c>
      <c r="AR81" s="194">
        <f t="shared" si="59"/>
        <v>0</v>
      </c>
      <c r="AS81" s="194">
        <f t="shared" si="59"/>
        <v>0</v>
      </c>
      <c r="AT81" s="194">
        <f t="shared" si="59"/>
        <v>0</v>
      </c>
      <c r="AU81" s="194">
        <f t="shared" si="59"/>
        <v>0</v>
      </c>
      <c r="AV81" s="194">
        <f t="shared" si="59"/>
        <v>0</v>
      </c>
      <c r="AW81" s="194">
        <f t="shared" si="59"/>
        <v>0</v>
      </c>
      <c r="AX81" s="194">
        <f t="shared" si="59"/>
        <v>0</v>
      </c>
      <c r="AY81" s="194">
        <f t="shared" si="59"/>
        <v>0</v>
      </c>
      <c r="AZ81" s="194">
        <f t="shared" si="59"/>
        <v>0</v>
      </c>
      <c r="BA81" s="194">
        <f t="shared" si="59"/>
        <v>0</v>
      </c>
      <c r="BB81" s="194">
        <f t="shared" si="59"/>
        <v>0</v>
      </c>
      <c r="BC81" s="194">
        <f t="shared" si="59"/>
        <v>0</v>
      </c>
      <c r="BD81" s="194">
        <f t="shared" si="59"/>
        <v>0</v>
      </c>
      <c r="BE81" s="194">
        <f t="shared" si="59"/>
        <v>0</v>
      </c>
      <c r="BF81" s="194">
        <f t="shared" si="59"/>
        <v>0</v>
      </c>
      <c r="BG81" s="194">
        <f t="shared" si="59"/>
        <v>0</v>
      </c>
      <c r="BH81" s="194">
        <f t="shared" si="59"/>
        <v>0</v>
      </c>
      <c r="BI81" s="194">
        <f t="shared" si="59"/>
        <v>0</v>
      </c>
      <c r="BJ81" s="194">
        <f t="shared" si="59"/>
        <v>0</v>
      </c>
      <c r="BK81" s="194">
        <f t="shared" si="59"/>
        <v>0</v>
      </c>
      <c r="BL81" s="194">
        <f t="shared" si="59"/>
        <v>0</v>
      </c>
      <c r="BM81" s="194">
        <f t="shared" si="59"/>
        <v>0</v>
      </c>
      <c r="BN81" s="194">
        <f t="shared" si="59"/>
        <v>0</v>
      </c>
      <c r="BO81" s="194">
        <f t="shared" si="59"/>
        <v>0</v>
      </c>
      <c r="BP81" s="194">
        <f t="shared" si="59"/>
        <v>0</v>
      </c>
      <c r="BQ81" s="194">
        <f t="shared" si="59"/>
        <v>0</v>
      </c>
      <c r="BR81" s="194">
        <f t="shared" si="59"/>
        <v>0</v>
      </c>
      <c r="BS81" s="194">
        <f t="shared" si="59"/>
        <v>0</v>
      </c>
      <c r="BT81" s="194">
        <f t="shared" si="59"/>
        <v>0</v>
      </c>
      <c r="BU81" s="194">
        <f t="shared" si="59"/>
        <v>0</v>
      </c>
      <c r="BV81" s="194">
        <f t="shared" si="59"/>
        <v>0</v>
      </c>
      <c r="BW81" s="194">
        <f t="shared" si="59"/>
        <v>0</v>
      </c>
      <c r="BX81" s="194">
        <f t="shared" si="59"/>
        <v>0</v>
      </c>
      <c r="BY81" s="194">
        <f t="shared" si="59"/>
        <v>0</v>
      </c>
      <c r="BZ81" s="194">
        <f t="shared" si="59"/>
        <v>0</v>
      </c>
      <c r="CA81" s="194">
        <f t="shared" si="59"/>
        <v>0</v>
      </c>
      <c r="CB81" s="194">
        <f t="shared" ref="CB81:CC81" si="60">SUM(CB82:CB89)</f>
        <v>0</v>
      </c>
      <c r="CC81" s="194">
        <f t="shared" si="60"/>
        <v>0</v>
      </c>
      <c r="CD81" s="195"/>
      <c r="CE81" s="168"/>
    </row>
    <row r="82" spans="1:83" ht="46.15" outlineLevel="1">
      <c r="A82" s="126">
        <v>1</v>
      </c>
      <c r="B82" s="181" t="s">
        <v>1136</v>
      </c>
      <c r="C82" s="127" t="s">
        <v>886</v>
      </c>
      <c r="D82" s="127" t="s">
        <v>1005</v>
      </c>
      <c r="E82" s="127" t="s">
        <v>49</v>
      </c>
      <c r="F82" s="127" t="s">
        <v>922</v>
      </c>
      <c r="G82" s="127" t="s">
        <v>883</v>
      </c>
      <c r="H82" s="127" t="s">
        <v>883</v>
      </c>
      <c r="I82" s="127" t="s">
        <v>48</v>
      </c>
      <c r="J82" s="126"/>
      <c r="K82" s="198" t="s">
        <v>860</v>
      </c>
      <c r="L82" s="129"/>
      <c r="M82" s="127" t="s">
        <v>1137</v>
      </c>
      <c r="N82" s="127" t="s">
        <v>1137</v>
      </c>
      <c r="O82" s="169">
        <v>6700</v>
      </c>
      <c r="P82" s="169"/>
      <c r="Q82" s="169"/>
      <c r="R82" s="169">
        <v>6100</v>
      </c>
      <c r="S82" s="70"/>
      <c r="T82" s="70" t="s">
        <v>883</v>
      </c>
      <c r="U82" s="70"/>
      <c r="V82" s="70"/>
      <c r="W82" s="70"/>
      <c r="X82" s="70"/>
      <c r="Y82" s="169">
        <f t="shared" si="40"/>
        <v>6100</v>
      </c>
      <c r="Z82" s="70"/>
      <c r="AA82" s="70"/>
      <c r="AB82" s="169">
        <f t="shared" si="41"/>
        <v>6100</v>
      </c>
      <c r="AC82" s="169">
        <f t="shared" si="32"/>
        <v>0</v>
      </c>
      <c r="AD82" s="169"/>
      <c r="AE82" s="70"/>
      <c r="AF82" s="169">
        <v>6100</v>
      </c>
      <c r="AG82" s="169"/>
      <c r="AH82" s="169"/>
      <c r="AI82" s="70"/>
      <c r="AJ82" s="70"/>
      <c r="AK82" s="169">
        <f t="shared" si="34"/>
        <v>0</v>
      </c>
      <c r="AL82" s="169">
        <f t="shared" si="35"/>
        <v>0</v>
      </c>
      <c r="AM82" s="169"/>
      <c r="AN82" s="169"/>
      <c r="AO82" s="169"/>
      <c r="AP82" s="169"/>
      <c r="AQ82" s="169"/>
      <c r="AR82" s="70"/>
      <c r="AS82" s="70"/>
      <c r="AT82" s="169">
        <f t="shared" si="36"/>
        <v>0</v>
      </c>
      <c r="AU82" s="169">
        <f t="shared" si="37"/>
        <v>0</v>
      </c>
      <c r="AV82" s="169"/>
      <c r="AW82" s="70"/>
      <c r="AX82" s="68"/>
      <c r="AY82" s="169"/>
      <c r="AZ82" s="70"/>
      <c r="BA82" s="70"/>
      <c r="BB82" s="70"/>
      <c r="BC82" s="70">
        <f t="shared" si="38"/>
        <v>0</v>
      </c>
      <c r="BD82" s="169">
        <f t="shared" si="39"/>
        <v>0</v>
      </c>
      <c r="BE82" s="70"/>
      <c r="BF82" s="70"/>
      <c r="BG82" s="70"/>
      <c r="BH82" s="70"/>
      <c r="BI82" s="127"/>
      <c r="BJ82" s="127"/>
      <c r="BK82" s="127"/>
      <c r="BL82" s="127"/>
      <c r="BM82" s="127"/>
      <c r="BN82" s="127"/>
      <c r="BO82" s="504"/>
      <c r="BP82" s="127"/>
      <c r="BQ82" s="127"/>
      <c r="BR82" s="127"/>
      <c r="BS82" s="127"/>
      <c r="BT82" s="127"/>
      <c r="BU82" s="127"/>
      <c r="BV82" s="127"/>
      <c r="BW82" s="127"/>
      <c r="BX82" s="127"/>
      <c r="BY82" s="127"/>
      <c r="BZ82" s="127"/>
      <c r="CA82" s="127"/>
      <c r="CB82" s="127"/>
      <c r="CC82" s="127"/>
      <c r="CD82" s="127"/>
      <c r="CE82" s="174"/>
    </row>
    <row r="83" spans="1:83" ht="46.15" outlineLevel="1">
      <c r="A83" s="126">
        <v>2</v>
      </c>
      <c r="B83" s="181" t="s">
        <v>1138</v>
      </c>
      <c r="C83" s="127" t="s">
        <v>886</v>
      </c>
      <c r="D83" s="127" t="s">
        <v>1005</v>
      </c>
      <c r="E83" s="127" t="s">
        <v>49</v>
      </c>
      <c r="F83" s="127" t="s">
        <v>922</v>
      </c>
      <c r="G83" s="127" t="s">
        <v>883</v>
      </c>
      <c r="H83" s="127" t="s">
        <v>883</v>
      </c>
      <c r="I83" s="127" t="s">
        <v>48</v>
      </c>
      <c r="J83" s="126"/>
      <c r="K83" s="198" t="s">
        <v>860</v>
      </c>
      <c r="L83" s="129"/>
      <c r="M83" s="127" t="s">
        <v>1139</v>
      </c>
      <c r="N83" s="127" t="s">
        <v>1139</v>
      </c>
      <c r="O83" s="169">
        <v>4140</v>
      </c>
      <c r="P83" s="169"/>
      <c r="Q83" s="169"/>
      <c r="R83" s="169">
        <v>4000</v>
      </c>
      <c r="S83" s="70"/>
      <c r="T83" s="70" t="s">
        <v>883</v>
      </c>
      <c r="U83" s="70"/>
      <c r="V83" s="70"/>
      <c r="W83" s="70"/>
      <c r="X83" s="70"/>
      <c r="Y83" s="169">
        <f t="shared" si="40"/>
        <v>4000</v>
      </c>
      <c r="Z83" s="70"/>
      <c r="AA83" s="70"/>
      <c r="AB83" s="169">
        <f t="shared" si="41"/>
        <v>4000</v>
      </c>
      <c r="AC83" s="169">
        <f t="shared" si="32"/>
        <v>0</v>
      </c>
      <c r="AD83" s="169"/>
      <c r="AE83" s="70"/>
      <c r="AF83" s="169">
        <v>4000</v>
      </c>
      <c r="AG83" s="169"/>
      <c r="AH83" s="169"/>
      <c r="AI83" s="70"/>
      <c r="AJ83" s="70"/>
      <c r="AK83" s="169">
        <f t="shared" si="34"/>
        <v>0</v>
      </c>
      <c r="AL83" s="169">
        <f t="shared" si="35"/>
        <v>0</v>
      </c>
      <c r="AM83" s="169"/>
      <c r="AN83" s="169"/>
      <c r="AO83" s="169"/>
      <c r="AP83" s="169"/>
      <c r="AQ83" s="169"/>
      <c r="AR83" s="70"/>
      <c r="AS83" s="70"/>
      <c r="AT83" s="169">
        <f t="shared" si="36"/>
        <v>0</v>
      </c>
      <c r="AU83" s="169">
        <f t="shared" si="37"/>
        <v>0</v>
      </c>
      <c r="AV83" s="169"/>
      <c r="AW83" s="70"/>
      <c r="AX83" s="68"/>
      <c r="AY83" s="169"/>
      <c r="AZ83" s="70"/>
      <c r="BA83" s="70"/>
      <c r="BB83" s="70"/>
      <c r="BC83" s="70">
        <f t="shared" si="38"/>
        <v>0</v>
      </c>
      <c r="BD83" s="169">
        <f t="shared" si="39"/>
        <v>0</v>
      </c>
      <c r="BE83" s="70"/>
      <c r="BF83" s="70"/>
      <c r="BG83" s="70"/>
      <c r="BH83" s="70"/>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5"/>
    </row>
    <row r="84" spans="1:83" ht="46.15" outlineLevel="1">
      <c r="A84" s="126">
        <v>3</v>
      </c>
      <c r="B84" s="181" t="s">
        <v>1140</v>
      </c>
      <c r="C84" s="127" t="s">
        <v>886</v>
      </c>
      <c r="D84" s="127" t="s">
        <v>1005</v>
      </c>
      <c r="E84" s="127" t="s">
        <v>49</v>
      </c>
      <c r="F84" s="127" t="s">
        <v>922</v>
      </c>
      <c r="G84" s="127" t="s">
        <v>883</v>
      </c>
      <c r="H84" s="127" t="s">
        <v>883</v>
      </c>
      <c r="I84" s="127" t="s">
        <v>82</v>
      </c>
      <c r="J84" s="126"/>
      <c r="K84" s="198">
        <v>2025</v>
      </c>
      <c r="L84" s="129"/>
      <c r="M84" s="127" t="s">
        <v>1141</v>
      </c>
      <c r="N84" s="127" t="s">
        <v>1141</v>
      </c>
      <c r="O84" s="169">
        <v>4200</v>
      </c>
      <c r="P84" s="169"/>
      <c r="Q84" s="169"/>
      <c r="R84" s="169">
        <v>4000</v>
      </c>
      <c r="S84" s="70"/>
      <c r="T84" s="70" t="s">
        <v>883</v>
      </c>
      <c r="U84" s="70"/>
      <c r="V84" s="70"/>
      <c r="W84" s="70"/>
      <c r="X84" s="70"/>
      <c r="Y84" s="169">
        <f t="shared" si="40"/>
        <v>4000</v>
      </c>
      <c r="Z84" s="70"/>
      <c r="AA84" s="70"/>
      <c r="AB84" s="169">
        <f t="shared" si="41"/>
        <v>4000</v>
      </c>
      <c r="AC84" s="169">
        <f t="shared" si="32"/>
        <v>0</v>
      </c>
      <c r="AD84" s="169"/>
      <c r="AE84" s="70"/>
      <c r="AF84" s="169">
        <v>4000</v>
      </c>
      <c r="AG84" s="169"/>
      <c r="AH84" s="169"/>
      <c r="AI84" s="70"/>
      <c r="AJ84" s="70"/>
      <c r="AK84" s="169">
        <f t="shared" si="34"/>
        <v>0</v>
      </c>
      <c r="AL84" s="169">
        <f t="shared" si="35"/>
        <v>0</v>
      </c>
      <c r="AM84" s="169"/>
      <c r="AN84" s="169"/>
      <c r="AO84" s="169"/>
      <c r="AP84" s="169"/>
      <c r="AQ84" s="169"/>
      <c r="AR84" s="70"/>
      <c r="AS84" s="70"/>
      <c r="AT84" s="169">
        <f t="shared" si="36"/>
        <v>0</v>
      </c>
      <c r="AU84" s="169">
        <f t="shared" si="37"/>
        <v>0</v>
      </c>
      <c r="AV84" s="169"/>
      <c r="AW84" s="70"/>
      <c r="AX84" s="68"/>
      <c r="AY84" s="169"/>
      <c r="AZ84" s="70"/>
      <c r="BA84" s="70"/>
      <c r="BB84" s="70"/>
      <c r="BC84" s="70">
        <f t="shared" si="38"/>
        <v>0</v>
      </c>
      <c r="BD84" s="169">
        <f t="shared" si="39"/>
        <v>0</v>
      </c>
      <c r="BE84" s="70"/>
      <c r="BF84" s="70"/>
      <c r="BG84" s="70"/>
      <c r="BH84" s="70"/>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5"/>
    </row>
    <row r="85" spans="1:83" ht="46.15" outlineLevel="1">
      <c r="A85" s="126">
        <v>4</v>
      </c>
      <c r="B85" s="181" t="s">
        <v>1142</v>
      </c>
      <c r="C85" s="127" t="s">
        <v>886</v>
      </c>
      <c r="D85" s="127" t="s">
        <v>1005</v>
      </c>
      <c r="E85" s="127" t="s">
        <v>49</v>
      </c>
      <c r="F85" s="127" t="s">
        <v>922</v>
      </c>
      <c r="G85" s="127" t="s">
        <v>883</v>
      </c>
      <c r="H85" s="127" t="s">
        <v>883</v>
      </c>
      <c r="I85" s="127" t="s">
        <v>78</v>
      </c>
      <c r="J85" s="126"/>
      <c r="K85" s="198" t="s">
        <v>860</v>
      </c>
      <c r="L85" s="129"/>
      <c r="M85" s="127" t="s">
        <v>1143</v>
      </c>
      <c r="N85" s="127" t="s">
        <v>1143</v>
      </c>
      <c r="O85" s="169">
        <v>14500</v>
      </c>
      <c r="P85" s="169"/>
      <c r="Q85" s="169"/>
      <c r="R85" s="169">
        <v>14500</v>
      </c>
      <c r="S85" s="70"/>
      <c r="T85" s="70" t="s">
        <v>883</v>
      </c>
      <c r="U85" s="70"/>
      <c r="V85" s="70"/>
      <c r="W85" s="70"/>
      <c r="X85" s="70"/>
      <c r="Y85" s="169">
        <f t="shared" si="40"/>
        <v>14500</v>
      </c>
      <c r="Z85" s="70"/>
      <c r="AA85" s="70"/>
      <c r="AB85" s="169">
        <f t="shared" si="41"/>
        <v>14500</v>
      </c>
      <c r="AC85" s="169">
        <f t="shared" si="32"/>
        <v>0</v>
      </c>
      <c r="AD85" s="169"/>
      <c r="AE85" s="70"/>
      <c r="AF85" s="169">
        <v>14500</v>
      </c>
      <c r="AG85" s="169"/>
      <c r="AH85" s="169"/>
      <c r="AI85" s="70"/>
      <c r="AJ85" s="70"/>
      <c r="AK85" s="169">
        <f t="shared" si="34"/>
        <v>0</v>
      </c>
      <c r="AL85" s="169">
        <f t="shared" si="35"/>
        <v>0</v>
      </c>
      <c r="AM85" s="169"/>
      <c r="AN85" s="169"/>
      <c r="AO85" s="169"/>
      <c r="AP85" s="169"/>
      <c r="AQ85" s="169"/>
      <c r="AR85" s="70"/>
      <c r="AS85" s="70"/>
      <c r="AT85" s="169">
        <f t="shared" si="36"/>
        <v>0</v>
      </c>
      <c r="AU85" s="169">
        <f t="shared" si="37"/>
        <v>0</v>
      </c>
      <c r="AV85" s="169"/>
      <c r="AW85" s="70"/>
      <c r="AX85" s="68"/>
      <c r="AY85" s="169"/>
      <c r="AZ85" s="70"/>
      <c r="BA85" s="70"/>
      <c r="BB85" s="70"/>
      <c r="BC85" s="70">
        <f t="shared" si="38"/>
        <v>0</v>
      </c>
      <c r="BD85" s="169">
        <f t="shared" si="39"/>
        <v>0</v>
      </c>
      <c r="BE85" s="70"/>
      <c r="BF85" s="70"/>
      <c r="BG85" s="70"/>
      <c r="BH85" s="70"/>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5"/>
    </row>
    <row r="86" spans="1:83" ht="46.15" outlineLevel="1">
      <c r="A86" s="126">
        <v>5</v>
      </c>
      <c r="B86" s="181" t="s">
        <v>1144</v>
      </c>
      <c r="C86" s="127" t="s">
        <v>886</v>
      </c>
      <c r="D86" s="127" t="s">
        <v>1005</v>
      </c>
      <c r="E86" s="127" t="s">
        <v>49</v>
      </c>
      <c r="F86" s="127" t="s">
        <v>922</v>
      </c>
      <c r="G86" s="127" t="s">
        <v>883</v>
      </c>
      <c r="H86" s="127" t="s">
        <v>883</v>
      </c>
      <c r="I86" s="127" t="s">
        <v>55</v>
      </c>
      <c r="J86" s="126"/>
      <c r="K86" s="198" t="s">
        <v>312</v>
      </c>
      <c r="L86" s="129"/>
      <c r="M86" s="127" t="s">
        <v>1028</v>
      </c>
      <c r="N86" s="127" t="s">
        <v>1028</v>
      </c>
      <c r="O86" s="169">
        <v>1500</v>
      </c>
      <c r="P86" s="169"/>
      <c r="Q86" s="169"/>
      <c r="R86" s="169">
        <v>1500</v>
      </c>
      <c r="S86" s="70"/>
      <c r="T86" s="70" t="s">
        <v>883</v>
      </c>
      <c r="U86" s="70"/>
      <c r="V86" s="70"/>
      <c r="W86" s="70"/>
      <c r="X86" s="70"/>
      <c r="Y86" s="169">
        <f t="shared" si="40"/>
        <v>1500</v>
      </c>
      <c r="Z86" s="70"/>
      <c r="AA86" s="70"/>
      <c r="AB86" s="169">
        <f t="shared" si="41"/>
        <v>1500</v>
      </c>
      <c r="AC86" s="169">
        <f t="shared" si="32"/>
        <v>0</v>
      </c>
      <c r="AD86" s="169"/>
      <c r="AE86" s="70"/>
      <c r="AF86" s="169">
        <v>1500</v>
      </c>
      <c r="AG86" s="169"/>
      <c r="AH86" s="169"/>
      <c r="AI86" s="70"/>
      <c r="AJ86" s="70"/>
      <c r="AK86" s="169">
        <f t="shared" si="34"/>
        <v>0</v>
      </c>
      <c r="AL86" s="169">
        <f t="shared" si="35"/>
        <v>0</v>
      </c>
      <c r="AM86" s="169"/>
      <c r="AN86" s="169"/>
      <c r="AO86" s="169"/>
      <c r="AP86" s="169"/>
      <c r="AQ86" s="169"/>
      <c r="AR86" s="70"/>
      <c r="AS86" s="70"/>
      <c r="AT86" s="169">
        <f t="shared" si="36"/>
        <v>0</v>
      </c>
      <c r="AU86" s="169">
        <f t="shared" si="37"/>
        <v>0</v>
      </c>
      <c r="AV86" s="169"/>
      <c r="AW86" s="70"/>
      <c r="AX86" s="68"/>
      <c r="AY86" s="169"/>
      <c r="AZ86" s="70"/>
      <c r="BA86" s="70"/>
      <c r="BB86" s="70"/>
      <c r="BC86" s="70">
        <f t="shared" si="38"/>
        <v>0</v>
      </c>
      <c r="BD86" s="169">
        <f t="shared" si="39"/>
        <v>0</v>
      </c>
      <c r="BE86" s="70"/>
      <c r="BF86" s="70"/>
      <c r="BG86" s="70"/>
      <c r="BH86" s="70"/>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5"/>
    </row>
    <row r="87" spans="1:83" ht="30.75" outlineLevel="1">
      <c r="A87" s="126">
        <v>6</v>
      </c>
      <c r="B87" s="181" t="s">
        <v>1145</v>
      </c>
      <c r="C87" s="127" t="s">
        <v>1090</v>
      </c>
      <c r="D87" s="127" t="s">
        <v>1005</v>
      </c>
      <c r="E87" s="127" t="s">
        <v>49</v>
      </c>
      <c r="F87" s="127" t="s">
        <v>1146</v>
      </c>
      <c r="G87" s="127" t="s">
        <v>883</v>
      </c>
      <c r="H87" s="127" t="s">
        <v>883</v>
      </c>
      <c r="I87" s="127" t="s">
        <v>916</v>
      </c>
      <c r="J87" s="126"/>
      <c r="K87" s="126"/>
      <c r="L87" s="129"/>
      <c r="M87" s="127"/>
      <c r="N87" s="127"/>
      <c r="O87" s="169">
        <v>420</v>
      </c>
      <c r="P87" s="169"/>
      <c r="Q87" s="169"/>
      <c r="R87" s="169">
        <v>420</v>
      </c>
      <c r="S87" s="70"/>
      <c r="T87" s="70" t="s">
        <v>883</v>
      </c>
      <c r="U87" s="70"/>
      <c r="V87" s="70"/>
      <c r="W87" s="70"/>
      <c r="X87" s="70"/>
      <c r="Y87" s="169">
        <f t="shared" si="40"/>
        <v>420</v>
      </c>
      <c r="Z87" s="70"/>
      <c r="AA87" s="70"/>
      <c r="AB87" s="169">
        <f t="shared" si="41"/>
        <v>420</v>
      </c>
      <c r="AC87" s="169">
        <f t="shared" si="32"/>
        <v>0</v>
      </c>
      <c r="AD87" s="169"/>
      <c r="AE87" s="70"/>
      <c r="AF87" s="169"/>
      <c r="AG87" s="169">
        <v>420</v>
      </c>
      <c r="AH87" s="169"/>
      <c r="AI87" s="70"/>
      <c r="AJ87" s="70"/>
      <c r="AK87" s="169">
        <f t="shared" si="34"/>
        <v>0</v>
      </c>
      <c r="AL87" s="169">
        <f t="shared" si="35"/>
        <v>0</v>
      </c>
      <c r="AM87" s="169"/>
      <c r="AN87" s="169"/>
      <c r="AO87" s="169"/>
      <c r="AP87" s="169"/>
      <c r="AQ87" s="169"/>
      <c r="AR87" s="70"/>
      <c r="AS87" s="70"/>
      <c r="AT87" s="169">
        <f t="shared" si="36"/>
        <v>0</v>
      </c>
      <c r="AU87" s="169">
        <f t="shared" si="37"/>
        <v>0</v>
      </c>
      <c r="AV87" s="169"/>
      <c r="AW87" s="70"/>
      <c r="AX87" s="68"/>
      <c r="AY87" s="169"/>
      <c r="AZ87" s="70"/>
      <c r="BA87" s="70"/>
      <c r="BB87" s="70"/>
      <c r="BC87" s="70">
        <f t="shared" si="38"/>
        <v>0</v>
      </c>
      <c r="BD87" s="169">
        <f t="shared" si="39"/>
        <v>0</v>
      </c>
      <c r="BE87" s="70"/>
      <c r="BF87" s="70"/>
      <c r="BG87" s="70"/>
      <c r="BH87" s="70"/>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5"/>
    </row>
    <row r="88" spans="1:83" ht="30.75" outlineLevel="1">
      <c r="A88" s="126">
        <v>7</v>
      </c>
      <c r="B88" s="181" t="s">
        <v>1147</v>
      </c>
      <c r="C88" s="127" t="s">
        <v>1095</v>
      </c>
      <c r="D88" s="127" t="s">
        <v>1005</v>
      </c>
      <c r="E88" s="127" t="s">
        <v>49</v>
      </c>
      <c r="F88" s="127" t="s">
        <v>3661</v>
      </c>
      <c r="G88" s="127" t="s">
        <v>883</v>
      </c>
      <c r="H88" s="127" t="s">
        <v>883</v>
      </c>
      <c r="I88" s="127" t="s">
        <v>916</v>
      </c>
      <c r="J88" s="126"/>
      <c r="K88" s="126"/>
      <c r="L88" s="129"/>
      <c r="M88" s="127"/>
      <c r="N88" s="127"/>
      <c r="O88" s="169">
        <v>360</v>
      </c>
      <c r="P88" s="169"/>
      <c r="Q88" s="169"/>
      <c r="R88" s="169">
        <v>360</v>
      </c>
      <c r="S88" s="70"/>
      <c r="T88" s="70" t="s">
        <v>883</v>
      </c>
      <c r="U88" s="70"/>
      <c r="V88" s="70"/>
      <c r="W88" s="70"/>
      <c r="X88" s="70"/>
      <c r="Y88" s="169">
        <f t="shared" si="40"/>
        <v>360</v>
      </c>
      <c r="Z88" s="70"/>
      <c r="AA88" s="70"/>
      <c r="AB88" s="169">
        <f t="shared" si="41"/>
        <v>360</v>
      </c>
      <c r="AC88" s="169">
        <f t="shared" si="32"/>
        <v>0</v>
      </c>
      <c r="AD88" s="169"/>
      <c r="AE88" s="70"/>
      <c r="AF88" s="169"/>
      <c r="AG88" s="169">
        <v>360</v>
      </c>
      <c r="AH88" s="169"/>
      <c r="AI88" s="70"/>
      <c r="AJ88" s="70"/>
      <c r="AK88" s="169">
        <f t="shared" si="34"/>
        <v>0</v>
      </c>
      <c r="AL88" s="169">
        <f t="shared" si="35"/>
        <v>0</v>
      </c>
      <c r="AM88" s="169"/>
      <c r="AN88" s="169"/>
      <c r="AO88" s="169"/>
      <c r="AP88" s="169"/>
      <c r="AQ88" s="169"/>
      <c r="AR88" s="70"/>
      <c r="AS88" s="70"/>
      <c r="AT88" s="169">
        <f t="shared" si="36"/>
        <v>0</v>
      </c>
      <c r="AU88" s="169">
        <f t="shared" si="37"/>
        <v>0</v>
      </c>
      <c r="AV88" s="169"/>
      <c r="AW88" s="70"/>
      <c r="AX88" s="68"/>
      <c r="AY88" s="169"/>
      <c r="AZ88" s="70"/>
      <c r="BA88" s="70"/>
      <c r="BB88" s="70"/>
      <c r="BC88" s="70">
        <f t="shared" si="38"/>
        <v>0</v>
      </c>
      <c r="BD88" s="169">
        <f t="shared" si="39"/>
        <v>0</v>
      </c>
      <c r="BE88" s="70"/>
      <c r="BF88" s="70"/>
      <c r="BG88" s="70"/>
      <c r="BH88" s="70"/>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5"/>
    </row>
    <row r="89" spans="1:83" ht="30.75" outlineLevel="1">
      <c r="A89" s="126">
        <v>8</v>
      </c>
      <c r="B89" s="181" t="s">
        <v>1148</v>
      </c>
      <c r="C89" s="127" t="s">
        <v>1095</v>
      </c>
      <c r="D89" s="127" t="s">
        <v>1005</v>
      </c>
      <c r="E89" s="127" t="s">
        <v>49</v>
      </c>
      <c r="F89" s="127" t="s">
        <v>958</v>
      </c>
      <c r="G89" s="127" t="s">
        <v>883</v>
      </c>
      <c r="H89" s="127" t="s">
        <v>883</v>
      </c>
      <c r="I89" s="127" t="s">
        <v>916</v>
      </c>
      <c r="J89" s="126"/>
      <c r="K89" s="126"/>
      <c r="L89" s="129"/>
      <c r="M89" s="127"/>
      <c r="N89" s="127"/>
      <c r="O89" s="169">
        <v>400</v>
      </c>
      <c r="P89" s="169"/>
      <c r="Q89" s="169"/>
      <c r="R89" s="169">
        <v>400</v>
      </c>
      <c r="S89" s="70"/>
      <c r="T89" s="70" t="s">
        <v>883</v>
      </c>
      <c r="U89" s="70"/>
      <c r="V89" s="70"/>
      <c r="W89" s="70"/>
      <c r="X89" s="70"/>
      <c r="Y89" s="169">
        <f t="shared" si="40"/>
        <v>400</v>
      </c>
      <c r="Z89" s="70"/>
      <c r="AA89" s="70"/>
      <c r="AB89" s="169">
        <f t="shared" si="41"/>
        <v>400</v>
      </c>
      <c r="AC89" s="169">
        <f t="shared" si="32"/>
        <v>0</v>
      </c>
      <c r="AD89" s="169"/>
      <c r="AE89" s="70"/>
      <c r="AF89" s="169"/>
      <c r="AG89" s="169">
        <v>400</v>
      </c>
      <c r="AH89" s="169"/>
      <c r="AI89" s="70"/>
      <c r="AJ89" s="70"/>
      <c r="AK89" s="169">
        <f t="shared" si="34"/>
        <v>0</v>
      </c>
      <c r="AL89" s="169">
        <f t="shared" si="35"/>
        <v>0</v>
      </c>
      <c r="AM89" s="169"/>
      <c r="AN89" s="169"/>
      <c r="AO89" s="169"/>
      <c r="AP89" s="169"/>
      <c r="AQ89" s="169"/>
      <c r="AR89" s="70"/>
      <c r="AS89" s="70"/>
      <c r="AT89" s="169">
        <f t="shared" si="36"/>
        <v>0</v>
      </c>
      <c r="AU89" s="169">
        <f t="shared" si="37"/>
        <v>0</v>
      </c>
      <c r="AV89" s="169"/>
      <c r="AW89" s="70"/>
      <c r="AX89" s="68"/>
      <c r="AY89" s="169"/>
      <c r="AZ89" s="70"/>
      <c r="BA89" s="70"/>
      <c r="BB89" s="70"/>
      <c r="BC89" s="70">
        <f t="shared" si="38"/>
        <v>0</v>
      </c>
      <c r="BD89" s="169">
        <f t="shared" si="39"/>
        <v>0</v>
      </c>
      <c r="BE89" s="70"/>
      <c r="BF89" s="70"/>
      <c r="BG89" s="70"/>
      <c r="BH89" s="70"/>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5"/>
    </row>
    <row r="90" spans="1:83" ht="30" customHeight="1">
      <c r="A90" s="418" t="s">
        <v>14</v>
      </c>
      <c r="B90" s="418" t="s">
        <v>1149</v>
      </c>
      <c r="C90" s="482"/>
      <c r="D90" s="482"/>
      <c r="E90" s="482"/>
      <c r="F90" s="482"/>
      <c r="G90" s="482"/>
      <c r="H90" s="482"/>
      <c r="I90" s="482"/>
      <c r="J90" s="482"/>
      <c r="K90" s="482"/>
      <c r="L90" s="482"/>
      <c r="M90" s="482"/>
      <c r="N90" s="482"/>
      <c r="O90" s="72">
        <f>O91+O106</f>
        <v>126920</v>
      </c>
      <c r="P90" s="72">
        <f t="shared" ref="P90:CA90" si="61">P91+P106</f>
        <v>0</v>
      </c>
      <c r="Q90" s="72">
        <f t="shared" si="61"/>
        <v>90000</v>
      </c>
      <c r="R90" s="72">
        <f t="shared" si="61"/>
        <v>36253</v>
      </c>
      <c r="S90" s="72">
        <f t="shared" si="61"/>
        <v>0</v>
      </c>
      <c r="T90" s="72">
        <f t="shared" si="61"/>
        <v>0</v>
      </c>
      <c r="U90" s="72">
        <f t="shared" si="61"/>
        <v>0</v>
      </c>
      <c r="V90" s="72">
        <f t="shared" si="61"/>
        <v>0</v>
      </c>
      <c r="W90" s="72">
        <f t="shared" si="61"/>
        <v>0</v>
      </c>
      <c r="X90" s="72">
        <f t="shared" si="61"/>
        <v>0</v>
      </c>
      <c r="Y90" s="72">
        <f t="shared" si="61"/>
        <v>124785</v>
      </c>
      <c r="Z90" s="72">
        <f t="shared" si="61"/>
        <v>0</v>
      </c>
      <c r="AA90" s="72">
        <f t="shared" si="61"/>
        <v>90000</v>
      </c>
      <c r="AB90" s="72">
        <f t="shared" si="61"/>
        <v>34785</v>
      </c>
      <c r="AC90" s="72">
        <f t="shared" si="61"/>
        <v>8732</v>
      </c>
      <c r="AD90" s="72">
        <f t="shared" si="61"/>
        <v>5382</v>
      </c>
      <c r="AE90" s="72">
        <f t="shared" si="61"/>
        <v>3350</v>
      </c>
      <c r="AF90" s="72">
        <f t="shared" si="61"/>
        <v>15753</v>
      </c>
      <c r="AG90" s="72">
        <f t="shared" si="61"/>
        <v>10300</v>
      </c>
      <c r="AH90" s="72">
        <f t="shared" si="61"/>
        <v>18385.731999999996</v>
      </c>
      <c r="AI90" s="72">
        <f t="shared" si="61"/>
        <v>0</v>
      </c>
      <c r="AJ90" s="72">
        <f t="shared" si="61"/>
        <v>0</v>
      </c>
      <c r="AK90" s="72">
        <f t="shared" si="61"/>
        <v>18385.731999999996</v>
      </c>
      <c r="AL90" s="72">
        <f t="shared" si="61"/>
        <v>7951.7979999999998</v>
      </c>
      <c r="AM90" s="72">
        <f t="shared" si="61"/>
        <v>4601.7979999999998</v>
      </c>
      <c r="AN90" s="72">
        <f t="shared" si="61"/>
        <v>3350</v>
      </c>
      <c r="AO90" s="72">
        <f t="shared" si="61"/>
        <v>3720</v>
      </c>
      <c r="AP90" s="72">
        <f t="shared" si="61"/>
        <v>6713.9340000000002</v>
      </c>
      <c r="AQ90" s="72">
        <f t="shared" si="61"/>
        <v>16781.127999999997</v>
      </c>
      <c r="AR90" s="72">
        <f t="shared" si="61"/>
        <v>0</v>
      </c>
      <c r="AS90" s="72">
        <f t="shared" si="61"/>
        <v>0</v>
      </c>
      <c r="AT90" s="72">
        <f t="shared" si="61"/>
        <v>17570.127999999997</v>
      </c>
      <c r="AU90" s="72">
        <f t="shared" si="61"/>
        <v>7951.7979999999998</v>
      </c>
      <c r="AV90" s="72">
        <f t="shared" si="61"/>
        <v>4601.7979999999998</v>
      </c>
      <c r="AW90" s="72">
        <f t="shared" si="61"/>
        <v>3350</v>
      </c>
      <c r="AX90" s="72">
        <f t="shared" si="61"/>
        <v>3720</v>
      </c>
      <c r="AY90" s="72">
        <f t="shared" si="61"/>
        <v>5898.33</v>
      </c>
      <c r="AZ90" s="72">
        <f t="shared" si="61"/>
        <v>28520.008000000002</v>
      </c>
      <c r="BA90" s="72">
        <f t="shared" si="61"/>
        <v>0</v>
      </c>
      <c r="BB90" s="72">
        <f t="shared" si="61"/>
        <v>25000</v>
      </c>
      <c r="BC90" s="72">
        <f t="shared" si="61"/>
        <v>3520.0079999999998</v>
      </c>
      <c r="BD90" s="72">
        <f t="shared" si="61"/>
        <v>780</v>
      </c>
      <c r="BE90" s="72">
        <f t="shared" si="61"/>
        <v>780</v>
      </c>
      <c r="BF90" s="72">
        <f t="shared" si="61"/>
        <v>0</v>
      </c>
      <c r="BG90" s="72">
        <f t="shared" si="61"/>
        <v>371.50799999999998</v>
      </c>
      <c r="BH90" s="72">
        <f t="shared" si="61"/>
        <v>2368.5</v>
      </c>
      <c r="BI90" s="72">
        <f t="shared" si="61"/>
        <v>1893.8410000000001</v>
      </c>
      <c r="BJ90" s="72">
        <f t="shared" si="61"/>
        <v>0</v>
      </c>
      <c r="BK90" s="72">
        <f t="shared" si="61"/>
        <v>0</v>
      </c>
      <c r="BL90" s="72">
        <f t="shared" si="61"/>
        <v>1893.8410000000001</v>
      </c>
      <c r="BM90" s="72">
        <f t="shared" si="61"/>
        <v>168.74</v>
      </c>
      <c r="BN90" s="72">
        <f t="shared" si="61"/>
        <v>0</v>
      </c>
      <c r="BO90" s="72">
        <f t="shared" si="61"/>
        <v>266.98899999999998</v>
      </c>
      <c r="BP90" s="72">
        <f t="shared" si="61"/>
        <v>1458.1120000000001</v>
      </c>
      <c r="BQ90" s="72">
        <f t="shared" si="61"/>
        <v>815.60400000000004</v>
      </c>
      <c r="BR90" s="72">
        <f t="shared" si="61"/>
        <v>0</v>
      </c>
      <c r="BS90" s="72">
        <f t="shared" si="61"/>
        <v>0</v>
      </c>
      <c r="BT90" s="72">
        <f t="shared" si="61"/>
        <v>815.60400000000004</v>
      </c>
      <c r="BU90" s="72">
        <f t="shared" si="61"/>
        <v>815.60400000000004</v>
      </c>
      <c r="BV90" s="72">
        <f t="shared" si="61"/>
        <v>0</v>
      </c>
      <c r="BW90" s="72">
        <f t="shared" si="61"/>
        <v>0</v>
      </c>
      <c r="BX90" s="72">
        <f t="shared" si="61"/>
        <v>815.60400000000004</v>
      </c>
      <c r="BY90" s="72">
        <f t="shared" si="61"/>
        <v>0</v>
      </c>
      <c r="BZ90" s="72">
        <f t="shared" si="61"/>
        <v>0</v>
      </c>
      <c r="CA90" s="72">
        <f t="shared" si="61"/>
        <v>0</v>
      </c>
      <c r="CB90" s="72">
        <f t="shared" ref="CB90:CC90" si="62">CB91+CB106</f>
        <v>0</v>
      </c>
      <c r="CC90" s="72">
        <f t="shared" si="62"/>
        <v>815.60400000000004</v>
      </c>
      <c r="CD90" s="482"/>
      <c r="CE90" s="503"/>
    </row>
    <row r="91" spans="1:83" outlineLevel="1">
      <c r="A91" s="430" t="s">
        <v>45</v>
      </c>
      <c r="B91" s="485" t="s">
        <v>51</v>
      </c>
      <c r="C91" s="482"/>
      <c r="D91" s="482"/>
      <c r="E91" s="482"/>
      <c r="F91" s="482"/>
      <c r="G91" s="482"/>
      <c r="H91" s="482"/>
      <c r="I91" s="482"/>
      <c r="J91" s="482"/>
      <c r="K91" s="482"/>
      <c r="L91" s="482"/>
      <c r="M91" s="482"/>
      <c r="N91" s="482"/>
      <c r="O91" s="72">
        <f>SUM(O92:O105)</f>
        <v>123290</v>
      </c>
      <c r="P91" s="72">
        <f t="shared" ref="P91:CA91" si="63">SUM(P92:P105)</f>
        <v>0</v>
      </c>
      <c r="Q91" s="72">
        <f t="shared" si="63"/>
        <v>90000</v>
      </c>
      <c r="R91" s="72">
        <f t="shared" si="63"/>
        <v>32673</v>
      </c>
      <c r="S91" s="72">
        <f t="shared" si="63"/>
        <v>0</v>
      </c>
      <c r="T91" s="72">
        <f t="shared" si="63"/>
        <v>0</v>
      </c>
      <c r="U91" s="72">
        <f t="shared" si="63"/>
        <v>0</v>
      </c>
      <c r="V91" s="72">
        <f t="shared" si="63"/>
        <v>0</v>
      </c>
      <c r="W91" s="72">
        <f t="shared" si="63"/>
        <v>0</v>
      </c>
      <c r="X91" s="72">
        <f t="shared" si="63"/>
        <v>0</v>
      </c>
      <c r="Y91" s="72">
        <f t="shared" si="63"/>
        <v>121205</v>
      </c>
      <c r="Z91" s="72">
        <f t="shared" si="63"/>
        <v>0</v>
      </c>
      <c r="AA91" s="72">
        <f t="shared" si="63"/>
        <v>90000</v>
      </c>
      <c r="AB91" s="72">
        <f t="shared" si="63"/>
        <v>31205</v>
      </c>
      <c r="AC91" s="72">
        <f t="shared" si="63"/>
        <v>8732</v>
      </c>
      <c r="AD91" s="72">
        <f t="shared" si="63"/>
        <v>5382</v>
      </c>
      <c r="AE91" s="72">
        <f t="shared" si="63"/>
        <v>3350</v>
      </c>
      <c r="AF91" s="72">
        <f t="shared" si="63"/>
        <v>13253</v>
      </c>
      <c r="AG91" s="72">
        <f t="shared" si="63"/>
        <v>9220</v>
      </c>
      <c r="AH91" s="72">
        <f t="shared" si="63"/>
        <v>18385.731999999996</v>
      </c>
      <c r="AI91" s="72">
        <f t="shared" si="63"/>
        <v>0</v>
      </c>
      <c r="AJ91" s="72">
        <f t="shared" si="63"/>
        <v>0</v>
      </c>
      <c r="AK91" s="72">
        <f t="shared" si="63"/>
        <v>18385.731999999996</v>
      </c>
      <c r="AL91" s="72">
        <f t="shared" si="63"/>
        <v>7951.7979999999998</v>
      </c>
      <c r="AM91" s="72">
        <f t="shared" si="63"/>
        <v>4601.7979999999998</v>
      </c>
      <c r="AN91" s="72">
        <f t="shared" si="63"/>
        <v>3350</v>
      </c>
      <c r="AO91" s="72">
        <f t="shared" si="63"/>
        <v>3720</v>
      </c>
      <c r="AP91" s="72">
        <f t="shared" si="63"/>
        <v>6713.9340000000002</v>
      </c>
      <c r="AQ91" s="72">
        <f t="shared" si="63"/>
        <v>16781.127999999997</v>
      </c>
      <c r="AR91" s="72">
        <f t="shared" si="63"/>
        <v>0</v>
      </c>
      <c r="AS91" s="72">
        <f t="shared" si="63"/>
        <v>0</v>
      </c>
      <c r="AT91" s="72">
        <f t="shared" si="63"/>
        <v>17570.127999999997</v>
      </c>
      <c r="AU91" s="72">
        <f t="shared" si="63"/>
        <v>7951.7979999999998</v>
      </c>
      <c r="AV91" s="72">
        <f t="shared" si="63"/>
        <v>4601.7979999999998</v>
      </c>
      <c r="AW91" s="72">
        <f t="shared" si="63"/>
        <v>3350</v>
      </c>
      <c r="AX91" s="72">
        <f t="shared" si="63"/>
        <v>3720</v>
      </c>
      <c r="AY91" s="72">
        <f t="shared" si="63"/>
        <v>5898.33</v>
      </c>
      <c r="AZ91" s="72">
        <f t="shared" si="63"/>
        <v>28520.008000000002</v>
      </c>
      <c r="BA91" s="72">
        <f t="shared" si="63"/>
        <v>0</v>
      </c>
      <c r="BB91" s="72">
        <f t="shared" si="63"/>
        <v>25000</v>
      </c>
      <c r="BC91" s="72">
        <f t="shared" si="63"/>
        <v>3520.0079999999998</v>
      </c>
      <c r="BD91" s="72">
        <f t="shared" si="63"/>
        <v>780</v>
      </c>
      <c r="BE91" s="72">
        <f t="shared" si="63"/>
        <v>780</v>
      </c>
      <c r="BF91" s="72">
        <f t="shared" si="63"/>
        <v>0</v>
      </c>
      <c r="BG91" s="72">
        <f t="shared" si="63"/>
        <v>371.50799999999998</v>
      </c>
      <c r="BH91" s="72">
        <f t="shared" si="63"/>
        <v>2368.5</v>
      </c>
      <c r="BI91" s="72">
        <f t="shared" si="63"/>
        <v>1893.8410000000001</v>
      </c>
      <c r="BJ91" s="72">
        <f t="shared" si="63"/>
        <v>0</v>
      </c>
      <c r="BK91" s="72">
        <f t="shared" si="63"/>
        <v>0</v>
      </c>
      <c r="BL91" s="72">
        <f t="shared" si="63"/>
        <v>1893.8410000000001</v>
      </c>
      <c r="BM91" s="72">
        <f t="shared" si="63"/>
        <v>168.74</v>
      </c>
      <c r="BN91" s="72">
        <f t="shared" si="63"/>
        <v>0</v>
      </c>
      <c r="BO91" s="72">
        <f t="shared" si="63"/>
        <v>266.98899999999998</v>
      </c>
      <c r="BP91" s="72">
        <f t="shared" si="63"/>
        <v>1458.1120000000001</v>
      </c>
      <c r="BQ91" s="72">
        <f t="shared" si="63"/>
        <v>815.60400000000004</v>
      </c>
      <c r="BR91" s="72">
        <f t="shared" si="63"/>
        <v>0</v>
      </c>
      <c r="BS91" s="72">
        <f t="shared" si="63"/>
        <v>0</v>
      </c>
      <c r="BT91" s="72">
        <f t="shared" si="63"/>
        <v>815.60400000000004</v>
      </c>
      <c r="BU91" s="72">
        <f t="shared" si="63"/>
        <v>815.60400000000004</v>
      </c>
      <c r="BV91" s="72">
        <f t="shared" si="63"/>
        <v>0</v>
      </c>
      <c r="BW91" s="72">
        <f t="shared" si="63"/>
        <v>0</v>
      </c>
      <c r="BX91" s="72">
        <f t="shared" si="63"/>
        <v>815.60400000000004</v>
      </c>
      <c r="BY91" s="72">
        <f t="shared" si="63"/>
        <v>0</v>
      </c>
      <c r="BZ91" s="72">
        <f t="shared" si="63"/>
        <v>0</v>
      </c>
      <c r="CA91" s="72">
        <f t="shared" si="63"/>
        <v>0</v>
      </c>
      <c r="CB91" s="72">
        <f t="shared" ref="CB91:CC91" si="64">SUM(CB92:CB105)</f>
        <v>0</v>
      </c>
      <c r="CC91" s="72">
        <f t="shared" si="64"/>
        <v>815.60400000000004</v>
      </c>
      <c r="CD91" s="482"/>
      <c r="CE91" s="503"/>
    </row>
    <row r="92" spans="1:83" ht="46.15" outlineLevel="1">
      <c r="A92" s="126">
        <v>1</v>
      </c>
      <c r="B92" s="181" t="s">
        <v>1150</v>
      </c>
      <c r="C92" s="127" t="s">
        <v>886</v>
      </c>
      <c r="D92" s="127" t="s">
        <v>1151</v>
      </c>
      <c r="E92" s="127" t="s">
        <v>49</v>
      </c>
      <c r="F92" s="127" t="s">
        <v>1152</v>
      </c>
      <c r="G92" s="127" t="s">
        <v>1149</v>
      </c>
      <c r="H92" s="127" t="s">
        <v>1149</v>
      </c>
      <c r="I92" s="127" t="s">
        <v>55</v>
      </c>
      <c r="J92" s="126"/>
      <c r="K92" s="127" t="s">
        <v>56</v>
      </c>
      <c r="L92" s="129">
        <v>2023</v>
      </c>
      <c r="M92" s="127" t="s">
        <v>1153</v>
      </c>
      <c r="N92" s="127" t="s">
        <v>1154</v>
      </c>
      <c r="O92" s="169">
        <v>2000</v>
      </c>
      <c r="P92" s="169"/>
      <c r="Q92" s="169"/>
      <c r="R92" s="169">
        <v>2000</v>
      </c>
      <c r="S92" s="70" t="s">
        <v>1155</v>
      </c>
      <c r="T92" s="70" t="s">
        <v>1149</v>
      </c>
      <c r="U92" s="70"/>
      <c r="V92" s="70"/>
      <c r="W92" s="70"/>
      <c r="X92" s="70"/>
      <c r="Y92" s="169">
        <f t="shared" ref="Y92:Y111" si="65">SUM(Z92:AB92)</f>
        <v>2000</v>
      </c>
      <c r="Z92" s="70"/>
      <c r="AA92" s="70"/>
      <c r="AB92" s="169">
        <f t="shared" ref="AB92:AB111" si="66">SUM(AD92:AG92)</f>
        <v>2000</v>
      </c>
      <c r="AC92" s="169">
        <f t="shared" ref="AC92:AC111" si="67">AD92+AE92</f>
        <v>1650</v>
      </c>
      <c r="AD92" s="177">
        <v>1650</v>
      </c>
      <c r="AE92" s="177"/>
      <c r="AF92" s="169">
        <v>350</v>
      </c>
      <c r="AG92" s="169"/>
      <c r="AH92" s="169">
        <f t="shared" ref="AH92:AH94" si="68">SUM(AI92:AK92)</f>
        <v>1480</v>
      </c>
      <c r="AI92" s="70"/>
      <c r="AJ92" s="70"/>
      <c r="AK92" s="169">
        <f t="shared" ref="AK92:AK111" si="69">AP92+AO92+AL92</f>
        <v>1480</v>
      </c>
      <c r="AL92" s="169">
        <f t="shared" ref="AL92:AL111" si="70">AM92+AN92</f>
        <v>1480</v>
      </c>
      <c r="AM92" s="178">
        <v>1480</v>
      </c>
      <c r="AN92" s="169"/>
      <c r="AO92" s="68"/>
      <c r="AP92" s="70"/>
      <c r="AQ92" s="169">
        <f t="shared" ref="AQ92:AQ94" si="71">SUM(AR92:AT92)</f>
        <v>1480</v>
      </c>
      <c r="AR92" s="70"/>
      <c r="AS92" s="70"/>
      <c r="AT92" s="169">
        <f t="shared" ref="AT92:AT99" si="72">AU92+AX92+AY92</f>
        <v>1480</v>
      </c>
      <c r="AU92" s="169">
        <f t="shared" ref="AU92:AU111" si="73">AV92+AW92</f>
        <v>1480</v>
      </c>
      <c r="AV92" s="169">
        <v>1480</v>
      </c>
      <c r="AW92" s="70"/>
      <c r="AX92" s="68"/>
      <c r="AY92" s="70"/>
      <c r="AZ92" s="70">
        <f t="shared" ref="AZ92:AZ94" si="74">SUM(BA92:BC92)</f>
        <v>170</v>
      </c>
      <c r="BA92" s="70"/>
      <c r="BB92" s="70"/>
      <c r="BC92" s="70">
        <f t="shared" ref="BC92:BC113" si="75">BD92+BG92+BH92</f>
        <v>170</v>
      </c>
      <c r="BD92" s="169">
        <f t="shared" ref="BD92:BD111" si="76">BF92+BE92</f>
        <v>170</v>
      </c>
      <c r="BE92" s="177">
        <v>170</v>
      </c>
      <c r="BF92" s="70"/>
      <c r="BG92" s="108"/>
      <c r="BH92" s="169"/>
      <c r="BI92" s="127">
        <f t="shared" ref="BI92:BI94" si="77">SUM(BJ92:BL92)</f>
        <v>168.74</v>
      </c>
      <c r="BJ92" s="127"/>
      <c r="BK92" s="127"/>
      <c r="BL92" s="127">
        <f t="shared" ref="BL92:BL99" si="78">SUM(BM92:BP92)</f>
        <v>168.74</v>
      </c>
      <c r="BM92" s="127">
        <v>168.74</v>
      </c>
      <c r="BN92" s="127"/>
      <c r="BO92" s="127"/>
      <c r="BP92" s="127"/>
      <c r="BQ92" s="127"/>
      <c r="BR92" s="127"/>
      <c r="BS92" s="127"/>
      <c r="BT92" s="127"/>
      <c r="BU92" s="127"/>
      <c r="BV92" s="127"/>
      <c r="BW92" s="127"/>
      <c r="BX92" s="127"/>
      <c r="BY92" s="127"/>
      <c r="BZ92" s="127"/>
      <c r="CA92" s="127"/>
      <c r="CB92" s="127"/>
      <c r="CC92" s="127"/>
      <c r="CD92" s="127"/>
      <c r="CE92" s="125"/>
    </row>
    <row r="93" spans="1:83" ht="46.15" outlineLevel="1">
      <c r="A93" s="126">
        <v>2</v>
      </c>
      <c r="B93" s="181" t="s">
        <v>1156</v>
      </c>
      <c r="C93" s="127" t="s">
        <v>886</v>
      </c>
      <c r="D93" s="127" t="s">
        <v>1151</v>
      </c>
      <c r="E93" s="127" t="s">
        <v>49</v>
      </c>
      <c r="F93" s="127" t="s">
        <v>1157</v>
      </c>
      <c r="G93" s="127" t="s">
        <v>1149</v>
      </c>
      <c r="H93" s="127" t="s">
        <v>1149</v>
      </c>
      <c r="I93" s="127" t="s">
        <v>55</v>
      </c>
      <c r="J93" s="129">
        <v>7897877</v>
      </c>
      <c r="K93" s="127" t="s">
        <v>891</v>
      </c>
      <c r="L93" s="129">
        <v>2021</v>
      </c>
      <c r="M93" s="127" t="s">
        <v>1158</v>
      </c>
      <c r="N93" s="127" t="s">
        <v>1159</v>
      </c>
      <c r="O93" s="169">
        <v>1200</v>
      </c>
      <c r="P93" s="169"/>
      <c r="Q93" s="169"/>
      <c r="R93" s="169">
        <v>1150</v>
      </c>
      <c r="S93" s="70" t="s">
        <v>1160</v>
      </c>
      <c r="T93" s="70" t="s">
        <v>1149</v>
      </c>
      <c r="U93" s="70"/>
      <c r="V93" s="70"/>
      <c r="W93" s="70"/>
      <c r="X93" s="70"/>
      <c r="Y93" s="169">
        <f t="shared" si="65"/>
        <v>1122</v>
      </c>
      <c r="Z93" s="70"/>
      <c r="AA93" s="70"/>
      <c r="AB93" s="169">
        <f t="shared" si="66"/>
        <v>1122</v>
      </c>
      <c r="AC93" s="169">
        <f t="shared" si="67"/>
        <v>1122</v>
      </c>
      <c r="AD93" s="177">
        <v>1122</v>
      </c>
      <c r="AE93" s="177"/>
      <c r="AF93" s="169"/>
      <c r="AG93" s="169"/>
      <c r="AH93" s="169">
        <f t="shared" si="68"/>
        <v>1121.798</v>
      </c>
      <c r="AI93" s="70"/>
      <c r="AJ93" s="70"/>
      <c r="AK93" s="169">
        <f t="shared" si="69"/>
        <v>1121.798</v>
      </c>
      <c r="AL93" s="169">
        <f t="shared" si="70"/>
        <v>1121.798</v>
      </c>
      <c r="AM93" s="178">
        <v>1121.798</v>
      </c>
      <c r="AN93" s="169"/>
      <c r="AO93" s="68"/>
      <c r="AP93" s="70"/>
      <c r="AQ93" s="169">
        <f t="shared" si="71"/>
        <v>1121.798</v>
      </c>
      <c r="AR93" s="70"/>
      <c r="AS93" s="70"/>
      <c r="AT93" s="169">
        <f t="shared" si="72"/>
        <v>1121.798</v>
      </c>
      <c r="AU93" s="169">
        <f t="shared" si="73"/>
        <v>1121.798</v>
      </c>
      <c r="AV93" s="169">
        <v>1121.798</v>
      </c>
      <c r="AW93" s="70"/>
      <c r="AX93" s="68"/>
      <c r="AY93" s="70"/>
      <c r="AZ93" s="70">
        <f t="shared" si="74"/>
        <v>0</v>
      </c>
      <c r="BA93" s="70"/>
      <c r="BB93" s="70"/>
      <c r="BC93" s="70">
        <f t="shared" si="75"/>
        <v>0</v>
      </c>
      <c r="BD93" s="169">
        <f t="shared" si="76"/>
        <v>0</v>
      </c>
      <c r="BE93" s="177"/>
      <c r="BF93" s="70"/>
      <c r="BG93" s="108"/>
      <c r="BH93" s="169"/>
      <c r="BI93" s="127">
        <f t="shared" si="77"/>
        <v>0</v>
      </c>
      <c r="BJ93" s="127"/>
      <c r="BK93" s="127"/>
      <c r="BL93" s="127">
        <f t="shared" si="78"/>
        <v>0</v>
      </c>
      <c r="BM93" s="127"/>
      <c r="BN93" s="127"/>
      <c r="BO93" s="127"/>
      <c r="BP93" s="127"/>
      <c r="BQ93" s="127">
        <f t="shared" ref="BQ93:BQ94" si="79">SUM(BR93:BT93)</f>
        <v>0</v>
      </c>
      <c r="BR93" s="127"/>
      <c r="BS93" s="127"/>
      <c r="BT93" s="127"/>
      <c r="BU93" s="127">
        <f t="shared" ref="BU93:BU94" si="80">SUM(BV93:BX93)</f>
        <v>0</v>
      </c>
      <c r="BV93" s="127"/>
      <c r="BW93" s="127"/>
      <c r="BX93" s="127"/>
      <c r="BY93" s="127"/>
      <c r="BZ93" s="127"/>
      <c r="CA93" s="127"/>
      <c r="CB93" s="127"/>
      <c r="CC93" s="127"/>
      <c r="CD93" s="127"/>
      <c r="CE93" s="125"/>
    </row>
    <row r="94" spans="1:83" ht="46.15" outlineLevel="1">
      <c r="A94" s="126">
        <v>3</v>
      </c>
      <c r="B94" s="181" t="s">
        <v>1161</v>
      </c>
      <c r="C94" s="127" t="s">
        <v>886</v>
      </c>
      <c r="D94" s="127" t="s">
        <v>1151</v>
      </c>
      <c r="E94" s="127" t="s">
        <v>49</v>
      </c>
      <c r="F94" s="127" t="s">
        <v>1149</v>
      </c>
      <c r="G94" s="127" t="s">
        <v>1149</v>
      </c>
      <c r="H94" s="127" t="s">
        <v>1149</v>
      </c>
      <c r="I94" s="127" t="s">
        <v>55</v>
      </c>
      <c r="J94" s="129" t="s">
        <v>1162</v>
      </c>
      <c r="K94" s="126" t="s">
        <v>56</v>
      </c>
      <c r="L94" s="129">
        <v>2023</v>
      </c>
      <c r="M94" s="127" t="s">
        <v>1163</v>
      </c>
      <c r="N94" s="127" t="s">
        <v>1164</v>
      </c>
      <c r="O94" s="169">
        <v>5100</v>
      </c>
      <c r="P94" s="169"/>
      <c r="Q94" s="169"/>
      <c r="R94" s="169">
        <v>5100</v>
      </c>
      <c r="S94" s="70" t="s">
        <v>1165</v>
      </c>
      <c r="T94" s="70" t="s">
        <v>1149</v>
      </c>
      <c r="U94" s="70"/>
      <c r="V94" s="70"/>
      <c r="W94" s="70"/>
      <c r="X94" s="70"/>
      <c r="Y94" s="169">
        <f t="shared" si="65"/>
        <v>5110</v>
      </c>
      <c r="Z94" s="70"/>
      <c r="AA94" s="70"/>
      <c r="AB94" s="169">
        <f t="shared" si="66"/>
        <v>5110</v>
      </c>
      <c r="AC94" s="169">
        <f t="shared" si="67"/>
        <v>2610</v>
      </c>
      <c r="AD94" s="177">
        <v>2610</v>
      </c>
      <c r="AE94" s="177"/>
      <c r="AF94" s="169">
        <v>2500</v>
      </c>
      <c r="AG94" s="169"/>
      <c r="AH94" s="169">
        <f t="shared" si="68"/>
        <v>4200</v>
      </c>
      <c r="AI94" s="70"/>
      <c r="AJ94" s="70"/>
      <c r="AK94" s="169">
        <f t="shared" si="69"/>
        <v>4200</v>
      </c>
      <c r="AL94" s="169">
        <f t="shared" si="70"/>
        <v>2000</v>
      </c>
      <c r="AM94" s="169">
        <v>2000</v>
      </c>
      <c r="AN94" s="169"/>
      <c r="AO94" s="169">
        <v>2200</v>
      </c>
      <c r="AP94" s="70"/>
      <c r="AQ94" s="169">
        <f t="shared" si="71"/>
        <v>4200</v>
      </c>
      <c r="AR94" s="70"/>
      <c r="AS94" s="70"/>
      <c r="AT94" s="169">
        <f t="shared" si="72"/>
        <v>4200</v>
      </c>
      <c r="AU94" s="169">
        <f t="shared" si="73"/>
        <v>2000</v>
      </c>
      <c r="AV94" s="169">
        <v>2000</v>
      </c>
      <c r="AW94" s="169"/>
      <c r="AX94" s="169">
        <v>2200</v>
      </c>
      <c r="AY94" s="70"/>
      <c r="AZ94" s="70">
        <f t="shared" si="74"/>
        <v>714.51900000000001</v>
      </c>
      <c r="BA94" s="70"/>
      <c r="BB94" s="70"/>
      <c r="BC94" s="70">
        <f t="shared" si="75"/>
        <v>714.51900000000001</v>
      </c>
      <c r="BD94" s="169">
        <f t="shared" si="76"/>
        <v>610</v>
      </c>
      <c r="BE94" s="70">
        <v>610</v>
      </c>
      <c r="BF94" s="70"/>
      <c r="BG94" s="70">
        <v>104.51900000000001</v>
      </c>
      <c r="BH94" s="169"/>
      <c r="BI94" s="127">
        <f t="shared" si="77"/>
        <v>0</v>
      </c>
      <c r="BJ94" s="127"/>
      <c r="BK94" s="127"/>
      <c r="BL94" s="127">
        <f t="shared" si="78"/>
        <v>0</v>
      </c>
      <c r="BM94" s="127"/>
      <c r="BN94" s="127"/>
      <c r="BO94" s="127"/>
      <c r="BP94" s="127"/>
      <c r="BQ94" s="127">
        <f t="shared" si="79"/>
        <v>0</v>
      </c>
      <c r="BR94" s="127"/>
      <c r="BS94" s="127"/>
      <c r="BT94" s="127"/>
      <c r="BU94" s="127">
        <f t="shared" si="80"/>
        <v>0</v>
      </c>
      <c r="BV94" s="127"/>
      <c r="BW94" s="127"/>
      <c r="BX94" s="127"/>
      <c r="BY94" s="127"/>
      <c r="BZ94" s="127"/>
      <c r="CA94" s="127"/>
      <c r="CB94" s="127"/>
      <c r="CC94" s="127"/>
      <c r="CD94" s="127"/>
      <c r="CE94" s="125"/>
    </row>
    <row r="95" spans="1:83" ht="46.15" outlineLevel="1">
      <c r="A95" s="126">
        <v>4</v>
      </c>
      <c r="B95" s="181" t="s">
        <v>1166</v>
      </c>
      <c r="C95" s="127" t="s">
        <v>886</v>
      </c>
      <c r="D95" s="127" t="s">
        <v>1151</v>
      </c>
      <c r="E95" s="127" t="s">
        <v>49</v>
      </c>
      <c r="F95" s="127" t="s">
        <v>1149</v>
      </c>
      <c r="G95" s="127" t="s">
        <v>1149</v>
      </c>
      <c r="H95" s="127" t="s">
        <v>1149</v>
      </c>
      <c r="I95" s="127" t="s">
        <v>55</v>
      </c>
      <c r="J95" s="129">
        <v>7887713</v>
      </c>
      <c r="K95" s="127" t="s">
        <v>891</v>
      </c>
      <c r="L95" s="129">
        <v>2021</v>
      </c>
      <c r="M95" s="127" t="s">
        <v>1167</v>
      </c>
      <c r="N95" s="127" t="s">
        <v>1168</v>
      </c>
      <c r="O95" s="169">
        <f>SUM(P95:R95)</f>
        <v>2300</v>
      </c>
      <c r="P95" s="169"/>
      <c r="Q95" s="169"/>
      <c r="R95" s="169">
        <v>2300</v>
      </c>
      <c r="S95" s="70" t="s">
        <v>1169</v>
      </c>
      <c r="T95" s="70" t="s">
        <v>1149</v>
      </c>
      <c r="U95" s="70"/>
      <c r="V95" s="70"/>
      <c r="W95" s="70"/>
      <c r="X95" s="70"/>
      <c r="Y95" s="169">
        <f t="shared" si="65"/>
        <v>1340</v>
      </c>
      <c r="Z95" s="70"/>
      <c r="AA95" s="70"/>
      <c r="AB95" s="169">
        <f t="shared" si="66"/>
        <v>1340</v>
      </c>
      <c r="AC95" s="169">
        <f t="shared" si="67"/>
        <v>1340</v>
      </c>
      <c r="AD95" s="177"/>
      <c r="AE95" s="177">
        <v>1340</v>
      </c>
      <c r="AF95" s="169"/>
      <c r="AG95" s="169"/>
      <c r="AH95" s="169">
        <f>AI95+AJ95+AK95</f>
        <v>1336.1419999999998</v>
      </c>
      <c r="AI95" s="70"/>
      <c r="AJ95" s="70"/>
      <c r="AK95" s="169">
        <f t="shared" si="69"/>
        <v>1336.1419999999998</v>
      </c>
      <c r="AL95" s="169">
        <f t="shared" si="70"/>
        <v>1336.1419999999998</v>
      </c>
      <c r="AM95" s="178"/>
      <c r="AN95" s="70">
        <v>1336.1419999999998</v>
      </c>
      <c r="AO95" s="68"/>
      <c r="AP95" s="70"/>
      <c r="AQ95" s="169">
        <f>AR95+AS95+AT95</f>
        <v>1336.1419999999998</v>
      </c>
      <c r="AR95" s="70"/>
      <c r="AS95" s="70"/>
      <c r="AT95" s="169">
        <f t="shared" si="72"/>
        <v>1336.1419999999998</v>
      </c>
      <c r="AU95" s="169">
        <f t="shared" si="73"/>
        <v>1336.1419999999998</v>
      </c>
      <c r="AV95" s="169"/>
      <c r="AW95" s="70">
        <v>1336.1419999999998</v>
      </c>
      <c r="AX95" s="68"/>
      <c r="AY95" s="70"/>
      <c r="AZ95" s="70">
        <f t="shared" ref="AZ95" si="81">BA95+BB95+BC95</f>
        <v>0</v>
      </c>
      <c r="BA95" s="70"/>
      <c r="BB95" s="70"/>
      <c r="BC95" s="70">
        <f t="shared" si="75"/>
        <v>0</v>
      </c>
      <c r="BD95" s="169">
        <f t="shared" si="76"/>
        <v>0</v>
      </c>
      <c r="BE95" s="177"/>
      <c r="BF95" s="70"/>
      <c r="BG95" s="108"/>
      <c r="BH95" s="169"/>
      <c r="BI95" s="127">
        <f t="shared" ref="BI95" si="82">BJ95+BK95+BL95</f>
        <v>0</v>
      </c>
      <c r="BJ95" s="127"/>
      <c r="BK95" s="127"/>
      <c r="BL95" s="127">
        <f t="shared" si="78"/>
        <v>0</v>
      </c>
      <c r="BM95" s="127"/>
      <c r="BN95" s="127"/>
      <c r="BO95" s="127"/>
      <c r="BP95" s="127"/>
      <c r="BQ95" s="127"/>
      <c r="BR95" s="127"/>
      <c r="BS95" s="127"/>
      <c r="BT95" s="127"/>
      <c r="BU95" s="127"/>
      <c r="BV95" s="127"/>
      <c r="BW95" s="127"/>
      <c r="BX95" s="127"/>
      <c r="BY95" s="127"/>
      <c r="BZ95" s="127"/>
      <c r="CA95" s="127"/>
      <c r="CB95" s="127"/>
      <c r="CC95" s="127"/>
      <c r="CD95" s="127"/>
      <c r="CE95" s="125"/>
    </row>
    <row r="96" spans="1:83" ht="46.15" outlineLevel="1">
      <c r="A96" s="126">
        <v>5</v>
      </c>
      <c r="B96" s="181" t="s">
        <v>1170</v>
      </c>
      <c r="C96" s="127" t="s">
        <v>886</v>
      </c>
      <c r="D96" s="127" t="s">
        <v>1151</v>
      </c>
      <c r="E96" s="127" t="s">
        <v>49</v>
      </c>
      <c r="F96" s="127" t="s">
        <v>1157</v>
      </c>
      <c r="G96" s="127" t="s">
        <v>1149</v>
      </c>
      <c r="H96" s="127" t="s">
        <v>1149</v>
      </c>
      <c r="I96" s="127" t="s">
        <v>55</v>
      </c>
      <c r="J96" s="129">
        <v>8000960</v>
      </c>
      <c r="K96" s="127" t="s">
        <v>56</v>
      </c>
      <c r="L96" s="129">
        <v>2023</v>
      </c>
      <c r="M96" s="127" t="s">
        <v>1171</v>
      </c>
      <c r="N96" s="127" t="s">
        <v>1172</v>
      </c>
      <c r="O96" s="169">
        <v>2500</v>
      </c>
      <c r="P96" s="169"/>
      <c r="Q96" s="169"/>
      <c r="R96" s="169">
        <v>2500</v>
      </c>
      <c r="S96" s="70" t="s">
        <v>1173</v>
      </c>
      <c r="T96" s="70" t="s">
        <v>1149</v>
      </c>
      <c r="U96" s="70"/>
      <c r="V96" s="70"/>
      <c r="W96" s="70"/>
      <c r="X96" s="70"/>
      <c r="Y96" s="169">
        <f t="shared" si="65"/>
        <v>2010</v>
      </c>
      <c r="Z96" s="70"/>
      <c r="AA96" s="70"/>
      <c r="AB96" s="169">
        <f t="shared" si="66"/>
        <v>2010</v>
      </c>
      <c r="AC96" s="169">
        <f t="shared" si="67"/>
        <v>2010</v>
      </c>
      <c r="AD96" s="177"/>
      <c r="AE96" s="177">
        <v>2010</v>
      </c>
      <c r="AF96" s="169"/>
      <c r="AG96" s="169"/>
      <c r="AH96" s="169">
        <f>SUM(AI96:AK96)</f>
        <v>2175.77</v>
      </c>
      <c r="AI96" s="70"/>
      <c r="AJ96" s="70"/>
      <c r="AK96" s="169">
        <f t="shared" si="69"/>
        <v>2175.77</v>
      </c>
      <c r="AL96" s="169">
        <f t="shared" si="70"/>
        <v>2013.8579999999999</v>
      </c>
      <c r="AM96" s="178"/>
      <c r="AN96" s="70">
        <v>2013.8579999999999</v>
      </c>
      <c r="AO96" s="68"/>
      <c r="AP96" s="70">
        <v>161.91200000000001</v>
      </c>
      <c r="AQ96" s="169">
        <f t="shared" ref="AQ96:AQ99" si="83">SUM(AR96:AT96)</f>
        <v>2175.77</v>
      </c>
      <c r="AR96" s="70"/>
      <c r="AS96" s="70"/>
      <c r="AT96" s="169">
        <f t="shared" si="72"/>
        <v>2175.77</v>
      </c>
      <c r="AU96" s="169">
        <f t="shared" si="73"/>
        <v>2013.8579999999999</v>
      </c>
      <c r="AV96" s="169"/>
      <c r="AW96" s="70">
        <v>2013.8579999999999</v>
      </c>
      <c r="AX96" s="68"/>
      <c r="AY96" s="70">
        <v>161.91200000000001</v>
      </c>
      <c r="AZ96" s="70">
        <f t="shared" ref="AZ96:AZ99" si="84">SUM(BA96:BC96)</f>
        <v>0</v>
      </c>
      <c r="BA96" s="70"/>
      <c r="BB96" s="70"/>
      <c r="BC96" s="70">
        <f t="shared" si="75"/>
        <v>0</v>
      </c>
      <c r="BD96" s="169">
        <f t="shared" si="76"/>
        <v>0</v>
      </c>
      <c r="BE96" s="177"/>
      <c r="BF96" s="70"/>
      <c r="BG96" s="108"/>
      <c r="BH96" s="169"/>
      <c r="BI96" s="127">
        <f t="shared" ref="BI96:BI98" si="85">SUM(BJ96:BL96)</f>
        <v>0</v>
      </c>
      <c r="BJ96" s="127"/>
      <c r="BK96" s="127"/>
      <c r="BL96" s="127">
        <f t="shared" si="78"/>
        <v>0</v>
      </c>
      <c r="BM96" s="127"/>
      <c r="BN96" s="127"/>
      <c r="BO96" s="127"/>
      <c r="BP96" s="127"/>
      <c r="BQ96" s="127">
        <f t="shared" ref="BQ96" si="86">SUM(BR96:BT96)</f>
        <v>0</v>
      </c>
      <c r="BR96" s="127"/>
      <c r="BS96" s="127"/>
      <c r="BT96" s="127"/>
      <c r="BU96" s="127">
        <f t="shared" ref="BU96" si="87">SUM(BV96:BX96)</f>
        <v>0</v>
      </c>
      <c r="BV96" s="127"/>
      <c r="BW96" s="127"/>
      <c r="BX96" s="127"/>
      <c r="BY96" s="127"/>
      <c r="BZ96" s="127"/>
      <c r="CA96" s="127"/>
      <c r="CB96" s="127"/>
      <c r="CC96" s="127"/>
      <c r="CD96" s="127"/>
      <c r="CE96" s="125"/>
    </row>
    <row r="97" spans="1:83" ht="46.15" outlineLevel="1">
      <c r="A97" s="126">
        <v>6</v>
      </c>
      <c r="B97" s="181" t="s">
        <v>1174</v>
      </c>
      <c r="C97" s="127" t="s">
        <v>886</v>
      </c>
      <c r="D97" s="127" t="s">
        <v>1175</v>
      </c>
      <c r="E97" s="127" t="s">
        <v>49</v>
      </c>
      <c r="F97" s="127" t="s">
        <v>1152</v>
      </c>
      <c r="G97" s="127" t="s">
        <v>1149</v>
      </c>
      <c r="H97" s="127" t="s">
        <v>1149</v>
      </c>
      <c r="I97" s="127" t="s">
        <v>1176</v>
      </c>
      <c r="J97" s="127"/>
      <c r="K97" s="127" t="s">
        <v>56</v>
      </c>
      <c r="L97" s="129">
        <v>2023</v>
      </c>
      <c r="M97" s="127"/>
      <c r="N97" s="127" t="s">
        <v>1177</v>
      </c>
      <c r="O97" s="169">
        <v>2400</v>
      </c>
      <c r="P97" s="169"/>
      <c r="Q97" s="169"/>
      <c r="R97" s="169">
        <v>1833</v>
      </c>
      <c r="S97" s="70"/>
      <c r="T97" s="70" t="s">
        <v>1149</v>
      </c>
      <c r="U97" s="70"/>
      <c r="V97" s="70"/>
      <c r="W97" s="70"/>
      <c r="X97" s="70"/>
      <c r="Y97" s="169">
        <f t="shared" si="65"/>
        <v>1833</v>
      </c>
      <c r="Z97" s="70"/>
      <c r="AA97" s="70"/>
      <c r="AB97" s="169">
        <f t="shared" si="66"/>
        <v>1833</v>
      </c>
      <c r="AC97" s="169">
        <f t="shared" si="67"/>
        <v>0</v>
      </c>
      <c r="AD97" s="177"/>
      <c r="AE97" s="177"/>
      <c r="AF97" s="70">
        <v>1833</v>
      </c>
      <c r="AG97" s="70"/>
      <c r="AH97" s="169">
        <f>SUM(AI97:AK97)</f>
        <v>1520</v>
      </c>
      <c r="AI97" s="70"/>
      <c r="AJ97" s="70"/>
      <c r="AK97" s="169">
        <f t="shared" si="69"/>
        <v>1520</v>
      </c>
      <c r="AL97" s="169">
        <f t="shared" si="70"/>
        <v>0</v>
      </c>
      <c r="AM97" s="178"/>
      <c r="AN97" s="70"/>
      <c r="AO97" s="70">
        <v>1520</v>
      </c>
      <c r="AP97" s="70"/>
      <c r="AQ97" s="169">
        <f t="shared" si="83"/>
        <v>1520</v>
      </c>
      <c r="AR97" s="70"/>
      <c r="AS97" s="70"/>
      <c r="AT97" s="169">
        <f t="shared" si="72"/>
        <v>1520</v>
      </c>
      <c r="AU97" s="169">
        <f t="shared" si="73"/>
        <v>0</v>
      </c>
      <c r="AV97" s="169"/>
      <c r="AW97" s="70"/>
      <c r="AX97" s="70">
        <v>1520</v>
      </c>
      <c r="AY97" s="70"/>
      <c r="AZ97" s="70">
        <f t="shared" si="84"/>
        <v>266.98899999999998</v>
      </c>
      <c r="BA97" s="70"/>
      <c r="BB97" s="70"/>
      <c r="BC97" s="70">
        <f t="shared" si="75"/>
        <v>266.98899999999998</v>
      </c>
      <c r="BD97" s="169">
        <f t="shared" si="76"/>
        <v>0</v>
      </c>
      <c r="BE97" s="177"/>
      <c r="BF97" s="70"/>
      <c r="BG97" s="71">
        <v>266.98899999999998</v>
      </c>
      <c r="BH97" s="169"/>
      <c r="BI97" s="127">
        <f t="shared" si="85"/>
        <v>266.98899999999998</v>
      </c>
      <c r="BJ97" s="127"/>
      <c r="BK97" s="127"/>
      <c r="BL97" s="127">
        <f t="shared" si="78"/>
        <v>266.98899999999998</v>
      </c>
      <c r="BM97" s="127"/>
      <c r="BN97" s="127"/>
      <c r="BO97" s="190">
        <v>266.98899999999998</v>
      </c>
      <c r="BP97" s="127"/>
      <c r="BQ97" s="127"/>
      <c r="BR97" s="127"/>
      <c r="BS97" s="127"/>
      <c r="BT97" s="127"/>
      <c r="BU97" s="127"/>
      <c r="BV97" s="127"/>
      <c r="BW97" s="127"/>
      <c r="BX97" s="127"/>
      <c r="BY97" s="127"/>
      <c r="BZ97" s="127"/>
      <c r="CA97" s="127"/>
      <c r="CB97" s="127"/>
      <c r="CC97" s="127"/>
      <c r="CD97" s="127"/>
      <c r="CE97" s="125"/>
    </row>
    <row r="98" spans="1:83" ht="30.75" outlineLevel="1">
      <c r="A98" s="126">
        <v>7</v>
      </c>
      <c r="B98" s="181" t="s">
        <v>1178</v>
      </c>
      <c r="C98" s="127" t="s">
        <v>1034</v>
      </c>
      <c r="D98" s="127" t="s">
        <v>1175</v>
      </c>
      <c r="E98" s="127" t="s">
        <v>10</v>
      </c>
      <c r="F98" s="127" t="s">
        <v>1149</v>
      </c>
      <c r="G98" s="127" t="s">
        <v>1149</v>
      </c>
      <c r="H98" s="127" t="s">
        <v>1149</v>
      </c>
      <c r="I98" s="127" t="s">
        <v>48</v>
      </c>
      <c r="J98" s="127"/>
      <c r="K98" s="127" t="s">
        <v>1179</v>
      </c>
      <c r="L98" s="129">
        <v>2024</v>
      </c>
      <c r="M98" s="127"/>
      <c r="N98" s="127" t="s">
        <v>1180</v>
      </c>
      <c r="O98" s="169">
        <v>99620</v>
      </c>
      <c r="P98" s="169"/>
      <c r="Q98" s="169">
        <v>90000</v>
      </c>
      <c r="R98" s="169">
        <v>9620</v>
      </c>
      <c r="S98" s="70"/>
      <c r="T98" s="70" t="s">
        <v>1149</v>
      </c>
      <c r="U98" s="70"/>
      <c r="V98" s="70"/>
      <c r="W98" s="70"/>
      <c r="X98" s="70"/>
      <c r="Y98" s="169">
        <f t="shared" si="65"/>
        <v>99620</v>
      </c>
      <c r="Z98" s="178"/>
      <c r="AA98" s="178">
        <v>90000</v>
      </c>
      <c r="AB98" s="169">
        <f t="shared" si="66"/>
        <v>9620</v>
      </c>
      <c r="AC98" s="169">
        <f t="shared" si="67"/>
        <v>0</v>
      </c>
      <c r="AD98" s="177"/>
      <c r="AE98" s="177"/>
      <c r="AF98" s="70">
        <v>8570</v>
      </c>
      <c r="AG98" s="70">
        <v>1050</v>
      </c>
      <c r="AH98" s="169">
        <f>SUM(AI98:AK98)</f>
        <v>0</v>
      </c>
      <c r="AI98" s="70"/>
      <c r="AJ98" s="70"/>
      <c r="AK98" s="169">
        <f t="shared" si="69"/>
        <v>0</v>
      </c>
      <c r="AL98" s="169">
        <f t="shared" si="70"/>
        <v>0</v>
      </c>
      <c r="AM98" s="178"/>
      <c r="AN98" s="70"/>
      <c r="AO98" s="70"/>
      <c r="AP98" s="70"/>
      <c r="AQ98" s="169">
        <f t="shared" si="83"/>
        <v>0</v>
      </c>
      <c r="AR98" s="70"/>
      <c r="AS98" s="70"/>
      <c r="AT98" s="169">
        <f t="shared" si="72"/>
        <v>0</v>
      </c>
      <c r="AU98" s="169">
        <f t="shared" si="73"/>
        <v>0</v>
      </c>
      <c r="AV98" s="169"/>
      <c r="AW98" s="70"/>
      <c r="AX98" s="70"/>
      <c r="AY98" s="70"/>
      <c r="AZ98" s="70">
        <f t="shared" si="84"/>
        <v>26050</v>
      </c>
      <c r="BA98" s="70"/>
      <c r="BB98" s="70">
        <v>25000</v>
      </c>
      <c r="BC98" s="70">
        <f t="shared" si="75"/>
        <v>1050</v>
      </c>
      <c r="BD98" s="169">
        <f t="shared" si="76"/>
        <v>0</v>
      </c>
      <c r="BE98" s="177"/>
      <c r="BF98" s="70"/>
      <c r="BG98" s="108"/>
      <c r="BH98" s="169">
        <v>1050</v>
      </c>
      <c r="BI98" s="127">
        <f t="shared" si="85"/>
        <v>882.65200000000004</v>
      </c>
      <c r="BJ98" s="127"/>
      <c r="BK98" s="127"/>
      <c r="BL98" s="127">
        <f t="shared" si="78"/>
        <v>882.65200000000004</v>
      </c>
      <c r="BM98" s="127"/>
      <c r="BN98" s="127"/>
      <c r="BO98" s="127"/>
      <c r="BP98" s="127">
        <v>882.65200000000004</v>
      </c>
      <c r="BQ98" s="127"/>
      <c r="BR98" s="127"/>
      <c r="BS98" s="127"/>
      <c r="BT98" s="127"/>
      <c r="BU98" s="127"/>
      <c r="BV98" s="127"/>
      <c r="BW98" s="127"/>
      <c r="BX98" s="127"/>
      <c r="BY98" s="127"/>
      <c r="BZ98" s="127"/>
      <c r="CA98" s="127"/>
      <c r="CB98" s="127"/>
      <c r="CC98" s="127"/>
      <c r="CD98" s="127"/>
      <c r="CE98" s="125" t="s">
        <v>1038</v>
      </c>
    </row>
    <row r="99" spans="1:83" ht="61.5" outlineLevel="1">
      <c r="A99" s="126">
        <v>8</v>
      </c>
      <c r="B99" s="181" t="s">
        <v>1181</v>
      </c>
      <c r="C99" s="127" t="s">
        <v>886</v>
      </c>
      <c r="D99" s="127" t="s">
        <v>1175</v>
      </c>
      <c r="E99" s="127" t="s">
        <v>49</v>
      </c>
      <c r="F99" s="127" t="s">
        <v>1149</v>
      </c>
      <c r="G99" s="127" t="s">
        <v>1149</v>
      </c>
      <c r="H99" s="127" t="s">
        <v>1149</v>
      </c>
      <c r="I99" s="127" t="s">
        <v>890</v>
      </c>
      <c r="J99" s="127">
        <v>8100258</v>
      </c>
      <c r="K99" s="127" t="s">
        <v>1127</v>
      </c>
      <c r="L99" s="129">
        <v>2024</v>
      </c>
      <c r="M99" s="127"/>
      <c r="N99" s="127" t="s">
        <v>1182</v>
      </c>
      <c r="O99" s="169">
        <f t="shared" ref="O99" si="88">SUM(P99:R99)</f>
        <v>800</v>
      </c>
      <c r="P99" s="169"/>
      <c r="Q99" s="169"/>
      <c r="R99" s="169">
        <v>800</v>
      </c>
      <c r="S99" s="70" t="s">
        <v>1183</v>
      </c>
      <c r="T99" s="70" t="s">
        <v>1149</v>
      </c>
      <c r="U99" s="70"/>
      <c r="V99" s="70"/>
      <c r="W99" s="70"/>
      <c r="X99" s="70"/>
      <c r="Y99" s="169">
        <f t="shared" si="65"/>
        <v>800</v>
      </c>
      <c r="Z99" s="70"/>
      <c r="AA99" s="70"/>
      <c r="AB99" s="169">
        <f t="shared" si="66"/>
        <v>800</v>
      </c>
      <c r="AC99" s="169">
        <f t="shared" si="67"/>
        <v>0</v>
      </c>
      <c r="AD99" s="177"/>
      <c r="AE99" s="177"/>
      <c r="AF99" s="70"/>
      <c r="AG99" s="70">
        <v>800</v>
      </c>
      <c r="AH99" s="169">
        <f>AI99+AJ99+AK99</f>
        <v>741</v>
      </c>
      <c r="AI99" s="70"/>
      <c r="AJ99" s="70"/>
      <c r="AK99" s="169">
        <f t="shared" si="69"/>
        <v>741</v>
      </c>
      <c r="AL99" s="169">
        <f t="shared" si="70"/>
        <v>0</v>
      </c>
      <c r="AM99" s="178"/>
      <c r="AN99" s="70"/>
      <c r="AO99" s="70"/>
      <c r="AP99" s="70">
        <v>741</v>
      </c>
      <c r="AQ99" s="169">
        <f t="shared" si="83"/>
        <v>741</v>
      </c>
      <c r="AR99" s="70"/>
      <c r="AS99" s="70"/>
      <c r="AT99" s="169">
        <f t="shared" si="72"/>
        <v>741</v>
      </c>
      <c r="AU99" s="169">
        <f t="shared" si="73"/>
        <v>0</v>
      </c>
      <c r="AV99" s="169"/>
      <c r="AW99" s="70"/>
      <c r="AX99" s="70"/>
      <c r="AY99" s="70">
        <v>741</v>
      </c>
      <c r="AZ99" s="70">
        <f t="shared" si="84"/>
        <v>6</v>
      </c>
      <c r="BA99" s="70"/>
      <c r="BB99" s="70"/>
      <c r="BC99" s="70">
        <f t="shared" si="75"/>
        <v>6</v>
      </c>
      <c r="BD99" s="169">
        <f t="shared" si="76"/>
        <v>0</v>
      </c>
      <c r="BE99" s="177"/>
      <c r="BF99" s="70"/>
      <c r="BG99" s="108"/>
      <c r="BH99" s="108">
        <v>6</v>
      </c>
      <c r="BI99" s="127">
        <f t="shared" ref="BI99" si="89">BJ99+BK99+BL99</f>
        <v>0</v>
      </c>
      <c r="BJ99" s="127"/>
      <c r="BK99" s="127"/>
      <c r="BL99" s="127">
        <f t="shared" si="78"/>
        <v>0</v>
      </c>
      <c r="BM99" s="127"/>
      <c r="BN99" s="127"/>
      <c r="BO99" s="127"/>
      <c r="BP99" s="127"/>
      <c r="BQ99" s="127"/>
      <c r="BR99" s="127"/>
      <c r="BS99" s="127"/>
      <c r="BT99" s="127"/>
      <c r="BU99" s="127"/>
      <c r="BV99" s="127"/>
      <c r="BW99" s="127"/>
      <c r="BX99" s="127"/>
      <c r="BY99" s="127"/>
      <c r="BZ99" s="127"/>
      <c r="CA99" s="127"/>
      <c r="CB99" s="127"/>
      <c r="CC99" s="127"/>
      <c r="CD99" s="127"/>
      <c r="CE99" s="125"/>
    </row>
    <row r="100" spans="1:83" ht="46.15" outlineLevel="1">
      <c r="A100" s="126">
        <v>9</v>
      </c>
      <c r="B100" s="181" t="s">
        <v>1184</v>
      </c>
      <c r="C100" s="127" t="s">
        <v>1152</v>
      </c>
      <c r="D100" s="127" t="s">
        <v>1175</v>
      </c>
      <c r="E100" s="127" t="s">
        <v>49</v>
      </c>
      <c r="F100" s="127" t="s">
        <v>1152</v>
      </c>
      <c r="G100" s="127" t="s">
        <v>1149</v>
      </c>
      <c r="H100" s="127" t="s">
        <v>1149</v>
      </c>
      <c r="I100" s="127" t="s">
        <v>890</v>
      </c>
      <c r="J100" s="127"/>
      <c r="K100" s="127" t="s">
        <v>1127</v>
      </c>
      <c r="L100" s="129">
        <v>2024</v>
      </c>
      <c r="M100" s="127" t="s">
        <v>1185</v>
      </c>
      <c r="N100" s="127" t="s">
        <v>1186</v>
      </c>
      <c r="O100" s="169">
        <v>840</v>
      </c>
      <c r="P100" s="169"/>
      <c r="Q100" s="169"/>
      <c r="R100" s="169">
        <v>840</v>
      </c>
      <c r="S100" s="70"/>
      <c r="T100" s="70" t="s">
        <v>1149</v>
      </c>
      <c r="U100" s="70"/>
      <c r="V100" s="70"/>
      <c r="W100" s="70"/>
      <c r="X100" s="70"/>
      <c r="Y100" s="169">
        <f t="shared" si="65"/>
        <v>840</v>
      </c>
      <c r="Z100" s="70"/>
      <c r="AA100" s="70"/>
      <c r="AB100" s="169">
        <f t="shared" si="66"/>
        <v>840</v>
      </c>
      <c r="AC100" s="169">
        <f t="shared" si="67"/>
        <v>0</v>
      </c>
      <c r="AD100" s="177"/>
      <c r="AE100" s="177"/>
      <c r="AF100" s="70"/>
      <c r="AG100" s="70">
        <v>840</v>
      </c>
      <c r="AH100" s="169">
        <f>AI100+AJ100+AK100</f>
        <v>789</v>
      </c>
      <c r="AI100" s="70"/>
      <c r="AJ100" s="70"/>
      <c r="AK100" s="169">
        <f t="shared" si="69"/>
        <v>789</v>
      </c>
      <c r="AL100" s="169">
        <f t="shared" si="70"/>
        <v>0</v>
      </c>
      <c r="AM100" s="178"/>
      <c r="AN100" s="70"/>
      <c r="AO100" s="70"/>
      <c r="AP100" s="70">
        <v>789</v>
      </c>
      <c r="AQ100" s="169"/>
      <c r="AR100" s="70"/>
      <c r="AS100" s="70"/>
      <c r="AT100" s="169">
        <f>AU100+AX100+AY100</f>
        <v>789</v>
      </c>
      <c r="AU100" s="169">
        <f t="shared" si="73"/>
        <v>0</v>
      </c>
      <c r="AV100" s="169"/>
      <c r="AW100" s="70"/>
      <c r="AX100" s="70"/>
      <c r="AY100" s="70">
        <v>789</v>
      </c>
      <c r="AZ100" s="70"/>
      <c r="BA100" s="70"/>
      <c r="BB100" s="70"/>
      <c r="BC100" s="70">
        <f t="shared" si="75"/>
        <v>0</v>
      </c>
      <c r="BD100" s="169">
        <f t="shared" si="76"/>
        <v>0</v>
      </c>
      <c r="BE100" s="177"/>
      <c r="BF100" s="70"/>
      <c r="BG100" s="108"/>
      <c r="BH100" s="169"/>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5" t="s">
        <v>956</v>
      </c>
    </row>
    <row r="101" spans="1:83" ht="46.15" outlineLevel="1">
      <c r="A101" s="126">
        <v>10</v>
      </c>
      <c r="B101" s="181" t="s">
        <v>1187</v>
      </c>
      <c r="C101" s="127" t="s">
        <v>886</v>
      </c>
      <c r="D101" s="127" t="s">
        <v>1175</v>
      </c>
      <c r="E101" s="127" t="s">
        <v>49</v>
      </c>
      <c r="F101" s="127" t="s">
        <v>1157</v>
      </c>
      <c r="G101" s="127" t="s">
        <v>1149</v>
      </c>
      <c r="H101" s="127" t="s">
        <v>1149</v>
      </c>
      <c r="I101" s="127" t="s">
        <v>890</v>
      </c>
      <c r="J101" s="127">
        <v>8052611</v>
      </c>
      <c r="K101" s="127" t="s">
        <v>910</v>
      </c>
      <c r="L101" s="129">
        <v>2023</v>
      </c>
      <c r="M101" s="127"/>
      <c r="N101" s="127" t="s">
        <v>1188</v>
      </c>
      <c r="O101" s="169">
        <f t="shared" ref="O101:O102" si="90">SUM(P101:R101)</f>
        <v>750</v>
      </c>
      <c r="P101" s="169"/>
      <c r="Q101" s="169"/>
      <c r="R101" s="169">
        <v>750</v>
      </c>
      <c r="S101" s="70" t="s">
        <v>1189</v>
      </c>
      <c r="T101" s="70" t="s">
        <v>1149</v>
      </c>
      <c r="U101" s="70"/>
      <c r="V101" s="70"/>
      <c r="W101" s="70"/>
      <c r="X101" s="70"/>
      <c r="Y101" s="169">
        <f t="shared" si="65"/>
        <v>750</v>
      </c>
      <c r="Z101" s="70"/>
      <c r="AA101" s="70"/>
      <c r="AB101" s="169">
        <f t="shared" si="66"/>
        <v>750</v>
      </c>
      <c r="AC101" s="169">
        <f t="shared" si="67"/>
        <v>0</v>
      </c>
      <c r="AD101" s="177"/>
      <c r="AE101" s="177"/>
      <c r="AF101" s="70"/>
      <c r="AG101" s="70">
        <v>750</v>
      </c>
      <c r="AH101" s="169">
        <f>AI101+AJ101+AK101</f>
        <v>702.87400000000002</v>
      </c>
      <c r="AI101" s="70"/>
      <c r="AJ101" s="70"/>
      <c r="AK101" s="169">
        <f t="shared" si="69"/>
        <v>702.87400000000002</v>
      </c>
      <c r="AL101" s="169">
        <f t="shared" si="70"/>
        <v>0</v>
      </c>
      <c r="AM101" s="178"/>
      <c r="AN101" s="70"/>
      <c r="AO101" s="70"/>
      <c r="AP101" s="70">
        <v>702.87400000000002</v>
      </c>
      <c r="AQ101" s="169">
        <f t="shared" ref="AQ101:AQ102" si="91">AR101+AS101+AT101</f>
        <v>702.87400000000002</v>
      </c>
      <c r="AR101" s="70"/>
      <c r="AS101" s="70"/>
      <c r="AT101" s="169">
        <f t="shared" ref="AT101:AT111" si="92">AU101+AX101+AY101</f>
        <v>702.87400000000002</v>
      </c>
      <c r="AU101" s="169">
        <f t="shared" si="73"/>
        <v>0</v>
      </c>
      <c r="AV101" s="169"/>
      <c r="AW101" s="70"/>
      <c r="AX101" s="70"/>
      <c r="AY101" s="70">
        <v>702.87400000000002</v>
      </c>
      <c r="AZ101" s="70">
        <f t="shared" ref="AZ101:AZ102" si="93">BA101+BB101+BC101</f>
        <v>0</v>
      </c>
      <c r="BA101" s="70"/>
      <c r="BB101" s="70"/>
      <c r="BC101" s="70">
        <f t="shared" si="75"/>
        <v>0</v>
      </c>
      <c r="BD101" s="169">
        <f t="shared" si="76"/>
        <v>0</v>
      </c>
      <c r="BE101" s="177"/>
      <c r="BF101" s="70"/>
      <c r="BG101" s="108"/>
      <c r="BH101" s="169"/>
      <c r="BI101" s="127">
        <f t="shared" ref="BI101:BI102" si="94">BJ101+BK101+BL101</f>
        <v>0</v>
      </c>
      <c r="BJ101" s="127"/>
      <c r="BK101" s="127"/>
      <c r="BL101" s="127">
        <f t="shared" ref="BL101:BL105" si="95">SUM(BM101:BP101)</f>
        <v>0</v>
      </c>
      <c r="BM101" s="127"/>
      <c r="BN101" s="127"/>
      <c r="BO101" s="127"/>
      <c r="BP101" s="127"/>
      <c r="BQ101" s="127"/>
      <c r="BR101" s="127"/>
      <c r="BS101" s="127"/>
      <c r="BT101" s="127"/>
      <c r="BU101" s="127"/>
      <c r="BV101" s="127"/>
      <c r="BW101" s="127"/>
      <c r="BX101" s="127"/>
      <c r="BY101" s="127"/>
      <c r="BZ101" s="127"/>
      <c r="CA101" s="127"/>
      <c r="CB101" s="127"/>
      <c r="CC101" s="127"/>
      <c r="CD101" s="127"/>
      <c r="CE101" s="125"/>
    </row>
    <row r="102" spans="1:83" ht="46.15" outlineLevel="1">
      <c r="A102" s="126">
        <v>11</v>
      </c>
      <c r="B102" s="181" t="s">
        <v>1190</v>
      </c>
      <c r="C102" s="127" t="s">
        <v>886</v>
      </c>
      <c r="D102" s="127" t="s">
        <v>1175</v>
      </c>
      <c r="E102" s="127" t="s">
        <v>49</v>
      </c>
      <c r="F102" s="127" t="s">
        <v>1149</v>
      </c>
      <c r="G102" s="127" t="s">
        <v>1149</v>
      </c>
      <c r="H102" s="127" t="s">
        <v>1149</v>
      </c>
      <c r="I102" s="127" t="s">
        <v>890</v>
      </c>
      <c r="J102" s="127">
        <v>8052612</v>
      </c>
      <c r="K102" s="127" t="s">
        <v>910</v>
      </c>
      <c r="L102" s="129">
        <v>2023</v>
      </c>
      <c r="M102" s="127"/>
      <c r="N102" s="127" t="s">
        <v>1191</v>
      </c>
      <c r="O102" s="169">
        <f t="shared" si="90"/>
        <v>650</v>
      </c>
      <c r="P102" s="169"/>
      <c r="Q102" s="169"/>
      <c r="R102" s="169">
        <v>650</v>
      </c>
      <c r="S102" s="70" t="s">
        <v>1192</v>
      </c>
      <c r="T102" s="70" t="s">
        <v>1149</v>
      </c>
      <c r="U102" s="70"/>
      <c r="V102" s="70"/>
      <c r="W102" s="70"/>
      <c r="X102" s="70"/>
      <c r="Y102" s="169">
        <f t="shared" si="65"/>
        <v>650</v>
      </c>
      <c r="Z102" s="70"/>
      <c r="AA102" s="70"/>
      <c r="AB102" s="169">
        <f t="shared" si="66"/>
        <v>650</v>
      </c>
      <c r="AC102" s="169">
        <f t="shared" si="67"/>
        <v>0</v>
      </c>
      <c r="AD102" s="177"/>
      <c r="AE102" s="177"/>
      <c r="AF102" s="70"/>
      <c r="AG102" s="70">
        <v>650</v>
      </c>
      <c r="AH102" s="169">
        <f>AI102+AJ102+AK102</f>
        <v>598.14800000000002</v>
      </c>
      <c r="AI102" s="70"/>
      <c r="AJ102" s="70"/>
      <c r="AK102" s="169">
        <f t="shared" si="69"/>
        <v>598.14800000000002</v>
      </c>
      <c r="AL102" s="169">
        <f t="shared" si="70"/>
        <v>0</v>
      </c>
      <c r="AM102" s="178"/>
      <c r="AN102" s="70"/>
      <c r="AO102" s="70"/>
      <c r="AP102" s="70">
        <v>598.14800000000002</v>
      </c>
      <c r="AQ102" s="169">
        <f t="shared" si="91"/>
        <v>598.14800000000002</v>
      </c>
      <c r="AR102" s="70"/>
      <c r="AS102" s="70"/>
      <c r="AT102" s="169">
        <f t="shared" si="92"/>
        <v>598.14800000000002</v>
      </c>
      <c r="AU102" s="169">
        <f t="shared" si="73"/>
        <v>0</v>
      </c>
      <c r="AV102" s="169"/>
      <c r="AW102" s="70"/>
      <c r="AX102" s="70"/>
      <c r="AY102" s="70">
        <v>598.14800000000002</v>
      </c>
      <c r="AZ102" s="70">
        <f t="shared" si="93"/>
        <v>0</v>
      </c>
      <c r="BA102" s="70"/>
      <c r="BB102" s="70"/>
      <c r="BC102" s="70">
        <f t="shared" si="75"/>
        <v>0</v>
      </c>
      <c r="BD102" s="169">
        <f t="shared" si="76"/>
        <v>0</v>
      </c>
      <c r="BE102" s="177"/>
      <c r="BF102" s="70"/>
      <c r="BG102" s="108"/>
      <c r="BH102" s="169"/>
      <c r="BI102" s="127">
        <f t="shared" si="94"/>
        <v>0</v>
      </c>
      <c r="BJ102" s="127"/>
      <c r="BK102" s="127"/>
      <c r="BL102" s="127">
        <f t="shared" si="95"/>
        <v>0</v>
      </c>
      <c r="BM102" s="127"/>
      <c r="BN102" s="127"/>
      <c r="BO102" s="127"/>
      <c r="BP102" s="127"/>
      <c r="BQ102" s="127"/>
      <c r="BR102" s="127"/>
      <c r="BS102" s="127"/>
      <c r="BT102" s="127"/>
      <c r="BU102" s="127"/>
      <c r="BV102" s="127"/>
      <c r="BW102" s="127"/>
      <c r="BX102" s="127"/>
      <c r="BY102" s="127"/>
      <c r="BZ102" s="127"/>
      <c r="CA102" s="127"/>
      <c r="CB102" s="127"/>
      <c r="CC102" s="127"/>
      <c r="CD102" s="127"/>
      <c r="CE102" s="125"/>
    </row>
    <row r="103" spans="1:83" ht="46.15" outlineLevel="1">
      <c r="A103" s="126">
        <v>12</v>
      </c>
      <c r="B103" s="181" t="s">
        <v>1193</v>
      </c>
      <c r="C103" s="127" t="s">
        <v>1194</v>
      </c>
      <c r="D103" s="127" t="s">
        <v>1175</v>
      </c>
      <c r="E103" s="127" t="s">
        <v>49</v>
      </c>
      <c r="F103" s="127" t="s">
        <v>1152</v>
      </c>
      <c r="G103" s="127" t="s">
        <v>1149</v>
      </c>
      <c r="H103" s="127" t="s">
        <v>1149</v>
      </c>
      <c r="I103" s="127" t="s">
        <v>890</v>
      </c>
      <c r="J103" s="126"/>
      <c r="K103" s="127" t="s">
        <v>906</v>
      </c>
      <c r="L103" s="129">
        <v>2022</v>
      </c>
      <c r="M103" s="127" t="s">
        <v>1195</v>
      </c>
      <c r="N103" s="127" t="s">
        <v>1196</v>
      </c>
      <c r="O103" s="169">
        <v>600</v>
      </c>
      <c r="P103" s="169"/>
      <c r="Q103" s="169"/>
      <c r="R103" s="169">
        <v>600</v>
      </c>
      <c r="S103" s="70"/>
      <c r="T103" s="70" t="s">
        <v>1149</v>
      </c>
      <c r="U103" s="70"/>
      <c r="V103" s="70"/>
      <c r="W103" s="70"/>
      <c r="X103" s="70"/>
      <c r="Y103" s="169">
        <f t="shared" si="65"/>
        <v>600</v>
      </c>
      <c r="Z103" s="70"/>
      <c r="AA103" s="70"/>
      <c r="AB103" s="169">
        <f t="shared" si="66"/>
        <v>600</v>
      </c>
      <c r="AC103" s="169">
        <f t="shared" si="67"/>
        <v>0</v>
      </c>
      <c r="AD103" s="169"/>
      <c r="AE103" s="70"/>
      <c r="AF103" s="169"/>
      <c r="AG103" s="169">
        <v>600</v>
      </c>
      <c r="AH103" s="169">
        <f t="shared" ref="AH103:AH105" si="96">SUM(AI103:AK103)</f>
        <v>595</v>
      </c>
      <c r="AI103" s="70"/>
      <c r="AJ103" s="70"/>
      <c r="AK103" s="169">
        <f t="shared" si="69"/>
        <v>595</v>
      </c>
      <c r="AL103" s="169">
        <f t="shared" si="70"/>
        <v>0</v>
      </c>
      <c r="AM103" s="169"/>
      <c r="AN103" s="169"/>
      <c r="AO103" s="169"/>
      <c r="AP103" s="169">
        <v>595</v>
      </c>
      <c r="AQ103" s="169">
        <f t="shared" ref="AQ103:AQ105" si="97">SUM(AR103:AT103)</f>
        <v>595</v>
      </c>
      <c r="AR103" s="70"/>
      <c r="AS103" s="70"/>
      <c r="AT103" s="169">
        <f t="shared" si="92"/>
        <v>595</v>
      </c>
      <c r="AU103" s="169">
        <f t="shared" si="73"/>
        <v>0</v>
      </c>
      <c r="AV103" s="169"/>
      <c r="AW103" s="70"/>
      <c r="AX103" s="68"/>
      <c r="AY103" s="169">
        <v>595</v>
      </c>
      <c r="AZ103" s="70">
        <f t="shared" ref="AZ103:AZ105" si="98">SUM(BA103:BC103)</f>
        <v>0</v>
      </c>
      <c r="BA103" s="70"/>
      <c r="BB103" s="70"/>
      <c r="BC103" s="70">
        <f t="shared" si="75"/>
        <v>0</v>
      </c>
      <c r="BD103" s="169">
        <f t="shared" si="76"/>
        <v>0</v>
      </c>
      <c r="BE103" s="70"/>
      <c r="BF103" s="70"/>
      <c r="BG103" s="70"/>
      <c r="BH103" s="70"/>
      <c r="BI103" s="127">
        <f t="shared" ref="BI103:BI105" si="99">SUM(BJ103:BL103)</f>
        <v>0</v>
      </c>
      <c r="BJ103" s="127"/>
      <c r="BK103" s="127"/>
      <c r="BL103" s="127">
        <f t="shared" si="95"/>
        <v>0</v>
      </c>
      <c r="BM103" s="127"/>
      <c r="BN103" s="127"/>
      <c r="BO103" s="127"/>
      <c r="BP103" s="127"/>
      <c r="BQ103" s="127">
        <f t="shared" ref="BQ103:BQ105" si="100">SUM(BR103:BT103)</f>
        <v>0</v>
      </c>
      <c r="BR103" s="127"/>
      <c r="BS103" s="127"/>
      <c r="BT103" s="127"/>
      <c r="BU103" s="127"/>
      <c r="BV103" s="127"/>
      <c r="BW103" s="127"/>
      <c r="BX103" s="127"/>
      <c r="BY103" s="127"/>
      <c r="BZ103" s="127"/>
      <c r="CA103" s="127"/>
      <c r="CB103" s="127"/>
      <c r="CC103" s="127"/>
      <c r="CD103" s="127"/>
      <c r="CE103" s="125"/>
    </row>
    <row r="104" spans="1:83" ht="46.15" outlineLevel="1">
      <c r="A104" s="126">
        <v>13</v>
      </c>
      <c r="B104" s="181" t="s">
        <v>1197</v>
      </c>
      <c r="C104" s="127" t="s">
        <v>1198</v>
      </c>
      <c r="D104" s="127" t="s">
        <v>1175</v>
      </c>
      <c r="E104" s="127" t="s">
        <v>49</v>
      </c>
      <c r="F104" s="127" t="s">
        <v>1199</v>
      </c>
      <c r="G104" s="127" t="s">
        <v>1149</v>
      </c>
      <c r="H104" s="127" t="s">
        <v>1149</v>
      </c>
      <c r="I104" s="127" t="s">
        <v>890</v>
      </c>
      <c r="J104" s="126"/>
      <c r="K104" s="127" t="s">
        <v>906</v>
      </c>
      <c r="L104" s="129">
        <v>2022</v>
      </c>
      <c r="M104" s="127" t="s">
        <v>1200</v>
      </c>
      <c r="N104" s="127" t="s">
        <v>1201</v>
      </c>
      <c r="O104" s="169">
        <v>530</v>
      </c>
      <c r="P104" s="169"/>
      <c r="Q104" s="169"/>
      <c r="R104" s="169">
        <v>530</v>
      </c>
      <c r="S104" s="70"/>
      <c r="T104" s="70" t="s">
        <v>1149</v>
      </c>
      <c r="U104" s="70"/>
      <c r="V104" s="70"/>
      <c r="W104" s="70"/>
      <c r="X104" s="70"/>
      <c r="Y104" s="169">
        <f t="shared" si="65"/>
        <v>530</v>
      </c>
      <c r="Z104" s="70"/>
      <c r="AA104" s="70"/>
      <c r="AB104" s="169">
        <f t="shared" si="66"/>
        <v>530</v>
      </c>
      <c r="AC104" s="169">
        <f t="shared" si="67"/>
        <v>0</v>
      </c>
      <c r="AD104" s="169"/>
      <c r="AE104" s="70"/>
      <c r="AF104" s="169"/>
      <c r="AG104" s="169">
        <v>530</v>
      </c>
      <c r="AH104" s="169">
        <f t="shared" si="96"/>
        <v>526</v>
      </c>
      <c r="AI104" s="70"/>
      <c r="AJ104" s="70"/>
      <c r="AK104" s="169">
        <f t="shared" si="69"/>
        <v>526</v>
      </c>
      <c r="AL104" s="169">
        <f t="shared" si="70"/>
        <v>0</v>
      </c>
      <c r="AM104" s="169"/>
      <c r="AN104" s="169"/>
      <c r="AO104" s="169"/>
      <c r="AP104" s="169">
        <v>526</v>
      </c>
      <c r="AQ104" s="169">
        <f t="shared" si="97"/>
        <v>526</v>
      </c>
      <c r="AR104" s="70"/>
      <c r="AS104" s="70"/>
      <c r="AT104" s="169">
        <f t="shared" si="92"/>
        <v>526</v>
      </c>
      <c r="AU104" s="169">
        <f t="shared" si="73"/>
        <v>0</v>
      </c>
      <c r="AV104" s="169"/>
      <c r="AW104" s="70"/>
      <c r="AX104" s="68"/>
      <c r="AY104" s="169">
        <v>526</v>
      </c>
      <c r="AZ104" s="70">
        <f t="shared" si="98"/>
        <v>0</v>
      </c>
      <c r="BA104" s="70"/>
      <c r="BB104" s="70"/>
      <c r="BC104" s="70">
        <f t="shared" si="75"/>
        <v>0</v>
      </c>
      <c r="BD104" s="169">
        <f t="shared" si="76"/>
        <v>0</v>
      </c>
      <c r="BE104" s="70"/>
      <c r="BF104" s="70"/>
      <c r="BG104" s="70"/>
      <c r="BH104" s="70"/>
      <c r="BI104" s="127">
        <f t="shared" si="99"/>
        <v>0</v>
      </c>
      <c r="BJ104" s="127"/>
      <c r="BK104" s="127"/>
      <c r="BL104" s="127">
        <f t="shared" si="95"/>
        <v>0</v>
      </c>
      <c r="BM104" s="127"/>
      <c r="BN104" s="127"/>
      <c r="BO104" s="127"/>
      <c r="BP104" s="127"/>
      <c r="BQ104" s="127">
        <f t="shared" si="100"/>
        <v>0</v>
      </c>
      <c r="BR104" s="127"/>
      <c r="BS104" s="127"/>
      <c r="BT104" s="127"/>
      <c r="BU104" s="127"/>
      <c r="BV104" s="127"/>
      <c r="BW104" s="127"/>
      <c r="BX104" s="127"/>
      <c r="BY104" s="127"/>
      <c r="BZ104" s="127"/>
      <c r="CA104" s="127"/>
      <c r="CB104" s="127"/>
      <c r="CC104" s="127"/>
      <c r="CD104" s="127"/>
      <c r="CE104" s="125"/>
    </row>
    <row r="105" spans="1:83" ht="46.15" outlineLevel="1">
      <c r="A105" s="126">
        <v>14</v>
      </c>
      <c r="B105" s="181" t="s">
        <v>1202</v>
      </c>
      <c r="C105" s="127" t="s">
        <v>886</v>
      </c>
      <c r="D105" s="127" t="s">
        <v>1175</v>
      </c>
      <c r="E105" s="127" t="s">
        <v>49</v>
      </c>
      <c r="F105" s="127" t="s">
        <v>1149</v>
      </c>
      <c r="G105" s="127" t="s">
        <v>1149</v>
      </c>
      <c r="H105" s="127" t="s">
        <v>1149</v>
      </c>
      <c r="I105" s="127" t="s">
        <v>55</v>
      </c>
      <c r="J105" s="126"/>
      <c r="K105" s="127" t="s">
        <v>84</v>
      </c>
      <c r="L105" s="129" t="s">
        <v>750</v>
      </c>
      <c r="M105" s="127" t="s">
        <v>1203</v>
      </c>
      <c r="N105" s="127" t="s">
        <v>1204</v>
      </c>
      <c r="O105" s="169">
        <v>4000</v>
      </c>
      <c r="P105" s="169"/>
      <c r="Q105" s="169"/>
      <c r="R105" s="169">
        <v>4000</v>
      </c>
      <c r="S105" s="70"/>
      <c r="T105" s="70" t="s">
        <v>1149</v>
      </c>
      <c r="U105" s="70"/>
      <c r="V105" s="70"/>
      <c r="W105" s="70"/>
      <c r="X105" s="70"/>
      <c r="Y105" s="169">
        <f t="shared" si="65"/>
        <v>4000</v>
      </c>
      <c r="Z105" s="70"/>
      <c r="AA105" s="70"/>
      <c r="AB105" s="169">
        <f t="shared" si="66"/>
        <v>4000</v>
      </c>
      <c r="AC105" s="169">
        <f t="shared" si="67"/>
        <v>0</v>
      </c>
      <c r="AD105" s="169"/>
      <c r="AE105" s="70"/>
      <c r="AF105" s="169"/>
      <c r="AG105" s="169">
        <v>4000</v>
      </c>
      <c r="AH105" s="169">
        <f t="shared" si="96"/>
        <v>2600</v>
      </c>
      <c r="AI105" s="70"/>
      <c r="AJ105" s="70"/>
      <c r="AK105" s="169">
        <f t="shared" si="69"/>
        <v>2600</v>
      </c>
      <c r="AL105" s="169">
        <f t="shared" si="70"/>
        <v>0</v>
      </c>
      <c r="AM105" s="169"/>
      <c r="AN105" s="169"/>
      <c r="AO105" s="169"/>
      <c r="AP105" s="169">
        <v>2600</v>
      </c>
      <c r="AQ105" s="169">
        <f t="shared" si="97"/>
        <v>1784.396</v>
      </c>
      <c r="AR105" s="70"/>
      <c r="AS105" s="70"/>
      <c r="AT105" s="169">
        <f t="shared" si="92"/>
        <v>1784.396</v>
      </c>
      <c r="AU105" s="169">
        <f t="shared" si="73"/>
        <v>0</v>
      </c>
      <c r="AV105" s="169"/>
      <c r="AW105" s="70"/>
      <c r="AX105" s="68"/>
      <c r="AY105" s="169">
        <v>1784.396</v>
      </c>
      <c r="AZ105" s="70">
        <f t="shared" si="98"/>
        <v>1312.5</v>
      </c>
      <c r="BA105" s="70"/>
      <c r="BB105" s="70"/>
      <c r="BC105" s="70">
        <f t="shared" si="75"/>
        <v>1312.5</v>
      </c>
      <c r="BD105" s="169">
        <f t="shared" si="76"/>
        <v>0</v>
      </c>
      <c r="BE105" s="70"/>
      <c r="BF105" s="70"/>
      <c r="BG105" s="70"/>
      <c r="BH105" s="70">
        <v>1312.5</v>
      </c>
      <c r="BI105" s="127">
        <f t="shared" si="99"/>
        <v>575.46</v>
      </c>
      <c r="BJ105" s="127"/>
      <c r="BK105" s="127"/>
      <c r="BL105" s="127">
        <f t="shared" si="95"/>
        <v>575.46</v>
      </c>
      <c r="BM105" s="127"/>
      <c r="BN105" s="127"/>
      <c r="BO105" s="127"/>
      <c r="BP105" s="127">
        <v>575.46</v>
      </c>
      <c r="BQ105" s="127">
        <f t="shared" si="100"/>
        <v>815.60400000000004</v>
      </c>
      <c r="BR105" s="127"/>
      <c r="BS105" s="127"/>
      <c r="BT105" s="127">
        <v>815.60400000000004</v>
      </c>
      <c r="BU105" s="127">
        <f t="shared" ref="BU105" si="101">SUM(BV105:BX105)</f>
        <v>815.60400000000004</v>
      </c>
      <c r="BV105" s="127"/>
      <c r="BW105" s="127"/>
      <c r="BX105" s="127">
        <v>815.60400000000004</v>
      </c>
      <c r="BY105" s="127"/>
      <c r="BZ105" s="127"/>
      <c r="CA105" s="127"/>
      <c r="CB105" s="127"/>
      <c r="CC105" s="233">
        <v>815.60400000000004</v>
      </c>
      <c r="CD105" s="127"/>
      <c r="CE105" s="125" t="s">
        <v>948</v>
      </c>
    </row>
    <row r="106" spans="1:83" ht="36.75" customHeight="1" outlineLevel="1">
      <c r="A106" s="488" t="s">
        <v>45</v>
      </c>
      <c r="B106" s="489" t="s">
        <v>913</v>
      </c>
      <c r="C106" s="191"/>
      <c r="D106" s="191"/>
      <c r="E106" s="191"/>
      <c r="F106" s="191"/>
      <c r="G106" s="191"/>
      <c r="H106" s="191"/>
      <c r="I106" s="192"/>
      <c r="J106" s="191"/>
      <c r="K106" s="191"/>
      <c r="L106" s="191"/>
      <c r="M106" s="191"/>
      <c r="N106" s="193"/>
      <c r="O106" s="194">
        <f>SUM(O107:O111)</f>
        <v>3630</v>
      </c>
      <c r="P106" s="194">
        <f t="shared" ref="P106:BM106" si="102">SUM(P107:P111)</f>
        <v>0</v>
      </c>
      <c r="Q106" s="194">
        <f t="shared" si="102"/>
        <v>0</v>
      </c>
      <c r="R106" s="194">
        <f t="shared" si="102"/>
        <v>3580</v>
      </c>
      <c r="S106" s="194">
        <f t="shared" si="102"/>
        <v>0</v>
      </c>
      <c r="T106" s="194">
        <f t="shared" si="102"/>
        <v>0</v>
      </c>
      <c r="U106" s="194">
        <f t="shared" si="102"/>
        <v>0</v>
      </c>
      <c r="V106" s="194">
        <f t="shared" si="102"/>
        <v>0</v>
      </c>
      <c r="W106" s="194">
        <f t="shared" si="102"/>
        <v>0</v>
      </c>
      <c r="X106" s="194">
        <f t="shared" si="102"/>
        <v>0</v>
      </c>
      <c r="Y106" s="194">
        <f t="shared" si="102"/>
        <v>3580</v>
      </c>
      <c r="Z106" s="194">
        <f t="shared" si="102"/>
        <v>0</v>
      </c>
      <c r="AA106" s="194">
        <f t="shared" si="102"/>
        <v>0</v>
      </c>
      <c r="AB106" s="194">
        <f t="shared" si="102"/>
        <v>3580</v>
      </c>
      <c r="AC106" s="194">
        <f t="shared" si="102"/>
        <v>0</v>
      </c>
      <c r="AD106" s="194">
        <f t="shared" si="102"/>
        <v>0</v>
      </c>
      <c r="AE106" s="194">
        <f t="shared" si="102"/>
        <v>0</v>
      </c>
      <c r="AF106" s="194">
        <f t="shared" si="102"/>
        <v>2500</v>
      </c>
      <c r="AG106" s="194">
        <f t="shared" si="102"/>
        <v>1080</v>
      </c>
      <c r="AH106" s="194">
        <f t="shared" si="102"/>
        <v>0</v>
      </c>
      <c r="AI106" s="194">
        <f t="shared" si="102"/>
        <v>0</v>
      </c>
      <c r="AJ106" s="194">
        <f t="shared" si="102"/>
        <v>0</v>
      </c>
      <c r="AK106" s="194">
        <f t="shared" si="102"/>
        <v>0</v>
      </c>
      <c r="AL106" s="194">
        <f t="shared" si="102"/>
        <v>0</v>
      </c>
      <c r="AM106" s="194">
        <f t="shared" si="102"/>
        <v>0</v>
      </c>
      <c r="AN106" s="194">
        <f t="shared" si="102"/>
        <v>0</v>
      </c>
      <c r="AO106" s="194">
        <f t="shared" si="102"/>
        <v>0</v>
      </c>
      <c r="AP106" s="194">
        <f t="shared" si="102"/>
        <v>0</v>
      </c>
      <c r="AQ106" s="194">
        <f t="shared" si="102"/>
        <v>0</v>
      </c>
      <c r="AR106" s="194">
        <f t="shared" si="102"/>
        <v>0</v>
      </c>
      <c r="AS106" s="194">
        <f t="shared" si="102"/>
        <v>0</v>
      </c>
      <c r="AT106" s="194">
        <f t="shared" si="102"/>
        <v>0</v>
      </c>
      <c r="AU106" s="194">
        <f t="shared" si="102"/>
        <v>0</v>
      </c>
      <c r="AV106" s="194">
        <f t="shared" si="102"/>
        <v>0</v>
      </c>
      <c r="AW106" s="194">
        <f t="shared" si="102"/>
        <v>0</v>
      </c>
      <c r="AX106" s="194">
        <f t="shared" si="102"/>
        <v>0</v>
      </c>
      <c r="AY106" s="194">
        <f t="shared" si="102"/>
        <v>0</v>
      </c>
      <c r="AZ106" s="194">
        <f t="shared" si="102"/>
        <v>0</v>
      </c>
      <c r="BA106" s="194">
        <f t="shared" si="102"/>
        <v>0</v>
      </c>
      <c r="BB106" s="194">
        <f t="shared" si="102"/>
        <v>0</v>
      </c>
      <c r="BC106" s="194">
        <f t="shared" si="102"/>
        <v>0</v>
      </c>
      <c r="BD106" s="194">
        <f t="shared" si="102"/>
        <v>0</v>
      </c>
      <c r="BE106" s="194">
        <f t="shared" si="102"/>
        <v>0</v>
      </c>
      <c r="BF106" s="194">
        <f t="shared" si="102"/>
        <v>0</v>
      </c>
      <c r="BG106" s="194">
        <f t="shared" si="102"/>
        <v>0</v>
      </c>
      <c r="BH106" s="194">
        <f t="shared" si="102"/>
        <v>0</v>
      </c>
      <c r="BI106" s="195">
        <f t="shared" si="102"/>
        <v>0</v>
      </c>
      <c r="BJ106" s="195">
        <f t="shared" si="102"/>
        <v>0</v>
      </c>
      <c r="BK106" s="195">
        <f t="shared" si="102"/>
        <v>0</v>
      </c>
      <c r="BL106" s="195">
        <f t="shared" si="102"/>
        <v>0</v>
      </c>
      <c r="BM106" s="195">
        <f t="shared" si="102"/>
        <v>0</v>
      </c>
      <c r="BN106" s="195"/>
      <c r="BO106" s="196"/>
      <c r="BP106" s="195"/>
      <c r="BQ106" s="195"/>
      <c r="BR106" s="195"/>
      <c r="BS106" s="195"/>
      <c r="BT106" s="195"/>
      <c r="BU106" s="195"/>
      <c r="BV106" s="195"/>
      <c r="BW106" s="195"/>
      <c r="BX106" s="197"/>
      <c r="BY106" s="196"/>
      <c r="BZ106" s="195"/>
      <c r="CA106" s="195"/>
      <c r="CB106" s="195"/>
      <c r="CC106" s="195"/>
      <c r="CD106" s="195"/>
      <c r="CE106" s="168"/>
    </row>
    <row r="107" spans="1:83" ht="46.15" outlineLevel="1">
      <c r="A107" s="126">
        <v>1</v>
      </c>
      <c r="B107" s="181" t="s">
        <v>1205</v>
      </c>
      <c r="C107" s="127" t="s">
        <v>886</v>
      </c>
      <c r="D107" s="127" t="s">
        <v>1175</v>
      </c>
      <c r="E107" s="127" t="s">
        <v>49</v>
      </c>
      <c r="F107" s="127" t="s">
        <v>1157</v>
      </c>
      <c r="G107" s="127" t="s">
        <v>1149</v>
      </c>
      <c r="H107" s="127" t="s">
        <v>1149</v>
      </c>
      <c r="I107" s="127" t="s">
        <v>890</v>
      </c>
      <c r="J107" s="126"/>
      <c r="K107" s="126" t="s">
        <v>1206</v>
      </c>
      <c r="L107" s="129"/>
      <c r="M107" s="127" t="s">
        <v>1207</v>
      </c>
      <c r="N107" s="127" t="s">
        <v>1207</v>
      </c>
      <c r="O107" s="169">
        <v>1000</v>
      </c>
      <c r="P107" s="169"/>
      <c r="Q107" s="169"/>
      <c r="R107" s="169">
        <v>1000</v>
      </c>
      <c r="S107" s="70"/>
      <c r="T107" s="70" t="s">
        <v>1149</v>
      </c>
      <c r="U107" s="70"/>
      <c r="V107" s="70"/>
      <c r="W107" s="70"/>
      <c r="X107" s="70"/>
      <c r="Y107" s="169">
        <f t="shared" si="65"/>
        <v>1000</v>
      </c>
      <c r="Z107" s="70"/>
      <c r="AA107" s="70"/>
      <c r="AB107" s="169">
        <f t="shared" si="66"/>
        <v>1000</v>
      </c>
      <c r="AC107" s="169">
        <f t="shared" si="67"/>
        <v>0</v>
      </c>
      <c r="AD107" s="169"/>
      <c r="AE107" s="70"/>
      <c r="AF107" s="169">
        <v>1000</v>
      </c>
      <c r="AG107" s="169"/>
      <c r="AH107" s="169"/>
      <c r="AI107" s="70"/>
      <c r="AJ107" s="70"/>
      <c r="AK107" s="169">
        <f t="shared" si="69"/>
        <v>0</v>
      </c>
      <c r="AL107" s="169">
        <f t="shared" si="70"/>
        <v>0</v>
      </c>
      <c r="AM107" s="169"/>
      <c r="AN107" s="169"/>
      <c r="AO107" s="169"/>
      <c r="AP107" s="169"/>
      <c r="AQ107" s="169"/>
      <c r="AR107" s="70"/>
      <c r="AS107" s="70"/>
      <c r="AT107" s="169">
        <f t="shared" si="92"/>
        <v>0</v>
      </c>
      <c r="AU107" s="169">
        <f t="shared" si="73"/>
        <v>0</v>
      </c>
      <c r="AV107" s="169"/>
      <c r="AW107" s="70"/>
      <c r="AX107" s="68"/>
      <c r="AY107" s="169"/>
      <c r="AZ107" s="70"/>
      <c r="BA107" s="70"/>
      <c r="BB107" s="70"/>
      <c r="BC107" s="70">
        <f t="shared" si="75"/>
        <v>0</v>
      </c>
      <c r="BD107" s="169">
        <f t="shared" si="76"/>
        <v>0</v>
      </c>
      <c r="BE107" s="70"/>
      <c r="BF107" s="70"/>
      <c r="BG107" s="70"/>
      <c r="BH107" s="70"/>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5"/>
    </row>
    <row r="108" spans="1:83" ht="46.15" outlineLevel="1">
      <c r="A108" s="126">
        <v>2</v>
      </c>
      <c r="B108" s="182" t="s">
        <v>1208</v>
      </c>
      <c r="C108" s="127" t="s">
        <v>886</v>
      </c>
      <c r="D108" s="127" t="s">
        <v>1175</v>
      </c>
      <c r="E108" s="127" t="s">
        <v>49</v>
      </c>
      <c r="F108" s="127" t="s">
        <v>1149</v>
      </c>
      <c r="G108" s="127" t="s">
        <v>1149</v>
      </c>
      <c r="H108" s="127" t="s">
        <v>1149</v>
      </c>
      <c r="I108" s="127"/>
      <c r="J108" s="126"/>
      <c r="K108" s="126" t="s">
        <v>1206</v>
      </c>
      <c r="L108" s="129"/>
      <c r="M108" s="127" t="s">
        <v>1209</v>
      </c>
      <c r="N108" s="127" t="s">
        <v>1209</v>
      </c>
      <c r="O108" s="169">
        <v>1550</v>
      </c>
      <c r="P108" s="169"/>
      <c r="Q108" s="169"/>
      <c r="R108" s="169">
        <v>1500</v>
      </c>
      <c r="S108" s="70"/>
      <c r="T108" s="70" t="s">
        <v>1149</v>
      </c>
      <c r="U108" s="70"/>
      <c r="V108" s="70"/>
      <c r="W108" s="70"/>
      <c r="X108" s="70"/>
      <c r="Y108" s="169">
        <f t="shared" si="65"/>
        <v>1500</v>
      </c>
      <c r="Z108" s="70"/>
      <c r="AA108" s="70"/>
      <c r="AB108" s="169">
        <f t="shared" si="66"/>
        <v>1500</v>
      </c>
      <c r="AC108" s="169">
        <f t="shared" si="67"/>
        <v>0</v>
      </c>
      <c r="AD108" s="169"/>
      <c r="AE108" s="70"/>
      <c r="AF108" s="169">
        <v>1500</v>
      </c>
      <c r="AG108" s="169"/>
      <c r="AH108" s="169"/>
      <c r="AI108" s="70"/>
      <c r="AJ108" s="70"/>
      <c r="AK108" s="169">
        <f t="shared" si="69"/>
        <v>0</v>
      </c>
      <c r="AL108" s="169">
        <f t="shared" si="70"/>
        <v>0</v>
      </c>
      <c r="AM108" s="169"/>
      <c r="AN108" s="169"/>
      <c r="AO108" s="169"/>
      <c r="AP108" s="169"/>
      <c r="AQ108" s="169"/>
      <c r="AR108" s="70"/>
      <c r="AS108" s="70"/>
      <c r="AT108" s="169">
        <f t="shared" si="92"/>
        <v>0</v>
      </c>
      <c r="AU108" s="169">
        <f t="shared" si="73"/>
        <v>0</v>
      </c>
      <c r="AV108" s="169"/>
      <c r="AW108" s="70"/>
      <c r="AX108" s="68"/>
      <c r="AY108" s="169"/>
      <c r="AZ108" s="70"/>
      <c r="BA108" s="70"/>
      <c r="BB108" s="70"/>
      <c r="BC108" s="70">
        <f t="shared" si="75"/>
        <v>0</v>
      </c>
      <c r="BD108" s="169">
        <f t="shared" si="76"/>
        <v>0</v>
      </c>
      <c r="BE108" s="70"/>
      <c r="BF108" s="70"/>
      <c r="BG108" s="70"/>
      <c r="BH108" s="70"/>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5"/>
    </row>
    <row r="109" spans="1:83" ht="30.75" outlineLevel="1">
      <c r="A109" s="126">
        <v>3</v>
      </c>
      <c r="B109" s="181" t="s">
        <v>1210</v>
      </c>
      <c r="C109" s="127" t="s">
        <v>1095</v>
      </c>
      <c r="D109" s="127" t="s">
        <v>1175</v>
      </c>
      <c r="E109" s="127" t="s">
        <v>49</v>
      </c>
      <c r="F109" s="127" t="s">
        <v>1149</v>
      </c>
      <c r="G109" s="127" t="s">
        <v>1149</v>
      </c>
      <c r="H109" s="127" t="s">
        <v>1149</v>
      </c>
      <c r="I109" s="127" t="s">
        <v>916</v>
      </c>
      <c r="J109" s="126"/>
      <c r="K109" s="126"/>
      <c r="L109" s="129"/>
      <c r="M109" s="127"/>
      <c r="N109" s="127"/>
      <c r="O109" s="169">
        <v>360</v>
      </c>
      <c r="P109" s="169"/>
      <c r="Q109" s="169"/>
      <c r="R109" s="169">
        <v>360</v>
      </c>
      <c r="S109" s="70"/>
      <c r="T109" s="70" t="s">
        <v>1149</v>
      </c>
      <c r="U109" s="70"/>
      <c r="V109" s="70"/>
      <c r="W109" s="70"/>
      <c r="X109" s="70"/>
      <c r="Y109" s="169">
        <f t="shared" si="65"/>
        <v>360</v>
      </c>
      <c r="Z109" s="70"/>
      <c r="AA109" s="70"/>
      <c r="AB109" s="169">
        <f t="shared" si="66"/>
        <v>360</v>
      </c>
      <c r="AC109" s="169">
        <f t="shared" si="67"/>
        <v>0</v>
      </c>
      <c r="AD109" s="169"/>
      <c r="AE109" s="70"/>
      <c r="AF109" s="169"/>
      <c r="AG109" s="169">
        <v>360</v>
      </c>
      <c r="AH109" s="169"/>
      <c r="AI109" s="70"/>
      <c r="AJ109" s="70"/>
      <c r="AK109" s="169">
        <f t="shared" si="69"/>
        <v>0</v>
      </c>
      <c r="AL109" s="169">
        <f t="shared" si="70"/>
        <v>0</v>
      </c>
      <c r="AM109" s="169"/>
      <c r="AN109" s="169"/>
      <c r="AO109" s="169"/>
      <c r="AP109" s="169"/>
      <c r="AQ109" s="169"/>
      <c r="AR109" s="70"/>
      <c r="AS109" s="70"/>
      <c r="AT109" s="169">
        <f t="shared" si="92"/>
        <v>0</v>
      </c>
      <c r="AU109" s="169">
        <f t="shared" si="73"/>
        <v>0</v>
      </c>
      <c r="AV109" s="169"/>
      <c r="AW109" s="70"/>
      <c r="AX109" s="68"/>
      <c r="AY109" s="169"/>
      <c r="AZ109" s="70"/>
      <c r="BA109" s="70"/>
      <c r="BB109" s="70"/>
      <c r="BC109" s="70">
        <f t="shared" si="75"/>
        <v>0</v>
      </c>
      <c r="BD109" s="169">
        <f t="shared" si="76"/>
        <v>0</v>
      </c>
      <c r="BE109" s="70"/>
      <c r="BF109" s="70"/>
      <c r="BG109" s="70"/>
      <c r="BH109" s="70"/>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5"/>
    </row>
    <row r="110" spans="1:83" ht="30.75" outlineLevel="1">
      <c r="A110" s="126">
        <v>4</v>
      </c>
      <c r="B110" s="181" t="s">
        <v>1211</v>
      </c>
      <c r="C110" s="127" t="s">
        <v>1212</v>
      </c>
      <c r="D110" s="127" t="s">
        <v>1175</v>
      </c>
      <c r="E110" s="127" t="s">
        <v>49</v>
      </c>
      <c r="F110" s="127" t="s">
        <v>1157</v>
      </c>
      <c r="G110" s="127" t="s">
        <v>1149</v>
      </c>
      <c r="H110" s="127" t="s">
        <v>1149</v>
      </c>
      <c r="I110" s="127" t="s">
        <v>916</v>
      </c>
      <c r="J110" s="126"/>
      <c r="K110" s="126"/>
      <c r="L110" s="129"/>
      <c r="M110" s="127"/>
      <c r="N110" s="127"/>
      <c r="O110" s="169">
        <v>360</v>
      </c>
      <c r="P110" s="169"/>
      <c r="Q110" s="169"/>
      <c r="R110" s="169">
        <v>360</v>
      </c>
      <c r="S110" s="70"/>
      <c r="T110" s="70" t="s">
        <v>1149</v>
      </c>
      <c r="U110" s="70"/>
      <c r="V110" s="70"/>
      <c r="W110" s="70"/>
      <c r="X110" s="70"/>
      <c r="Y110" s="169">
        <f t="shared" si="65"/>
        <v>360</v>
      </c>
      <c r="Z110" s="70"/>
      <c r="AA110" s="70"/>
      <c r="AB110" s="169">
        <f t="shared" si="66"/>
        <v>360</v>
      </c>
      <c r="AC110" s="169">
        <f t="shared" si="67"/>
        <v>0</v>
      </c>
      <c r="AD110" s="169"/>
      <c r="AE110" s="70"/>
      <c r="AF110" s="169"/>
      <c r="AG110" s="169">
        <v>360</v>
      </c>
      <c r="AH110" s="169"/>
      <c r="AI110" s="70"/>
      <c r="AJ110" s="70"/>
      <c r="AK110" s="169">
        <f t="shared" si="69"/>
        <v>0</v>
      </c>
      <c r="AL110" s="169">
        <f t="shared" si="70"/>
        <v>0</v>
      </c>
      <c r="AM110" s="169"/>
      <c r="AN110" s="169"/>
      <c r="AO110" s="169"/>
      <c r="AP110" s="169"/>
      <c r="AQ110" s="169"/>
      <c r="AR110" s="70"/>
      <c r="AS110" s="70"/>
      <c r="AT110" s="169">
        <f t="shared" si="92"/>
        <v>0</v>
      </c>
      <c r="AU110" s="169">
        <f t="shared" si="73"/>
        <v>0</v>
      </c>
      <c r="AV110" s="169"/>
      <c r="AW110" s="70"/>
      <c r="AX110" s="68"/>
      <c r="AY110" s="169"/>
      <c r="AZ110" s="70"/>
      <c r="BA110" s="70"/>
      <c r="BB110" s="70"/>
      <c r="BC110" s="70">
        <f t="shared" si="75"/>
        <v>0</v>
      </c>
      <c r="BD110" s="169">
        <f t="shared" si="76"/>
        <v>0</v>
      </c>
      <c r="BE110" s="70"/>
      <c r="BF110" s="70"/>
      <c r="BG110" s="70"/>
      <c r="BH110" s="70"/>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5"/>
    </row>
    <row r="111" spans="1:83" ht="30.75" outlineLevel="1">
      <c r="A111" s="126">
        <v>5</v>
      </c>
      <c r="B111" s="181" t="s">
        <v>1213</v>
      </c>
      <c r="C111" s="127" t="s">
        <v>1214</v>
      </c>
      <c r="D111" s="127" t="s">
        <v>1175</v>
      </c>
      <c r="E111" s="127" t="s">
        <v>49</v>
      </c>
      <c r="F111" s="127" t="s">
        <v>1215</v>
      </c>
      <c r="G111" s="127" t="s">
        <v>1149</v>
      </c>
      <c r="H111" s="127" t="s">
        <v>1149</v>
      </c>
      <c r="I111" s="127" t="s">
        <v>916</v>
      </c>
      <c r="J111" s="126"/>
      <c r="K111" s="126"/>
      <c r="L111" s="129"/>
      <c r="M111" s="127"/>
      <c r="N111" s="127"/>
      <c r="O111" s="169">
        <v>360</v>
      </c>
      <c r="P111" s="169"/>
      <c r="Q111" s="169"/>
      <c r="R111" s="169">
        <v>360</v>
      </c>
      <c r="S111" s="70"/>
      <c r="T111" s="70" t="s">
        <v>1149</v>
      </c>
      <c r="U111" s="70"/>
      <c r="V111" s="70"/>
      <c r="W111" s="70"/>
      <c r="X111" s="70"/>
      <c r="Y111" s="169">
        <f t="shared" si="65"/>
        <v>360</v>
      </c>
      <c r="Z111" s="70"/>
      <c r="AA111" s="70"/>
      <c r="AB111" s="169">
        <f t="shared" si="66"/>
        <v>360</v>
      </c>
      <c r="AC111" s="169">
        <f t="shared" si="67"/>
        <v>0</v>
      </c>
      <c r="AD111" s="169"/>
      <c r="AE111" s="70"/>
      <c r="AF111" s="169"/>
      <c r="AG111" s="169">
        <v>360</v>
      </c>
      <c r="AH111" s="169"/>
      <c r="AI111" s="70"/>
      <c r="AJ111" s="70"/>
      <c r="AK111" s="169">
        <f t="shared" si="69"/>
        <v>0</v>
      </c>
      <c r="AL111" s="169">
        <f t="shared" si="70"/>
        <v>0</v>
      </c>
      <c r="AM111" s="169"/>
      <c r="AN111" s="169"/>
      <c r="AO111" s="169"/>
      <c r="AP111" s="169"/>
      <c r="AQ111" s="169"/>
      <c r="AR111" s="70"/>
      <c r="AS111" s="70"/>
      <c r="AT111" s="169">
        <f t="shared" si="92"/>
        <v>0</v>
      </c>
      <c r="AU111" s="169">
        <f t="shared" si="73"/>
        <v>0</v>
      </c>
      <c r="AV111" s="169"/>
      <c r="AW111" s="70"/>
      <c r="AX111" s="68"/>
      <c r="AY111" s="169"/>
      <c r="AZ111" s="70"/>
      <c r="BA111" s="70"/>
      <c r="BB111" s="70"/>
      <c r="BC111" s="70">
        <f t="shared" si="75"/>
        <v>0</v>
      </c>
      <c r="BD111" s="169">
        <f t="shared" si="76"/>
        <v>0</v>
      </c>
      <c r="BE111" s="70"/>
      <c r="BF111" s="70"/>
      <c r="BG111" s="70"/>
      <c r="BH111" s="70"/>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5"/>
    </row>
    <row r="112" spans="1:83" ht="25.5" customHeight="1">
      <c r="A112" s="418" t="s">
        <v>59</v>
      </c>
      <c r="B112" s="418" t="s">
        <v>3636</v>
      </c>
      <c r="C112" s="482"/>
      <c r="D112" s="482"/>
      <c r="E112" s="482"/>
      <c r="F112" s="482"/>
      <c r="G112" s="482"/>
      <c r="H112" s="482"/>
      <c r="I112" s="482"/>
      <c r="J112" s="482"/>
      <c r="K112" s="482"/>
      <c r="L112" s="482"/>
      <c r="M112" s="482"/>
      <c r="N112" s="482"/>
      <c r="O112" s="72"/>
      <c r="P112" s="72"/>
      <c r="Q112" s="72"/>
      <c r="R112" s="72"/>
      <c r="S112" s="72"/>
      <c r="T112" s="72"/>
      <c r="U112" s="72"/>
      <c r="V112" s="72"/>
      <c r="W112" s="72"/>
      <c r="X112" s="72"/>
      <c r="Y112" s="72"/>
      <c r="Z112" s="72"/>
      <c r="AA112" s="72"/>
      <c r="AB112" s="72">
        <v>14500</v>
      </c>
      <c r="AC112" s="72">
        <v>0</v>
      </c>
      <c r="AD112" s="72">
        <v>0</v>
      </c>
      <c r="AE112" s="72">
        <v>0</v>
      </c>
      <c r="AF112" s="72">
        <v>14500</v>
      </c>
      <c r="AG112" s="72">
        <v>0</v>
      </c>
      <c r="AH112" s="72">
        <v>0</v>
      </c>
      <c r="AI112" s="72">
        <v>0</v>
      </c>
      <c r="AJ112" s="72">
        <v>0</v>
      </c>
      <c r="AK112" s="72">
        <v>0</v>
      </c>
      <c r="AL112" s="72">
        <v>0</v>
      </c>
      <c r="AM112" s="72">
        <v>0</v>
      </c>
      <c r="AN112" s="72">
        <v>0</v>
      </c>
      <c r="AO112" s="72">
        <v>0</v>
      </c>
      <c r="AP112" s="72">
        <v>0</v>
      </c>
      <c r="AQ112" s="72">
        <v>0</v>
      </c>
      <c r="AR112" s="72">
        <v>0</v>
      </c>
      <c r="AS112" s="72">
        <v>0</v>
      </c>
      <c r="AT112" s="72">
        <v>0</v>
      </c>
      <c r="AU112" s="72">
        <v>0</v>
      </c>
      <c r="AV112" s="72">
        <v>0</v>
      </c>
      <c r="AW112" s="72">
        <v>0</v>
      </c>
      <c r="AX112" s="72">
        <v>0</v>
      </c>
      <c r="AY112" s="72">
        <v>0</v>
      </c>
      <c r="AZ112" s="72">
        <v>6690</v>
      </c>
      <c r="BA112" s="72">
        <v>0</v>
      </c>
      <c r="BB112" s="72">
        <v>0</v>
      </c>
      <c r="BC112" s="72">
        <v>6690</v>
      </c>
      <c r="BD112" s="72">
        <v>0</v>
      </c>
      <c r="BE112" s="72">
        <v>0</v>
      </c>
      <c r="BF112" s="72">
        <v>0</v>
      </c>
      <c r="BG112" s="72">
        <v>6690</v>
      </c>
      <c r="BH112" s="72">
        <v>0</v>
      </c>
      <c r="BI112" s="72">
        <v>0</v>
      </c>
      <c r="BJ112" s="72">
        <v>0</v>
      </c>
      <c r="BK112" s="72">
        <v>0</v>
      </c>
      <c r="BL112" s="72">
        <v>0</v>
      </c>
      <c r="BM112" s="72">
        <v>0</v>
      </c>
      <c r="BN112" s="72">
        <v>0</v>
      </c>
      <c r="BO112" s="72">
        <v>0</v>
      </c>
      <c r="BP112" s="72">
        <v>0</v>
      </c>
      <c r="BQ112" s="72">
        <v>0</v>
      </c>
      <c r="BR112" s="72">
        <v>0</v>
      </c>
      <c r="BS112" s="72">
        <v>0</v>
      </c>
      <c r="BT112" s="72">
        <v>0</v>
      </c>
      <c r="BU112" s="72">
        <v>0</v>
      </c>
      <c r="BV112" s="72">
        <v>0</v>
      </c>
      <c r="BW112" s="72">
        <v>0</v>
      </c>
      <c r="BX112" s="72">
        <v>0</v>
      </c>
      <c r="BY112" s="72">
        <v>0</v>
      </c>
      <c r="BZ112" s="72">
        <v>0</v>
      </c>
      <c r="CA112" s="72">
        <v>0</v>
      </c>
      <c r="CB112" s="72">
        <v>0</v>
      </c>
      <c r="CC112" s="72">
        <v>0</v>
      </c>
      <c r="CD112" s="482"/>
      <c r="CE112" s="128"/>
    </row>
    <row r="113" spans="1:83" ht="60">
      <c r="A113" s="175" t="s">
        <v>49</v>
      </c>
      <c r="B113" s="175" t="s">
        <v>1216</v>
      </c>
      <c r="C113" s="175" t="s">
        <v>1217</v>
      </c>
      <c r="D113" s="505"/>
      <c r="E113" s="505"/>
      <c r="F113" s="175">
        <v>0</v>
      </c>
      <c r="G113" s="175">
        <v>0</v>
      </c>
      <c r="H113" s="175">
        <v>0</v>
      </c>
      <c r="I113" s="505"/>
      <c r="J113" s="505"/>
      <c r="K113" s="505"/>
      <c r="L113" s="506"/>
      <c r="M113" s="505"/>
      <c r="N113" s="505"/>
      <c r="O113" s="67">
        <v>0</v>
      </c>
      <c r="P113" s="67">
        <v>0</v>
      </c>
      <c r="Q113" s="67">
        <v>0</v>
      </c>
      <c r="R113" s="67">
        <v>0</v>
      </c>
      <c r="S113" s="67">
        <v>0</v>
      </c>
      <c r="T113" s="67">
        <v>0</v>
      </c>
      <c r="U113" s="67">
        <v>0</v>
      </c>
      <c r="V113" s="67">
        <v>0</v>
      </c>
      <c r="W113" s="67">
        <v>0</v>
      </c>
      <c r="X113" s="67">
        <v>0</v>
      </c>
      <c r="Y113" s="104">
        <f>SUM(Z113:AB113)</f>
        <v>23484</v>
      </c>
      <c r="Z113" s="67"/>
      <c r="AA113" s="67"/>
      <c r="AB113" s="104">
        <f>SUM(AD113:AG113)</f>
        <v>23484</v>
      </c>
      <c r="AC113" s="104">
        <f>AD113+AE113</f>
        <v>0</v>
      </c>
      <c r="AD113" s="67">
        <v>0</v>
      </c>
      <c r="AE113" s="67">
        <v>0</v>
      </c>
      <c r="AF113" s="104">
        <v>18890</v>
      </c>
      <c r="AG113" s="67">
        <v>4594</v>
      </c>
      <c r="AH113" s="104">
        <f>SUM(AI113:AK113)</f>
        <v>0</v>
      </c>
      <c r="AI113" s="67">
        <v>0</v>
      </c>
      <c r="AJ113" s="67">
        <v>0</v>
      </c>
      <c r="AK113" s="104">
        <f>AP113+AO113+AL113</f>
        <v>0</v>
      </c>
      <c r="AL113" s="104">
        <f>AM113+AN113</f>
        <v>0</v>
      </c>
      <c r="AM113" s="67"/>
      <c r="AN113" s="67"/>
      <c r="AO113" s="67"/>
      <c r="AP113" s="67"/>
      <c r="AQ113" s="67">
        <v>0</v>
      </c>
      <c r="AR113" s="67">
        <v>0</v>
      </c>
      <c r="AS113" s="67">
        <v>0</v>
      </c>
      <c r="AT113" s="104">
        <f>AU113+AX113+AY113</f>
        <v>0</v>
      </c>
      <c r="AU113" s="104">
        <f>AV113+AW113</f>
        <v>0</v>
      </c>
      <c r="AV113" s="67">
        <v>0</v>
      </c>
      <c r="AW113" s="67">
        <v>0</v>
      </c>
      <c r="AX113" s="67">
        <v>0</v>
      </c>
      <c r="AY113" s="67">
        <v>0</v>
      </c>
      <c r="AZ113" s="67">
        <f>SUM(BA113:BC113)</f>
        <v>7453.7049999999999</v>
      </c>
      <c r="BA113" s="67">
        <v>0</v>
      </c>
      <c r="BB113" s="67">
        <v>0</v>
      </c>
      <c r="BC113" s="67">
        <f t="shared" si="75"/>
        <v>7453.7049999999999</v>
      </c>
      <c r="BD113" s="104">
        <f>BF113+BE113</f>
        <v>0</v>
      </c>
      <c r="BE113" s="67"/>
      <c r="BF113" s="67">
        <v>0</v>
      </c>
      <c r="BG113" s="67">
        <v>2904.232</v>
      </c>
      <c r="BH113" s="67">
        <v>4549.473</v>
      </c>
      <c r="BI113" s="175">
        <f>SUM(BJ113:BL113)</f>
        <v>5572.6100000000006</v>
      </c>
      <c r="BJ113" s="175"/>
      <c r="BK113" s="175"/>
      <c r="BL113" s="175">
        <f>SUM(BM113:BP113)</f>
        <v>5572.6100000000006</v>
      </c>
      <c r="BM113" s="175"/>
      <c r="BN113" s="175">
        <v>0</v>
      </c>
      <c r="BO113" s="507">
        <v>2600.7620000000002</v>
      </c>
      <c r="BP113" s="175">
        <v>2971.848</v>
      </c>
      <c r="BQ113" s="175">
        <f>SUM(BR113:BT113)</f>
        <v>160.77799999999999</v>
      </c>
      <c r="BR113" s="175"/>
      <c r="BS113" s="175"/>
      <c r="BT113" s="175">
        <v>160.77799999999999</v>
      </c>
      <c r="BU113" s="175">
        <f>SUM(BV113:BX113)</f>
        <v>100</v>
      </c>
      <c r="BV113" s="175"/>
      <c r="BW113" s="175"/>
      <c r="BX113" s="175">
        <v>100</v>
      </c>
      <c r="BY113" s="175"/>
      <c r="BZ113" s="175"/>
      <c r="CA113" s="175"/>
      <c r="CB113" s="175"/>
      <c r="CC113" s="508">
        <v>160.77799999999999</v>
      </c>
      <c r="CD113" s="418" t="s">
        <v>1218</v>
      </c>
      <c r="CE113" s="170"/>
    </row>
    <row r="114" spans="1:83" s="210" customFormat="1" ht="41.25" customHeight="1">
      <c r="A114" s="175" t="s">
        <v>62</v>
      </c>
      <c r="B114" s="175" t="s">
        <v>3640</v>
      </c>
      <c r="C114" s="175"/>
      <c r="D114" s="175"/>
      <c r="E114" s="175"/>
      <c r="F114" s="175"/>
      <c r="G114" s="175"/>
      <c r="H114" s="175"/>
      <c r="I114" s="175"/>
      <c r="J114" s="175"/>
      <c r="K114" s="175"/>
      <c r="L114" s="176"/>
      <c r="M114" s="175"/>
      <c r="N114" s="175"/>
      <c r="O114" s="67"/>
      <c r="P114" s="67"/>
      <c r="Q114" s="67"/>
      <c r="R114" s="67"/>
      <c r="S114" s="67"/>
      <c r="T114" s="67"/>
      <c r="U114" s="67"/>
      <c r="V114" s="67"/>
      <c r="W114" s="67"/>
      <c r="X114" s="67"/>
      <c r="Y114" s="67" t="e">
        <f>#REF!+Y15+Y16</f>
        <v>#REF!</v>
      </c>
      <c r="Z114" s="67" t="e">
        <f>#REF!+Z15+Z16</f>
        <v>#REF!</v>
      </c>
      <c r="AA114" s="67" t="e">
        <f>#REF!+AA15+AA16</f>
        <v>#REF!</v>
      </c>
      <c r="AB114" s="67">
        <f>AB115</f>
        <v>2000</v>
      </c>
      <c r="AC114" s="67">
        <f t="shared" ref="AC114:CB114" si="103">AC115</f>
        <v>0</v>
      </c>
      <c r="AD114" s="67">
        <f t="shared" si="103"/>
        <v>0</v>
      </c>
      <c r="AE114" s="67">
        <f t="shared" si="103"/>
        <v>0</v>
      </c>
      <c r="AF114" s="67">
        <f t="shared" si="103"/>
        <v>2000</v>
      </c>
      <c r="AG114" s="67">
        <f t="shared" si="103"/>
        <v>0</v>
      </c>
      <c r="AH114" s="67">
        <f t="shared" si="103"/>
        <v>0</v>
      </c>
      <c r="AI114" s="67">
        <f t="shared" si="103"/>
        <v>0</v>
      </c>
      <c r="AJ114" s="67">
        <f t="shared" si="103"/>
        <v>0</v>
      </c>
      <c r="AK114" s="67">
        <f t="shared" si="103"/>
        <v>0</v>
      </c>
      <c r="AL114" s="67">
        <f t="shared" si="103"/>
        <v>0</v>
      </c>
      <c r="AM114" s="67">
        <f t="shared" si="103"/>
        <v>0</v>
      </c>
      <c r="AN114" s="67">
        <f t="shared" si="103"/>
        <v>0</v>
      </c>
      <c r="AO114" s="67">
        <f t="shared" si="103"/>
        <v>0</v>
      </c>
      <c r="AP114" s="67">
        <f t="shared" si="103"/>
        <v>0</v>
      </c>
      <c r="AQ114" s="67">
        <f t="shared" si="103"/>
        <v>0</v>
      </c>
      <c r="AR114" s="67">
        <f t="shared" si="103"/>
        <v>0</v>
      </c>
      <c r="AS114" s="67">
        <f t="shared" si="103"/>
        <v>0</v>
      </c>
      <c r="AT114" s="67">
        <f t="shared" si="103"/>
        <v>0</v>
      </c>
      <c r="AU114" s="67">
        <f t="shared" si="103"/>
        <v>0</v>
      </c>
      <c r="AV114" s="67">
        <f t="shared" si="103"/>
        <v>0</v>
      </c>
      <c r="AW114" s="67">
        <f t="shared" si="103"/>
        <v>0</v>
      </c>
      <c r="AX114" s="67">
        <f t="shared" si="103"/>
        <v>0</v>
      </c>
      <c r="AY114" s="67">
        <f t="shared" si="103"/>
        <v>0</v>
      </c>
      <c r="AZ114" s="67">
        <f t="shared" si="103"/>
        <v>40482</v>
      </c>
      <c r="BA114" s="67">
        <f t="shared" si="103"/>
        <v>0</v>
      </c>
      <c r="BB114" s="67">
        <f t="shared" si="103"/>
        <v>0</v>
      </c>
      <c r="BC114" s="67">
        <f t="shared" si="103"/>
        <v>40482</v>
      </c>
      <c r="BD114" s="67">
        <f t="shared" si="103"/>
        <v>0</v>
      </c>
      <c r="BE114" s="67">
        <f t="shared" si="103"/>
        <v>0</v>
      </c>
      <c r="BF114" s="67">
        <f t="shared" si="103"/>
        <v>0</v>
      </c>
      <c r="BG114" s="67">
        <f t="shared" si="103"/>
        <v>40482</v>
      </c>
      <c r="BH114" s="67">
        <f t="shared" si="103"/>
        <v>0</v>
      </c>
      <c r="BI114" s="175">
        <f t="shared" si="103"/>
        <v>0</v>
      </c>
      <c r="BJ114" s="175">
        <f t="shared" si="103"/>
        <v>0</v>
      </c>
      <c r="BK114" s="175">
        <f t="shared" si="103"/>
        <v>0</v>
      </c>
      <c r="BL114" s="175">
        <f t="shared" si="103"/>
        <v>0</v>
      </c>
      <c r="BM114" s="175">
        <f t="shared" si="103"/>
        <v>0</v>
      </c>
      <c r="BN114" s="175">
        <f t="shared" si="103"/>
        <v>0</v>
      </c>
      <c r="BO114" s="175">
        <f t="shared" si="103"/>
        <v>0</v>
      </c>
      <c r="BP114" s="175">
        <f t="shared" si="103"/>
        <v>0</v>
      </c>
      <c r="BQ114" s="175">
        <f t="shared" si="103"/>
        <v>0</v>
      </c>
      <c r="BR114" s="175">
        <f t="shared" si="103"/>
        <v>0</v>
      </c>
      <c r="BS114" s="175">
        <f t="shared" si="103"/>
        <v>0</v>
      </c>
      <c r="BT114" s="175">
        <f t="shared" si="103"/>
        <v>0</v>
      </c>
      <c r="BU114" s="175">
        <f t="shared" si="103"/>
        <v>0</v>
      </c>
      <c r="BV114" s="175">
        <f t="shared" si="103"/>
        <v>0</v>
      </c>
      <c r="BW114" s="175">
        <f t="shared" si="103"/>
        <v>0</v>
      </c>
      <c r="BX114" s="175">
        <f t="shared" si="103"/>
        <v>0</v>
      </c>
      <c r="BY114" s="175">
        <f t="shared" si="103"/>
        <v>0</v>
      </c>
      <c r="BZ114" s="175">
        <f t="shared" si="103"/>
        <v>0</v>
      </c>
      <c r="CA114" s="175">
        <f t="shared" si="103"/>
        <v>0</v>
      </c>
      <c r="CB114" s="175">
        <f t="shared" si="103"/>
        <v>0</v>
      </c>
      <c r="CC114" s="175"/>
      <c r="CD114" s="175"/>
      <c r="CE114" s="170"/>
    </row>
    <row r="115" spans="1:83" ht="56.25" customHeight="1" outlineLevel="1">
      <c r="A115" s="199">
        <v>1</v>
      </c>
      <c r="B115" s="509" t="s">
        <v>1220</v>
      </c>
      <c r="C115" s="200"/>
      <c r="D115" s="200"/>
      <c r="E115" s="201"/>
      <c r="F115" s="200"/>
      <c r="G115" s="201"/>
      <c r="H115" s="201"/>
      <c r="I115" s="201"/>
      <c r="J115" s="201"/>
      <c r="K115" s="201"/>
      <c r="L115" s="202"/>
      <c r="M115" s="201"/>
      <c r="N115" s="201"/>
      <c r="O115" s="199"/>
      <c r="P115" s="199"/>
      <c r="Q115" s="199"/>
      <c r="R115" s="199"/>
      <c r="S115" s="201"/>
      <c r="T115" s="201"/>
      <c r="U115" s="201"/>
      <c r="V115" s="201"/>
      <c r="W115" s="201"/>
      <c r="X115" s="201"/>
      <c r="Y115" s="199">
        <f>SUM(Z115:AB115)</f>
        <v>2000</v>
      </c>
      <c r="Z115" s="201"/>
      <c r="AA115" s="201"/>
      <c r="AB115" s="199">
        <f>SUM(AD115:AG115)</f>
        <v>2000</v>
      </c>
      <c r="AC115" s="199">
        <f>AD115+AE115</f>
        <v>0</v>
      </c>
      <c r="AD115" s="199"/>
      <c r="AE115" s="201"/>
      <c r="AF115" s="199">
        <v>2000</v>
      </c>
      <c r="AG115" s="201"/>
      <c r="AH115" s="199"/>
      <c r="AI115" s="201"/>
      <c r="AJ115" s="201"/>
      <c r="AK115" s="199">
        <f t="shared" ref="AK115" si="104">AP115+AO115+AL115</f>
        <v>0</v>
      </c>
      <c r="AL115" s="199">
        <f t="shared" ref="AL115" si="105">AM115+AN115</f>
        <v>0</v>
      </c>
      <c r="AM115" s="203"/>
      <c r="AN115" s="201"/>
      <c r="AO115" s="201"/>
      <c r="AP115" s="201"/>
      <c r="AQ115" s="199"/>
      <c r="AR115" s="201"/>
      <c r="AS115" s="201"/>
      <c r="AT115" s="199">
        <f t="shared" ref="AT115" si="106">AU115+AX115+AY115</f>
        <v>0</v>
      </c>
      <c r="AU115" s="199">
        <f t="shared" ref="AU115" si="107">AV115+AW115</f>
        <v>0</v>
      </c>
      <c r="AV115" s="199"/>
      <c r="AW115" s="201"/>
      <c r="AX115" s="201"/>
      <c r="AY115" s="201"/>
      <c r="AZ115" s="201">
        <f t="shared" ref="AZ115" si="108">SUM(BA115:BC115)</f>
        <v>40482</v>
      </c>
      <c r="BA115" s="201"/>
      <c r="BB115" s="201"/>
      <c r="BC115" s="201">
        <f t="shared" ref="BC115" si="109">BD115+BG115+BH115</f>
        <v>40482</v>
      </c>
      <c r="BD115" s="199">
        <f t="shared" ref="BD115" si="110">BF115+BE115</f>
        <v>0</v>
      </c>
      <c r="BE115" s="204"/>
      <c r="BF115" s="201"/>
      <c r="BG115" s="201">
        <v>40482</v>
      </c>
      <c r="BH115" s="199"/>
      <c r="BI115" s="201"/>
      <c r="BJ115" s="201"/>
      <c r="BK115" s="201"/>
      <c r="BL115" s="201"/>
      <c r="BM115" s="201"/>
      <c r="BN115" s="201"/>
      <c r="BO115" s="201"/>
      <c r="BP115" s="201"/>
      <c r="BQ115" s="201"/>
      <c r="BR115" s="201"/>
      <c r="BS115" s="201"/>
      <c r="BT115" s="201"/>
      <c r="BU115" s="201"/>
      <c r="BV115" s="201"/>
      <c r="BW115" s="201"/>
      <c r="BX115" s="201"/>
      <c r="BY115" s="201"/>
      <c r="BZ115" s="201"/>
      <c r="CA115" s="201"/>
      <c r="CB115" s="201"/>
      <c r="CC115" s="201"/>
      <c r="CD115" s="201"/>
      <c r="CE115" s="125"/>
    </row>
    <row r="116" spans="1:83">
      <c r="A116" s="800" t="s">
        <v>3688</v>
      </c>
      <c r="B116" s="801"/>
      <c r="C116" s="801"/>
      <c r="D116" s="801"/>
      <c r="E116" s="801"/>
      <c r="F116" s="801"/>
      <c r="G116" s="801"/>
      <c r="H116" s="801"/>
      <c r="I116" s="801"/>
      <c r="J116" s="801"/>
      <c r="K116" s="801"/>
      <c r="L116" s="801"/>
      <c r="M116" s="801"/>
      <c r="N116" s="801"/>
      <c r="O116" s="801"/>
      <c r="P116" s="801"/>
      <c r="Q116" s="801"/>
      <c r="R116" s="801"/>
      <c r="S116" s="801"/>
      <c r="T116" s="801"/>
      <c r="U116" s="801"/>
      <c r="V116" s="801"/>
      <c r="W116" s="801"/>
      <c r="X116" s="801"/>
      <c r="Y116" s="801"/>
      <c r="Z116" s="801"/>
      <c r="AA116" s="801"/>
      <c r="AB116" s="801"/>
      <c r="AC116" s="801"/>
      <c r="AD116" s="801"/>
      <c r="AE116" s="801"/>
      <c r="AF116" s="801"/>
      <c r="AG116" s="801"/>
      <c r="AH116" s="801"/>
      <c r="AI116" s="801"/>
      <c r="AJ116" s="801"/>
      <c r="AK116" s="801"/>
      <c r="AL116" s="801"/>
      <c r="AM116" s="801"/>
      <c r="AN116" s="801"/>
      <c r="AO116" s="801"/>
      <c r="AP116" s="801"/>
      <c r="AQ116" s="801"/>
      <c r="AR116" s="801"/>
      <c r="AS116" s="801"/>
      <c r="AT116" s="801"/>
      <c r="AU116" s="801"/>
      <c r="AV116" s="801"/>
      <c r="AW116" s="801"/>
      <c r="AX116" s="801"/>
      <c r="AY116" s="801"/>
      <c r="AZ116" s="801"/>
      <c r="BA116" s="801"/>
      <c r="BB116" s="801"/>
      <c r="BC116" s="801"/>
      <c r="BD116" s="801"/>
      <c r="BE116" s="801"/>
      <c r="BF116" s="801"/>
      <c r="BG116" s="801"/>
      <c r="BH116" s="801"/>
      <c r="BI116" s="801"/>
      <c r="BJ116" s="801"/>
      <c r="BK116" s="801"/>
      <c r="BL116" s="801"/>
      <c r="BM116" s="801"/>
      <c r="BN116" s="801"/>
      <c r="BO116" s="801"/>
      <c r="BP116" s="801"/>
      <c r="BQ116" s="801"/>
      <c r="BR116" s="801"/>
      <c r="BS116" s="801"/>
      <c r="BT116" s="801"/>
      <c r="BU116" s="801"/>
      <c r="BV116" s="801"/>
      <c r="BW116" s="801"/>
      <c r="BX116" s="801"/>
      <c r="BY116" s="801"/>
      <c r="BZ116" s="510"/>
      <c r="CA116" s="510"/>
      <c r="CB116" s="510"/>
      <c r="CC116" s="510"/>
      <c r="CD116" s="510"/>
      <c r="CE116" s="510"/>
    </row>
    <row r="117" spans="1:83" ht="27" customHeight="1">
      <c r="A117" s="802"/>
      <c r="B117" s="802"/>
      <c r="C117" s="802"/>
      <c r="D117" s="802"/>
      <c r="E117" s="802"/>
      <c r="F117" s="802"/>
      <c r="G117" s="802"/>
      <c r="H117" s="802"/>
      <c r="I117" s="802"/>
      <c r="J117" s="802"/>
      <c r="K117" s="802"/>
      <c r="L117" s="802"/>
      <c r="M117" s="802"/>
      <c r="N117" s="802"/>
      <c r="O117" s="802"/>
      <c r="P117" s="802"/>
      <c r="Q117" s="802"/>
      <c r="R117" s="802"/>
      <c r="S117" s="802"/>
      <c r="T117" s="802"/>
      <c r="U117" s="802"/>
      <c r="V117" s="802"/>
      <c r="W117" s="802"/>
      <c r="X117" s="802"/>
      <c r="Y117" s="802"/>
      <c r="Z117" s="802"/>
      <c r="AA117" s="802"/>
      <c r="AB117" s="802"/>
      <c r="AC117" s="802"/>
      <c r="AD117" s="802"/>
      <c r="AE117" s="802"/>
      <c r="AF117" s="802"/>
      <c r="AG117" s="802"/>
      <c r="AH117" s="802"/>
      <c r="AI117" s="802"/>
      <c r="AJ117" s="802"/>
      <c r="AK117" s="802"/>
      <c r="AL117" s="802"/>
      <c r="AM117" s="802"/>
      <c r="AN117" s="802"/>
      <c r="AO117" s="802"/>
      <c r="AP117" s="802"/>
      <c r="AQ117" s="802"/>
      <c r="AR117" s="802"/>
      <c r="AS117" s="802"/>
      <c r="AT117" s="802"/>
      <c r="AU117" s="802"/>
      <c r="AV117" s="802"/>
      <c r="AW117" s="802"/>
      <c r="AX117" s="802"/>
      <c r="AY117" s="802"/>
      <c r="AZ117" s="802"/>
      <c r="BA117" s="802"/>
      <c r="BB117" s="802"/>
      <c r="BC117" s="802"/>
      <c r="BD117" s="802"/>
      <c r="BE117" s="802"/>
      <c r="BF117" s="802"/>
      <c r="BG117" s="802"/>
      <c r="BH117" s="802"/>
      <c r="BI117" s="802"/>
      <c r="BJ117" s="802"/>
      <c r="BK117" s="802"/>
      <c r="BL117" s="802"/>
      <c r="BM117" s="802"/>
      <c r="BN117" s="802"/>
      <c r="BO117" s="802"/>
      <c r="BP117" s="802"/>
      <c r="BQ117" s="802"/>
      <c r="BR117" s="802"/>
      <c r="BS117" s="802"/>
      <c r="BT117" s="802"/>
      <c r="BU117" s="802"/>
      <c r="BV117" s="802"/>
      <c r="BW117" s="802"/>
      <c r="BX117" s="802"/>
      <c r="BY117" s="802"/>
      <c r="BZ117" s="387"/>
      <c r="CA117" s="387"/>
      <c r="CB117" s="387"/>
      <c r="CC117" s="387"/>
      <c r="CD117" s="387"/>
      <c r="CE117" s="387"/>
    </row>
    <row r="119" spans="1:83">
      <c r="AT119" s="220">
        <f>AK14+BC14</f>
        <v>15319</v>
      </c>
    </row>
  </sheetData>
  <mergeCells count="89">
    <mergeCell ref="BQ8:BT8"/>
    <mergeCell ref="BG6:CD6"/>
    <mergeCell ref="AC10:AC11"/>
    <mergeCell ref="AD10:AD11"/>
    <mergeCell ref="AE10:AE11"/>
    <mergeCell ref="AF10:AF11"/>
    <mergeCell ref="BD8:BH10"/>
    <mergeCell ref="BA10:BA11"/>
    <mergeCell ref="BB10:BB11"/>
    <mergeCell ref="BJ10:BJ11"/>
    <mergeCell ref="BX10:BX11"/>
    <mergeCell ref="BM10:BP10"/>
    <mergeCell ref="BR10:BR11"/>
    <mergeCell ref="BS10:BS11"/>
    <mergeCell ref="BT10:BT11"/>
    <mergeCell ref="BI9:BI11"/>
    <mergeCell ref="N7:R7"/>
    <mergeCell ref="P8:R9"/>
    <mergeCell ref="N8:N11"/>
    <mergeCell ref="O8:O11"/>
    <mergeCell ref="X10:X11"/>
    <mergeCell ref="V8:X9"/>
    <mergeCell ref="V10:V11"/>
    <mergeCell ref="W10:W11"/>
    <mergeCell ref="BL10:BL11"/>
    <mergeCell ref="M9:M11"/>
    <mergeCell ref="P10:P11"/>
    <mergeCell ref="Q10:Q11"/>
    <mergeCell ref="R10:R11"/>
    <mergeCell ref="BC8:BC11"/>
    <mergeCell ref="Z9:Z11"/>
    <mergeCell ref="AA9:AA11"/>
    <mergeCell ref="AJ10:AJ11"/>
    <mergeCell ref="CE7:CE11"/>
    <mergeCell ref="U8:U11"/>
    <mergeCell ref="Y8:Y11"/>
    <mergeCell ref="AB8:AB11"/>
    <mergeCell ref="AC8:AG9"/>
    <mergeCell ref="AH8:AH11"/>
    <mergeCell ref="U7:X7"/>
    <mergeCell ref="Y7:AG7"/>
    <mergeCell ref="AH7:AY7"/>
    <mergeCell ref="AK8:AK11"/>
    <mergeCell ref="AL8:AP10"/>
    <mergeCell ref="AQ8:AY9"/>
    <mergeCell ref="CC7:CC11"/>
    <mergeCell ref="BJ9:BP9"/>
    <mergeCell ref="BQ9:BQ11"/>
    <mergeCell ref="BK10:BK11"/>
    <mergeCell ref="J7:J11"/>
    <mergeCell ref="K7:K11"/>
    <mergeCell ref="AZ7:BP7"/>
    <mergeCell ref="BQ7:BX7"/>
    <mergeCell ref="AQ10:AQ11"/>
    <mergeCell ref="AR10:AR11"/>
    <mergeCell ref="AS10:AS11"/>
    <mergeCell ref="AT10:AT11"/>
    <mergeCell ref="AU10:AY10"/>
    <mergeCell ref="AG10:AG11"/>
    <mergeCell ref="AI10:AI11"/>
    <mergeCell ref="S7:S11"/>
    <mergeCell ref="BI8:BP8"/>
    <mergeCell ref="T7:T11"/>
    <mergeCell ref="BV10:BV11"/>
    <mergeCell ref="BR9:BT9"/>
    <mergeCell ref="BY9:CB9"/>
    <mergeCell ref="BZ10:CB10"/>
    <mergeCell ref="BY10:BY11"/>
    <mergeCell ref="BW10:BW11"/>
    <mergeCell ref="BU8:BX8"/>
    <mergeCell ref="BY8:CB8"/>
    <mergeCell ref="BU9:BU11"/>
    <mergeCell ref="BV9:BX9"/>
    <mergeCell ref="A116:BY117"/>
    <mergeCell ref="A1:BW1"/>
    <mergeCell ref="A4:BW4"/>
    <mergeCell ref="A5:BW5"/>
    <mergeCell ref="A2:CD3"/>
    <mergeCell ref="L7:L11"/>
    <mergeCell ref="A7:A11"/>
    <mergeCell ref="B7:B11"/>
    <mergeCell ref="C7:C11"/>
    <mergeCell ref="D7:D11"/>
    <mergeCell ref="E7:E11"/>
    <mergeCell ref="F7:F11"/>
    <mergeCell ref="G7:G11"/>
    <mergeCell ref="H7:H11"/>
    <mergeCell ref="I7:I11"/>
    <mergeCell ref="CD7:CD11"/>
  </mergeCells>
  <printOptions horizontalCentered="1"/>
  <pageMargins left="0.47244094488188981" right="0.27559055118110237" top="0.51181102362204722" bottom="0.55118110236220474" header="0.31496062992125984" footer="0.31496062992125984"/>
  <pageSetup paperSize="9" scale="45" orientation="landscape" r:id="rId1"/>
  <headerFooter>
    <oddHeader>&amp;R&amp;"Times New Roman,Bold Italic"&amp;12Đăk Tô</oddHeader>
    <oddFooter>&amp;R&amp;P/&amp;N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7"/>
  <sheetViews>
    <sheetView tabSelected="1" zoomScale="55" zoomScaleNormal="55" zoomScaleSheetLayoutView="55" workbookViewId="0">
      <selection activeCell="J22" sqref="J22"/>
    </sheetView>
  </sheetViews>
  <sheetFormatPr defaultColWidth="9" defaultRowHeight="14.25" outlineLevelRow="1"/>
  <cols>
    <col min="1" max="1" width="6.73046875" customWidth="1"/>
    <col min="2" max="2" width="52.73046875" style="247" customWidth="1"/>
    <col min="3" max="3" width="12.73046875" customWidth="1"/>
    <col min="4" max="4" width="12.3984375" bestFit="1" customWidth="1"/>
    <col min="5" max="5" width="11.73046875" customWidth="1"/>
    <col min="6" max="6" width="13.59765625" customWidth="1"/>
    <col min="7" max="7" width="13" customWidth="1"/>
    <col min="8" max="9" width="11.73046875" customWidth="1"/>
    <col min="10" max="10" width="12.59765625" customWidth="1"/>
    <col min="11" max="11" width="14.1328125" customWidth="1"/>
    <col min="12" max="12" width="12.3984375" bestFit="1" customWidth="1"/>
    <col min="13" max="13" width="11.73046875" customWidth="1"/>
    <col min="14" max="14" width="13.59765625" customWidth="1"/>
    <col min="15" max="15" width="13" customWidth="1"/>
    <col min="16" max="17" width="11.73046875" customWidth="1"/>
    <col min="18" max="18" width="14.1328125" customWidth="1"/>
    <col min="19" max="19" width="9.265625" bestFit="1" customWidth="1"/>
    <col min="20" max="20" width="12.3984375" bestFit="1" customWidth="1"/>
    <col min="21" max="21" width="11.73046875" customWidth="1"/>
    <col min="22" max="22" width="13.59765625" customWidth="1"/>
    <col min="23" max="23" width="9.265625" bestFit="1" customWidth="1"/>
    <col min="24" max="25" width="11.73046875" customWidth="1"/>
    <col min="26" max="26" width="12.59765625" customWidth="1"/>
    <col min="27" max="27" width="16.265625" customWidth="1"/>
    <col min="28" max="28" width="5.265625" customWidth="1"/>
    <col min="29" max="29" width="19.265625" hidden="1" customWidth="1"/>
    <col min="30" max="31" width="11" hidden="1" customWidth="1"/>
    <col min="32" max="32" width="0" hidden="1" customWidth="1"/>
    <col min="33" max="33" width="11.265625" hidden="1" customWidth="1"/>
    <col min="34" max="34" width="0" hidden="1" customWidth="1"/>
  </cols>
  <sheetData>
    <row r="1" spans="1:35" ht="21.75" customHeight="1">
      <c r="B1" s="764"/>
      <c r="C1" s="764"/>
      <c r="D1" s="764"/>
      <c r="E1" s="764"/>
      <c r="F1" s="764"/>
      <c r="G1" s="764"/>
      <c r="H1" s="764"/>
      <c r="I1" s="764"/>
      <c r="J1" s="764"/>
      <c r="K1" s="757"/>
      <c r="L1" s="757"/>
      <c r="M1" s="757"/>
      <c r="N1" s="757"/>
      <c r="O1" s="757"/>
      <c r="P1" s="757"/>
      <c r="Q1" s="757"/>
      <c r="R1" s="757"/>
      <c r="S1" s="757"/>
      <c r="T1" s="757"/>
      <c r="U1" s="757"/>
      <c r="V1" s="757"/>
      <c r="W1" s="757"/>
      <c r="X1" s="757"/>
      <c r="Y1" s="757"/>
      <c r="Z1" s="757"/>
      <c r="AA1" s="764" t="s">
        <v>3694</v>
      </c>
      <c r="AB1" s="512"/>
      <c r="AC1" s="512"/>
      <c r="AD1" s="512"/>
      <c r="AE1" s="512"/>
      <c r="AF1" s="512"/>
      <c r="AG1" s="512"/>
      <c r="AH1" s="512"/>
    </row>
    <row r="2" spans="1:35" ht="18.75" customHeight="1">
      <c r="A2" s="838" t="s">
        <v>3691</v>
      </c>
      <c r="B2" s="838"/>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512"/>
      <c r="AC2" s="512"/>
      <c r="AD2" s="512"/>
      <c r="AE2" s="512"/>
      <c r="AF2" s="512"/>
      <c r="AG2" s="512"/>
      <c r="AH2" s="512"/>
    </row>
    <row r="3" spans="1:35" ht="7.5" customHeight="1">
      <c r="A3" s="838"/>
      <c r="B3" s="838"/>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512"/>
      <c r="AC3" s="512"/>
      <c r="AD3" s="512"/>
      <c r="AE3" s="512"/>
      <c r="AF3" s="512"/>
      <c r="AG3" s="512"/>
      <c r="AH3" s="512"/>
    </row>
    <row r="4" spans="1:35" ht="24" customHeight="1">
      <c r="A4" s="833" t="s">
        <v>3702</v>
      </c>
      <c r="B4" s="833"/>
      <c r="C4" s="833"/>
      <c r="D4" s="833"/>
      <c r="E4" s="833"/>
      <c r="F4" s="833"/>
      <c r="G4" s="833"/>
      <c r="H4" s="833"/>
      <c r="I4" s="833"/>
      <c r="J4" s="833"/>
      <c r="K4" s="833"/>
      <c r="L4" s="833"/>
      <c r="M4" s="833"/>
      <c r="N4" s="833"/>
      <c r="O4" s="833"/>
      <c r="P4" s="833"/>
      <c r="Q4" s="833"/>
      <c r="R4" s="833"/>
      <c r="S4" s="833"/>
      <c r="T4" s="833"/>
      <c r="U4" s="833"/>
      <c r="V4" s="833"/>
      <c r="W4" s="833"/>
      <c r="X4" s="833"/>
      <c r="Y4" s="833"/>
      <c r="Z4" s="833"/>
      <c r="AA4" s="833"/>
      <c r="AB4" s="514"/>
      <c r="AC4" s="514"/>
      <c r="AD4" s="514"/>
      <c r="AE4" s="514"/>
      <c r="AF4" s="514"/>
      <c r="AG4" s="514"/>
      <c r="AH4" s="514"/>
    </row>
    <row r="5" spans="1:35" ht="20.25" customHeight="1">
      <c r="A5" s="515"/>
      <c r="B5" s="516"/>
      <c r="C5" s="518"/>
      <c r="D5" s="519"/>
      <c r="E5" s="518"/>
      <c r="F5" s="518"/>
      <c r="G5" s="518"/>
      <c r="H5" s="518"/>
      <c r="I5" s="840" t="s">
        <v>1224</v>
      </c>
      <c r="J5" s="840"/>
      <c r="K5" s="840"/>
      <c r="L5" s="840"/>
      <c r="M5" s="840"/>
      <c r="N5" s="840"/>
      <c r="O5" s="840"/>
      <c r="P5" s="840"/>
      <c r="Q5" s="840"/>
      <c r="R5" s="840"/>
      <c r="S5" s="840"/>
      <c r="T5" s="840"/>
      <c r="U5" s="840"/>
      <c r="V5" s="840"/>
      <c r="W5" s="840"/>
      <c r="X5" s="840"/>
      <c r="Y5" s="840"/>
      <c r="Z5" s="840"/>
      <c r="AA5" s="840"/>
      <c r="AB5" s="520"/>
      <c r="AC5" s="520"/>
      <c r="AD5" s="520"/>
      <c r="AE5" s="520"/>
      <c r="AF5" s="520"/>
      <c r="AG5" s="520"/>
      <c r="AH5" s="520"/>
    </row>
    <row r="6" spans="1:35" ht="69.75" customHeight="1">
      <c r="A6" s="834" t="s">
        <v>16</v>
      </c>
      <c r="B6" s="834" t="s">
        <v>301</v>
      </c>
      <c r="C6" s="834" t="s">
        <v>3700</v>
      </c>
      <c r="D6" s="834"/>
      <c r="E6" s="834"/>
      <c r="F6" s="834"/>
      <c r="G6" s="834" t="s">
        <v>3699</v>
      </c>
      <c r="H6" s="834"/>
      <c r="I6" s="834"/>
      <c r="J6" s="834"/>
      <c r="K6" s="834" t="s">
        <v>3697</v>
      </c>
      <c r="L6" s="834"/>
      <c r="M6" s="834"/>
      <c r="N6" s="834"/>
      <c r="O6" s="835" t="s">
        <v>3698</v>
      </c>
      <c r="P6" s="836"/>
      <c r="Q6" s="836"/>
      <c r="R6" s="837"/>
      <c r="S6" s="834" t="s">
        <v>3695</v>
      </c>
      <c r="T6" s="834"/>
      <c r="U6" s="834"/>
      <c r="V6" s="834"/>
      <c r="W6" s="835" t="s">
        <v>3696</v>
      </c>
      <c r="X6" s="836"/>
      <c r="Y6" s="836"/>
      <c r="Z6" s="837"/>
      <c r="AA6" s="834" t="s">
        <v>0</v>
      </c>
      <c r="AB6" s="522"/>
      <c r="AC6" s="522"/>
      <c r="AD6" s="522"/>
      <c r="AE6" s="522"/>
      <c r="AF6" s="522"/>
      <c r="AG6" s="522"/>
      <c r="AH6" s="522"/>
    </row>
    <row r="7" spans="1:35" ht="15.75" customHeight="1">
      <c r="A7" s="834"/>
      <c r="B7" s="834"/>
      <c r="C7" s="834" t="s">
        <v>2</v>
      </c>
      <c r="D7" s="834" t="s">
        <v>1</v>
      </c>
      <c r="E7" s="834"/>
      <c r="F7" s="834"/>
      <c r="G7" s="834" t="s">
        <v>2</v>
      </c>
      <c r="H7" s="834" t="s">
        <v>42</v>
      </c>
      <c r="I7" s="834"/>
      <c r="J7" s="834"/>
      <c r="K7" s="834" t="s">
        <v>2</v>
      </c>
      <c r="L7" s="834" t="s">
        <v>1</v>
      </c>
      <c r="M7" s="834"/>
      <c r="N7" s="834"/>
      <c r="O7" s="834" t="s">
        <v>2</v>
      </c>
      <c r="P7" s="834" t="s">
        <v>42</v>
      </c>
      <c r="Q7" s="834"/>
      <c r="R7" s="834"/>
      <c r="S7" s="834" t="s">
        <v>2</v>
      </c>
      <c r="T7" s="834" t="s">
        <v>1</v>
      </c>
      <c r="U7" s="834"/>
      <c r="V7" s="834"/>
      <c r="W7" s="834" t="s">
        <v>2</v>
      </c>
      <c r="X7" s="834" t="s">
        <v>42</v>
      </c>
      <c r="Y7" s="834"/>
      <c r="Z7" s="834"/>
      <c r="AA7" s="834"/>
      <c r="AB7" s="522"/>
      <c r="AC7" s="522"/>
      <c r="AD7" s="522"/>
      <c r="AE7" s="522"/>
      <c r="AF7" s="522"/>
      <c r="AG7" s="522"/>
      <c r="AH7" s="522"/>
    </row>
    <row r="8" spans="1:35" ht="35.25" customHeight="1">
      <c r="A8" s="834"/>
      <c r="B8" s="834"/>
      <c r="C8" s="834"/>
      <c r="D8" s="834" t="s">
        <v>303</v>
      </c>
      <c r="E8" s="834" t="s">
        <v>304</v>
      </c>
      <c r="F8" s="834" t="s">
        <v>38</v>
      </c>
      <c r="G8" s="834"/>
      <c r="H8" s="834" t="s">
        <v>303</v>
      </c>
      <c r="I8" s="834" t="s">
        <v>304</v>
      </c>
      <c r="J8" s="834" t="s">
        <v>38</v>
      </c>
      <c r="K8" s="834"/>
      <c r="L8" s="834" t="s">
        <v>303</v>
      </c>
      <c r="M8" s="834" t="s">
        <v>304</v>
      </c>
      <c r="N8" s="834" t="s">
        <v>38</v>
      </c>
      <c r="O8" s="834"/>
      <c r="P8" s="834" t="s">
        <v>303</v>
      </c>
      <c r="Q8" s="834" t="s">
        <v>304</v>
      </c>
      <c r="R8" s="834" t="s">
        <v>38</v>
      </c>
      <c r="S8" s="834"/>
      <c r="T8" s="834" t="s">
        <v>303</v>
      </c>
      <c r="U8" s="834" t="s">
        <v>304</v>
      </c>
      <c r="V8" s="834" t="s">
        <v>38</v>
      </c>
      <c r="W8" s="834"/>
      <c r="X8" s="834" t="s">
        <v>303</v>
      </c>
      <c r="Y8" s="834" t="s">
        <v>304</v>
      </c>
      <c r="Z8" s="834" t="s">
        <v>38</v>
      </c>
      <c r="AA8" s="834"/>
      <c r="AB8" s="522"/>
      <c r="AC8" s="839" t="s">
        <v>306</v>
      </c>
      <c r="AD8" s="839"/>
      <c r="AE8" s="839"/>
      <c r="AF8" s="839"/>
      <c r="AG8" s="839"/>
      <c r="AH8" s="839"/>
    </row>
    <row r="9" spans="1:35" ht="15.75" customHeight="1">
      <c r="A9" s="834"/>
      <c r="B9" s="834"/>
      <c r="C9" s="834"/>
      <c r="D9" s="834"/>
      <c r="E9" s="834"/>
      <c r="F9" s="834"/>
      <c r="G9" s="834"/>
      <c r="H9" s="834"/>
      <c r="I9" s="834"/>
      <c r="J9" s="834"/>
      <c r="K9" s="834"/>
      <c r="L9" s="834"/>
      <c r="M9" s="834"/>
      <c r="N9" s="834"/>
      <c r="O9" s="834"/>
      <c r="P9" s="834"/>
      <c r="Q9" s="834"/>
      <c r="R9" s="834"/>
      <c r="S9" s="834"/>
      <c r="T9" s="834"/>
      <c r="U9" s="834"/>
      <c r="V9" s="834"/>
      <c r="W9" s="834"/>
      <c r="X9" s="834"/>
      <c r="Y9" s="834"/>
      <c r="Z9" s="834"/>
      <c r="AA9" s="834"/>
      <c r="AB9" s="522"/>
      <c r="AC9" s="522"/>
      <c r="AD9" s="522"/>
      <c r="AE9" s="522"/>
      <c r="AF9" s="522"/>
      <c r="AG9" s="522"/>
      <c r="AH9" s="522"/>
    </row>
    <row r="10" spans="1:35" ht="77.25" customHeight="1">
      <c r="A10" s="834"/>
      <c r="B10" s="834"/>
      <c r="C10" s="834"/>
      <c r="D10" s="834"/>
      <c r="E10" s="834"/>
      <c r="F10" s="834"/>
      <c r="G10" s="834"/>
      <c r="H10" s="834"/>
      <c r="I10" s="834"/>
      <c r="J10" s="834"/>
      <c r="K10" s="834"/>
      <c r="L10" s="834"/>
      <c r="M10" s="834"/>
      <c r="N10" s="834"/>
      <c r="O10" s="834"/>
      <c r="P10" s="834"/>
      <c r="Q10" s="834"/>
      <c r="R10" s="834"/>
      <c r="S10" s="834"/>
      <c r="T10" s="834"/>
      <c r="U10" s="834"/>
      <c r="V10" s="834"/>
      <c r="W10" s="834"/>
      <c r="X10" s="834"/>
      <c r="Y10" s="834"/>
      <c r="Z10" s="834"/>
      <c r="AA10" s="834"/>
      <c r="AB10" s="522"/>
      <c r="AC10" s="522"/>
      <c r="AD10" s="524" t="s">
        <v>307</v>
      </c>
      <c r="AE10" s="525" t="s">
        <v>308</v>
      </c>
      <c r="AF10" s="522"/>
      <c r="AG10" s="524" t="s">
        <v>309</v>
      </c>
      <c r="AH10" s="524" t="s">
        <v>308</v>
      </c>
    </row>
    <row r="11" spans="1:35" s="212" customFormat="1" ht="21" customHeight="1">
      <c r="A11" s="521">
        <v>1</v>
      </c>
      <c r="B11" s="521">
        <v>2</v>
      </c>
      <c r="C11" s="521">
        <v>13</v>
      </c>
      <c r="D11" s="521">
        <v>14</v>
      </c>
      <c r="E11" s="521">
        <v>15</v>
      </c>
      <c r="F11" s="521">
        <v>16</v>
      </c>
      <c r="G11" s="521">
        <v>17</v>
      </c>
      <c r="H11" s="521">
        <v>18</v>
      </c>
      <c r="I11" s="521">
        <v>19</v>
      </c>
      <c r="J11" s="521">
        <v>20</v>
      </c>
      <c r="K11" s="758">
        <v>13</v>
      </c>
      <c r="L11" s="758">
        <v>14</v>
      </c>
      <c r="M11" s="758">
        <v>15</v>
      </c>
      <c r="N11" s="758">
        <v>16</v>
      </c>
      <c r="O11" s="758">
        <v>17</v>
      </c>
      <c r="P11" s="758">
        <v>18</v>
      </c>
      <c r="Q11" s="758">
        <v>19</v>
      </c>
      <c r="R11" s="758">
        <v>20</v>
      </c>
      <c r="S11" s="758">
        <v>13</v>
      </c>
      <c r="T11" s="758">
        <v>14</v>
      </c>
      <c r="U11" s="758">
        <v>15</v>
      </c>
      <c r="V11" s="758">
        <v>16</v>
      </c>
      <c r="W11" s="758">
        <v>17</v>
      </c>
      <c r="X11" s="758">
        <v>18</v>
      </c>
      <c r="Y11" s="758">
        <v>19</v>
      </c>
      <c r="Z11" s="758">
        <v>20</v>
      </c>
      <c r="AA11" s="521">
        <v>21</v>
      </c>
      <c r="AB11" s="526"/>
      <c r="AC11" s="526"/>
      <c r="AD11" s="527"/>
      <c r="AE11" s="527"/>
      <c r="AF11" s="526"/>
      <c r="AG11" s="527"/>
      <c r="AH11" s="527"/>
    </row>
    <row r="12" spans="1:35" s="26" customFormat="1" ht="39.950000000000003" customHeight="1">
      <c r="A12" s="528"/>
      <c r="B12" s="528" t="s">
        <v>7</v>
      </c>
      <c r="C12" s="765">
        <f t="shared" ref="C12:J12" si="0">+C13</f>
        <v>1999.9863270000001</v>
      </c>
      <c r="D12" s="765">
        <f t="shared" si="0"/>
        <v>272.60000000000002</v>
      </c>
      <c r="E12" s="765">
        <f t="shared" si="0"/>
        <v>0</v>
      </c>
      <c r="F12" s="765">
        <f t="shared" si="0"/>
        <v>1727.3863269999999</v>
      </c>
      <c r="G12" s="765">
        <f t="shared" si="0"/>
        <v>1999.9863270000001</v>
      </c>
      <c r="H12" s="765">
        <f t="shared" si="0"/>
        <v>272.60000000000002</v>
      </c>
      <c r="I12" s="765">
        <f t="shared" si="0"/>
        <v>0</v>
      </c>
      <c r="J12" s="765">
        <f t="shared" si="0"/>
        <v>1727.3863269999999</v>
      </c>
      <c r="K12" s="765">
        <f t="shared" ref="K12:R12" si="1">+K13</f>
        <v>-1999.9863270000001</v>
      </c>
      <c r="L12" s="765">
        <f t="shared" si="1"/>
        <v>-272.60000000000002</v>
      </c>
      <c r="M12" s="765">
        <f t="shared" si="1"/>
        <v>0</v>
      </c>
      <c r="N12" s="765">
        <f t="shared" si="1"/>
        <v>-1727.3863269999999</v>
      </c>
      <c r="O12" s="765">
        <f t="shared" si="1"/>
        <v>-1999.9863270000001</v>
      </c>
      <c r="P12" s="765">
        <f t="shared" si="1"/>
        <v>-272.60000000000002</v>
      </c>
      <c r="Q12" s="765">
        <f t="shared" si="1"/>
        <v>0</v>
      </c>
      <c r="R12" s="765">
        <f t="shared" si="1"/>
        <v>-1727.3863269999999</v>
      </c>
      <c r="S12" s="260">
        <f t="shared" ref="S12:Z12" si="2">+S13</f>
        <v>0</v>
      </c>
      <c r="T12" s="260">
        <f t="shared" si="2"/>
        <v>0</v>
      </c>
      <c r="U12" s="260">
        <f t="shared" si="2"/>
        <v>0</v>
      </c>
      <c r="V12" s="260">
        <f t="shared" si="2"/>
        <v>0</v>
      </c>
      <c r="W12" s="260">
        <f t="shared" si="2"/>
        <v>0</v>
      </c>
      <c r="X12" s="260">
        <f t="shared" si="2"/>
        <v>0</v>
      </c>
      <c r="Y12" s="260">
        <f t="shared" si="2"/>
        <v>0</v>
      </c>
      <c r="Z12" s="260">
        <f t="shared" si="2"/>
        <v>0</v>
      </c>
      <c r="AA12" s="261"/>
      <c r="AB12" s="529"/>
      <c r="AC12" s="529"/>
      <c r="AD12" s="530"/>
      <c r="AE12" s="530"/>
      <c r="AF12" s="531"/>
      <c r="AG12" s="530"/>
      <c r="AH12" s="530"/>
      <c r="AI12" s="221"/>
    </row>
    <row r="13" spans="1:35" s="26" customFormat="1" ht="51.75" customHeight="1">
      <c r="A13" s="67"/>
      <c r="B13" s="67" t="s">
        <v>3665</v>
      </c>
      <c r="C13" s="508">
        <f t="shared" ref="C13:N13" si="3">C14</f>
        <v>1999.9863270000001</v>
      </c>
      <c r="D13" s="508">
        <f t="shared" si="3"/>
        <v>272.60000000000002</v>
      </c>
      <c r="E13" s="508">
        <f t="shared" si="3"/>
        <v>0</v>
      </c>
      <c r="F13" s="508">
        <f t="shared" si="3"/>
        <v>1727.3863269999999</v>
      </c>
      <c r="G13" s="508">
        <f t="shared" si="3"/>
        <v>1999.9863270000001</v>
      </c>
      <c r="H13" s="508">
        <f t="shared" si="3"/>
        <v>272.60000000000002</v>
      </c>
      <c r="I13" s="508">
        <f t="shared" si="3"/>
        <v>0</v>
      </c>
      <c r="J13" s="508">
        <f t="shared" si="3"/>
        <v>1727.3863269999999</v>
      </c>
      <c r="K13" s="508">
        <f t="shared" si="3"/>
        <v>-1999.9863270000001</v>
      </c>
      <c r="L13" s="508">
        <f t="shared" si="3"/>
        <v>-272.60000000000002</v>
      </c>
      <c r="M13" s="508">
        <f t="shared" si="3"/>
        <v>0</v>
      </c>
      <c r="N13" s="508">
        <f t="shared" si="3"/>
        <v>-1727.3863269999999</v>
      </c>
      <c r="O13" s="508">
        <f t="shared" ref="O13:Z13" si="4">O14</f>
        <v>-1999.9863270000001</v>
      </c>
      <c r="P13" s="508">
        <f t="shared" si="4"/>
        <v>-272.60000000000002</v>
      </c>
      <c r="Q13" s="508">
        <f t="shared" si="4"/>
        <v>0</v>
      </c>
      <c r="R13" s="508">
        <f t="shared" si="4"/>
        <v>-1727.3863269999999</v>
      </c>
      <c r="S13" s="67">
        <f t="shared" si="4"/>
        <v>0</v>
      </c>
      <c r="T13" s="67">
        <f t="shared" si="4"/>
        <v>0</v>
      </c>
      <c r="U13" s="67">
        <f t="shared" si="4"/>
        <v>0</v>
      </c>
      <c r="V13" s="67">
        <f t="shared" si="4"/>
        <v>0</v>
      </c>
      <c r="W13" s="67">
        <f t="shared" si="4"/>
        <v>0</v>
      </c>
      <c r="X13" s="67">
        <f t="shared" si="4"/>
        <v>0</v>
      </c>
      <c r="Y13" s="67">
        <f t="shared" si="4"/>
        <v>0</v>
      </c>
      <c r="Z13" s="67">
        <f t="shared" si="4"/>
        <v>0</v>
      </c>
      <c r="AA13" s="67"/>
      <c r="AB13" s="529"/>
      <c r="AC13" s="529"/>
      <c r="AD13" s="530"/>
      <c r="AE13" s="530"/>
      <c r="AF13" s="531"/>
      <c r="AG13" s="530"/>
      <c r="AH13" s="530"/>
      <c r="AI13" s="221"/>
    </row>
    <row r="14" spans="1:35" s="26" customFormat="1" ht="30" customHeight="1">
      <c r="A14" s="537" t="s">
        <v>44</v>
      </c>
      <c r="B14" s="542" t="s">
        <v>51</v>
      </c>
      <c r="C14" s="766">
        <f t="shared" ref="C14:Z14" si="5">SUM(C15:C15)</f>
        <v>1999.9863270000001</v>
      </c>
      <c r="D14" s="766">
        <f t="shared" si="5"/>
        <v>272.60000000000002</v>
      </c>
      <c r="E14" s="766">
        <f t="shared" si="5"/>
        <v>0</v>
      </c>
      <c r="F14" s="766">
        <f t="shared" si="5"/>
        <v>1727.3863269999999</v>
      </c>
      <c r="G14" s="766">
        <f t="shared" si="5"/>
        <v>1999.9863270000001</v>
      </c>
      <c r="H14" s="766">
        <f t="shared" si="5"/>
        <v>272.60000000000002</v>
      </c>
      <c r="I14" s="766">
        <f t="shared" si="5"/>
        <v>0</v>
      </c>
      <c r="J14" s="766">
        <f t="shared" si="5"/>
        <v>1727.3863269999999</v>
      </c>
      <c r="K14" s="766">
        <f t="shared" si="5"/>
        <v>-1999.9863270000001</v>
      </c>
      <c r="L14" s="766">
        <f t="shared" si="5"/>
        <v>-272.60000000000002</v>
      </c>
      <c r="M14" s="766">
        <f t="shared" si="5"/>
        <v>0</v>
      </c>
      <c r="N14" s="766">
        <f t="shared" si="5"/>
        <v>-1727.3863269999999</v>
      </c>
      <c r="O14" s="766">
        <f t="shared" si="5"/>
        <v>-1999.9863270000001</v>
      </c>
      <c r="P14" s="766">
        <f t="shared" si="5"/>
        <v>-272.60000000000002</v>
      </c>
      <c r="Q14" s="766">
        <f t="shared" si="5"/>
        <v>0</v>
      </c>
      <c r="R14" s="766">
        <f t="shared" si="5"/>
        <v>-1727.3863269999999</v>
      </c>
      <c r="S14" s="69">
        <f t="shared" si="5"/>
        <v>0</v>
      </c>
      <c r="T14" s="69">
        <f t="shared" si="5"/>
        <v>0</v>
      </c>
      <c r="U14" s="69">
        <f t="shared" si="5"/>
        <v>0</v>
      </c>
      <c r="V14" s="69">
        <f t="shared" si="5"/>
        <v>0</v>
      </c>
      <c r="W14" s="69">
        <f t="shared" si="5"/>
        <v>0</v>
      </c>
      <c r="X14" s="69">
        <f t="shared" si="5"/>
        <v>0</v>
      </c>
      <c r="Y14" s="69">
        <f t="shared" si="5"/>
        <v>0</v>
      </c>
      <c r="Z14" s="69">
        <f t="shared" si="5"/>
        <v>0</v>
      </c>
      <c r="AA14" s="537"/>
      <c r="AB14" s="529"/>
      <c r="AC14" s="529"/>
      <c r="AD14" s="530"/>
      <c r="AE14" s="530"/>
      <c r="AF14" s="529"/>
      <c r="AG14" s="529"/>
      <c r="AH14" s="529"/>
    </row>
    <row r="15" spans="1:35" s="763" customFormat="1" ht="96" customHeight="1" outlineLevel="1">
      <c r="A15" s="759">
        <v>1</v>
      </c>
      <c r="B15" s="767" t="s">
        <v>313</v>
      </c>
      <c r="C15" s="233">
        <f>D15+E15+F15</f>
        <v>1999.9863270000001</v>
      </c>
      <c r="D15" s="233">
        <f>50.861914+221.738086</f>
        <v>272.60000000000002</v>
      </c>
      <c r="E15" s="233"/>
      <c r="F15" s="233">
        <v>1727.3863269999999</v>
      </c>
      <c r="G15" s="233">
        <f t="shared" ref="G15" si="6">H15+I15+J15</f>
        <v>1999.9863270000001</v>
      </c>
      <c r="H15" s="233">
        <f>50.861914+221.738086</f>
        <v>272.60000000000002</v>
      </c>
      <c r="I15" s="233"/>
      <c r="J15" s="233">
        <v>1727.3863269999999</v>
      </c>
      <c r="K15" s="233">
        <f>L15+M15+N15</f>
        <v>-1999.9863270000001</v>
      </c>
      <c r="L15" s="233">
        <v>-272.60000000000002</v>
      </c>
      <c r="M15" s="233"/>
      <c r="N15" s="233">
        <v>-1727.3863269999999</v>
      </c>
      <c r="O15" s="233">
        <f t="shared" ref="O15" si="7">P15+Q15+R15</f>
        <v>-1999.9863270000001</v>
      </c>
      <c r="P15" s="233">
        <f>L15</f>
        <v>-272.60000000000002</v>
      </c>
      <c r="Q15" s="233"/>
      <c r="R15" s="233">
        <f>N15</f>
        <v>-1727.3863269999999</v>
      </c>
      <c r="S15" s="70">
        <f>T15+U15+V15</f>
        <v>0</v>
      </c>
      <c r="T15" s="70">
        <v>0</v>
      </c>
      <c r="U15" s="70"/>
      <c r="V15" s="70">
        <v>0</v>
      </c>
      <c r="W15" s="70">
        <f t="shared" ref="W15" si="8">X15+Y15+Z15</f>
        <v>0</v>
      </c>
      <c r="X15" s="70">
        <v>0</v>
      </c>
      <c r="Y15" s="70"/>
      <c r="Z15" s="70">
        <v>0</v>
      </c>
      <c r="AA15" s="70" t="s">
        <v>3701</v>
      </c>
      <c r="AB15" s="760"/>
      <c r="AC15" s="760"/>
      <c r="AD15" s="761"/>
      <c r="AE15" s="761"/>
      <c r="AF15" s="762"/>
      <c r="AG15" s="762"/>
      <c r="AH15" s="762"/>
    </row>
    <row r="16" spans="1:35" ht="26.25" customHeight="1">
      <c r="A16" s="800" t="s">
        <v>3688</v>
      </c>
      <c r="B16" s="801"/>
      <c r="C16" s="801"/>
      <c r="D16" s="801"/>
      <c r="E16" s="801"/>
      <c r="F16" s="801"/>
      <c r="G16" s="801"/>
      <c r="H16" s="801"/>
      <c r="I16" s="801"/>
      <c r="J16" s="801"/>
      <c r="K16" s="801"/>
      <c r="L16" s="801"/>
      <c r="M16" s="801"/>
      <c r="N16" s="801"/>
      <c r="O16" s="801"/>
      <c r="P16" s="801"/>
      <c r="Q16" s="801"/>
      <c r="R16" s="801"/>
      <c r="S16" s="801"/>
      <c r="T16" s="801"/>
      <c r="U16" s="801"/>
      <c r="V16" s="801"/>
      <c r="W16" s="801"/>
      <c r="X16" s="801"/>
      <c r="Y16" s="801"/>
      <c r="Z16" s="801"/>
      <c r="AA16" s="801"/>
      <c r="AB16" s="801"/>
      <c r="AC16" s="801"/>
      <c r="AD16" s="801"/>
      <c r="AE16" s="801"/>
      <c r="AF16" s="801"/>
      <c r="AG16" s="801"/>
      <c r="AH16" s="545"/>
    </row>
    <row r="17" spans="1:34" ht="14.25" customHeight="1">
      <c r="A17" s="802"/>
      <c r="B17" s="802"/>
      <c r="C17" s="802"/>
      <c r="D17" s="802"/>
      <c r="E17" s="802"/>
      <c r="F17" s="802"/>
      <c r="G17" s="802"/>
      <c r="H17" s="802"/>
      <c r="I17" s="802"/>
      <c r="J17" s="802"/>
      <c r="K17" s="802"/>
      <c r="L17" s="802"/>
      <c r="M17" s="802"/>
      <c r="N17" s="802"/>
      <c r="O17" s="802"/>
      <c r="P17" s="802"/>
      <c r="Q17" s="802"/>
      <c r="R17" s="802"/>
      <c r="S17" s="802"/>
      <c r="T17" s="802"/>
      <c r="U17" s="802"/>
      <c r="V17" s="802"/>
      <c r="W17" s="802"/>
      <c r="X17" s="802"/>
      <c r="Y17" s="802"/>
      <c r="Z17" s="802"/>
      <c r="AA17" s="802"/>
      <c r="AB17" s="802"/>
      <c r="AC17" s="802"/>
      <c r="AD17" s="802"/>
      <c r="AE17" s="802"/>
      <c r="AF17" s="802"/>
      <c r="AG17" s="802"/>
      <c r="AH17" s="90"/>
    </row>
  </sheetData>
  <mergeCells count="44">
    <mergeCell ref="S6:V6"/>
    <mergeCell ref="S7:S10"/>
    <mergeCell ref="I5:AA5"/>
    <mergeCell ref="G7:G10"/>
    <mergeCell ref="H7:J7"/>
    <mergeCell ref="T7:V7"/>
    <mergeCell ref="Z8:Z10"/>
    <mergeCell ref="U8:U10"/>
    <mergeCell ref="V8:V10"/>
    <mergeCell ref="X8:X10"/>
    <mergeCell ref="Y8:Y10"/>
    <mergeCell ref="O6:R6"/>
    <mergeCell ref="A16:AG17"/>
    <mergeCell ref="A2:AA3"/>
    <mergeCell ref="A6:A10"/>
    <mergeCell ref="B6:B10"/>
    <mergeCell ref="G6:J6"/>
    <mergeCell ref="H8:H10"/>
    <mergeCell ref="I8:I10"/>
    <mergeCell ref="J8:J10"/>
    <mergeCell ref="C7:C10"/>
    <mergeCell ref="C6:F6"/>
    <mergeCell ref="D7:F7"/>
    <mergeCell ref="F8:F10"/>
    <mergeCell ref="D8:D10"/>
    <mergeCell ref="E8:E10"/>
    <mergeCell ref="AC8:AH8"/>
    <mergeCell ref="T8:T10"/>
    <mergeCell ref="A4:AA4"/>
    <mergeCell ref="R8:R10"/>
    <mergeCell ref="P8:P10"/>
    <mergeCell ref="Q8:Q10"/>
    <mergeCell ref="W6:Z6"/>
    <mergeCell ref="K6:N6"/>
    <mergeCell ref="K7:K10"/>
    <mergeCell ref="L7:N7"/>
    <mergeCell ref="O7:O10"/>
    <mergeCell ref="P7:R7"/>
    <mergeCell ref="L8:L10"/>
    <mergeCell ref="M8:M10"/>
    <mergeCell ref="N8:N10"/>
    <mergeCell ref="W7:W10"/>
    <mergeCell ref="X7:Z7"/>
    <mergeCell ref="AA6:AA10"/>
  </mergeCells>
  <printOptions horizontalCentered="1"/>
  <pageMargins left="0.51181102362204722" right="0.31496062992125984" top="0.95118110236220477" bottom="0.51181102362204722" header="0.31496062992125984" footer="0.31496062992125984"/>
  <pageSetup scale="41" fitToHeight="0" orientation="landscape" r:id="rId1"/>
  <headerFooter>
    <oddHeader>&amp;R&amp;"times new,Bold Italic"&amp;12Tu Mơ Rông</oddHeader>
    <oddFooter>&amp;R&amp;P/&amp;N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E153"/>
  <sheetViews>
    <sheetView zoomScale="70" zoomScaleNormal="70" workbookViewId="0">
      <selection activeCell="CC17" sqref="A1:CC153"/>
    </sheetView>
  </sheetViews>
  <sheetFormatPr defaultRowHeight="14.25" outlineLevelRow="1"/>
  <cols>
    <col min="1" max="1" width="5" customWidth="1"/>
    <col min="2" max="2" width="52.73046875" customWidth="1"/>
    <col min="3" max="3" width="21.3984375" customWidth="1"/>
    <col min="4" max="4" width="16.86328125" customWidth="1"/>
    <col min="5" max="5" width="11.73046875" customWidth="1"/>
    <col min="6" max="7" width="0" hidden="1" customWidth="1"/>
    <col min="8" max="8" width="15" customWidth="1"/>
    <col min="9" max="9" width="10.73046875" customWidth="1"/>
    <col min="10" max="10" width="18.1328125" hidden="1" customWidth="1"/>
    <col min="11" max="11" width="13.59765625" hidden="1" customWidth="1"/>
    <col min="12" max="12" width="17" customWidth="1"/>
    <col min="13" max="13" width="11.73046875" customWidth="1"/>
    <col min="14" max="14" width="9.1328125" hidden="1" customWidth="1"/>
    <col min="15" max="15" width="11.73046875" hidden="1" customWidth="1"/>
    <col min="16" max="16" width="12.73046875" customWidth="1"/>
    <col min="17" max="17" width="15.3984375" hidden="1" customWidth="1"/>
    <col min="18" max="18" width="14" hidden="1" customWidth="1"/>
    <col min="19" max="19" width="16.3984375" hidden="1" customWidth="1"/>
    <col min="20" max="20" width="17.1328125" hidden="1" customWidth="1"/>
    <col min="21" max="21" width="11.73046875" customWidth="1"/>
    <col min="22" max="22" width="11.1328125" hidden="1" customWidth="1"/>
    <col min="23" max="23" width="9.1328125" hidden="1" customWidth="1"/>
    <col min="24" max="24" width="11.73046875" customWidth="1"/>
    <col min="25" max="25" width="14.59765625" hidden="1" customWidth="1"/>
    <col min="26" max="26" width="10.73046875" hidden="1" customWidth="1"/>
    <col min="27" max="27" width="0" hidden="1" customWidth="1"/>
    <col min="28" max="28" width="11.73046875" customWidth="1"/>
    <col min="29" max="29" width="11.73046875" style="164" customWidth="1"/>
    <col min="30" max="31" width="14.59765625" style="162" hidden="1" customWidth="1"/>
    <col min="32" max="33" width="11.73046875" customWidth="1"/>
    <col min="34" max="34" width="10.73046875" hidden="1" customWidth="1"/>
    <col min="35" max="36" width="9.1328125" hidden="1" customWidth="1"/>
    <col min="37" max="37" width="10.59765625" hidden="1" customWidth="1"/>
    <col min="38" max="49" width="9.1328125" hidden="1" customWidth="1"/>
    <col min="50" max="50" width="11.265625" hidden="1" customWidth="1"/>
    <col min="51" max="52" width="9.1328125" hidden="1" customWidth="1"/>
    <col min="53" max="54" width="11.73046875" customWidth="1"/>
    <col min="55" max="56" width="0" hidden="1" customWidth="1"/>
    <col min="57" max="58" width="11.73046875" customWidth="1"/>
    <col min="59" max="61" width="0" hidden="1" customWidth="1"/>
    <col min="62" max="62" width="11.265625" hidden="1" customWidth="1"/>
    <col min="63" max="64" width="0" hidden="1" customWidth="1"/>
    <col min="65" max="65" width="9.73046875" hidden="1" customWidth="1"/>
    <col min="66" max="79" width="0" hidden="1" customWidth="1"/>
    <col min="80" max="80" width="13" hidden="1" customWidth="1"/>
    <col min="81" max="81" width="17.265625" customWidth="1"/>
  </cols>
  <sheetData>
    <row r="1" spans="1:83" ht="24" customHeight="1">
      <c r="A1" s="768" t="s">
        <v>3653</v>
      </c>
      <c r="B1" s="768"/>
      <c r="C1" s="768"/>
      <c r="D1" s="768"/>
      <c r="E1" s="768"/>
      <c r="F1" s="768"/>
      <c r="G1" s="768"/>
      <c r="H1" s="768"/>
      <c r="I1" s="768"/>
      <c r="J1" s="768"/>
      <c r="K1" s="768"/>
      <c r="L1" s="768"/>
      <c r="M1" s="768"/>
      <c r="N1" s="768"/>
      <c r="O1" s="768"/>
      <c r="P1" s="768"/>
      <c r="Q1" s="768"/>
      <c r="R1" s="768"/>
      <c r="S1" s="768"/>
      <c r="T1" s="768"/>
      <c r="U1" s="768"/>
      <c r="V1" s="768"/>
      <c r="W1" s="768"/>
      <c r="X1" s="768"/>
      <c r="Y1" s="768"/>
      <c r="Z1" s="768"/>
      <c r="AA1" s="768"/>
      <c r="AB1" s="768"/>
      <c r="AC1" s="768"/>
      <c r="AD1" s="768"/>
      <c r="AE1" s="768"/>
      <c r="AF1" s="768"/>
      <c r="AG1" s="768"/>
      <c r="AH1" s="768"/>
      <c r="AI1" s="768"/>
      <c r="AJ1" s="768"/>
      <c r="AK1" s="768"/>
      <c r="AL1" s="768"/>
      <c r="AM1" s="768"/>
      <c r="AN1" s="768"/>
      <c r="AO1" s="768"/>
      <c r="AP1" s="768"/>
      <c r="AQ1" s="768"/>
      <c r="AR1" s="768"/>
      <c r="AS1" s="768"/>
      <c r="AT1" s="768"/>
      <c r="AU1" s="768"/>
      <c r="AV1" s="768"/>
      <c r="AW1" s="768"/>
      <c r="AX1" s="768"/>
      <c r="AY1" s="768"/>
      <c r="AZ1" s="768"/>
      <c r="BA1" s="768"/>
      <c r="BB1" s="768"/>
      <c r="BC1" s="768"/>
      <c r="BD1" s="768"/>
      <c r="BE1" s="768"/>
      <c r="BF1" s="768"/>
      <c r="BG1" s="768"/>
      <c r="BH1" s="768"/>
      <c r="BI1" s="768"/>
      <c r="BJ1" s="768"/>
      <c r="BK1" s="768"/>
      <c r="BL1" s="768"/>
      <c r="BM1" s="768"/>
      <c r="BN1" s="768"/>
      <c r="BO1" s="768"/>
      <c r="BP1" s="768"/>
      <c r="BQ1" s="768"/>
      <c r="BR1" s="768"/>
      <c r="BS1" s="768"/>
      <c r="BT1" s="768"/>
      <c r="BU1" s="768"/>
      <c r="BV1" s="768"/>
      <c r="BW1" s="768"/>
      <c r="BX1" s="768"/>
      <c r="BY1" s="768"/>
      <c r="BZ1" s="768"/>
      <c r="CA1" s="768"/>
      <c r="CB1" s="768"/>
      <c r="CC1" s="768"/>
    </row>
    <row r="2" spans="1:83" ht="24" customHeight="1">
      <c r="A2" s="769" t="s">
        <v>3691</v>
      </c>
      <c r="B2" s="769"/>
      <c r="C2" s="769"/>
      <c r="D2" s="769"/>
      <c r="E2" s="769"/>
      <c r="F2" s="769"/>
      <c r="G2" s="769"/>
      <c r="H2" s="769"/>
      <c r="I2" s="769"/>
      <c r="J2" s="769"/>
      <c r="K2" s="769"/>
      <c r="L2" s="769"/>
      <c r="M2" s="769"/>
      <c r="N2" s="769"/>
      <c r="O2" s="769"/>
      <c r="P2" s="769"/>
      <c r="Q2" s="769"/>
      <c r="R2" s="769"/>
      <c r="S2" s="769"/>
      <c r="T2" s="769"/>
      <c r="U2" s="769"/>
      <c r="V2" s="769"/>
      <c r="W2" s="769"/>
      <c r="X2" s="769"/>
      <c r="Y2" s="769"/>
      <c r="Z2" s="769"/>
      <c r="AA2" s="769"/>
      <c r="AB2" s="769"/>
      <c r="AC2" s="769"/>
      <c r="AD2" s="769"/>
      <c r="AE2" s="769"/>
      <c r="AF2" s="769"/>
      <c r="AG2" s="769"/>
      <c r="AH2" s="769"/>
      <c r="AI2" s="769"/>
      <c r="AJ2" s="769"/>
      <c r="AK2" s="769"/>
      <c r="AL2" s="769"/>
      <c r="AM2" s="769"/>
      <c r="AN2" s="769"/>
      <c r="AO2" s="769"/>
      <c r="AP2" s="769"/>
      <c r="AQ2" s="769"/>
      <c r="AR2" s="769"/>
      <c r="AS2" s="769"/>
      <c r="AT2" s="769"/>
      <c r="AU2" s="769"/>
      <c r="AV2" s="769"/>
      <c r="AW2" s="769"/>
      <c r="AX2" s="769"/>
      <c r="AY2" s="769"/>
      <c r="AZ2" s="769"/>
      <c r="BA2" s="769"/>
      <c r="BB2" s="769"/>
      <c r="BC2" s="769"/>
      <c r="BD2" s="769"/>
      <c r="BE2" s="769"/>
      <c r="BF2" s="769"/>
      <c r="BG2" s="769"/>
      <c r="BH2" s="769"/>
      <c r="BI2" s="769"/>
      <c r="BJ2" s="769"/>
      <c r="BK2" s="769"/>
      <c r="BL2" s="769"/>
      <c r="BM2" s="769"/>
      <c r="BN2" s="769"/>
      <c r="BO2" s="769"/>
      <c r="BP2" s="769"/>
      <c r="BQ2" s="769"/>
      <c r="BR2" s="769"/>
      <c r="BS2" s="769"/>
      <c r="BT2" s="769"/>
      <c r="BU2" s="769"/>
      <c r="BV2" s="769"/>
      <c r="BW2" s="769"/>
      <c r="BX2" s="769"/>
      <c r="BY2" s="769"/>
      <c r="BZ2" s="769"/>
      <c r="CA2" s="769"/>
      <c r="CB2" s="769"/>
      <c r="CC2" s="769"/>
    </row>
    <row r="3" spans="1:83" ht="8.25" customHeight="1">
      <c r="A3" s="769"/>
      <c r="B3" s="769"/>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69"/>
      <c r="AZ3" s="769"/>
      <c r="BA3" s="769"/>
      <c r="BB3" s="769"/>
      <c r="BC3" s="769"/>
      <c r="BD3" s="769"/>
      <c r="BE3" s="769"/>
      <c r="BF3" s="769"/>
      <c r="BG3" s="769"/>
      <c r="BH3" s="769"/>
      <c r="BI3" s="769"/>
      <c r="BJ3" s="769"/>
      <c r="BK3" s="769"/>
      <c r="BL3" s="769"/>
      <c r="BM3" s="769"/>
      <c r="BN3" s="769"/>
      <c r="BO3" s="769"/>
      <c r="BP3" s="769"/>
      <c r="BQ3" s="769"/>
      <c r="BR3" s="769"/>
      <c r="BS3" s="769"/>
      <c r="BT3" s="769"/>
      <c r="BU3" s="769"/>
      <c r="BV3" s="769"/>
      <c r="BW3" s="769"/>
      <c r="BX3" s="769"/>
      <c r="BY3" s="769"/>
      <c r="BZ3" s="769"/>
      <c r="CA3" s="769"/>
      <c r="CB3" s="769"/>
      <c r="CC3" s="769"/>
    </row>
    <row r="4" spans="1:83" ht="24" customHeight="1">
      <c r="A4" s="769" t="s">
        <v>2101</v>
      </c>
      <c r="B4" s="769"/>
      <c r="C4" s="769"/>
      <c r="D4" s="769"/>
      <c r="E4" s="769"/>
      <c r="F4" s="769"/>
      <c r="G4" s="769"/>
      <c r="H4" s="769"/>
      <c r="I4" s="769"/>
      <c r="J4" s="769"/>
      <c r="K4" s="769"/>
      <c r="L4" s="769"/>
      <c r="M4" s="769"/>
      <c r="N4" s="769"/>
      <c r="O4" s="769"/>
      <c r="P4" s="769"/>
      <c r="Q4" s="769"/>
      <c r="R4" s="769"/>
      <c r="S4" s="769"/>
      <c r="T4" s="769"/>
      <c r="U4" s="769"/>
      <c r="V4" s="769"/>
      <c r="W4" s="769"/>
      <c r="X4" s="769"/>
      <c r="Y4" s="769"/>
      <c r="Z4" s="769"/>
      <c r="AA4" s="769"/>
      <c r="AB4" s="769"/>
      <c r="AC4" s="769"/>
      <c r="AD4" s="769"/>
      <c r="AE4" s="769"/>
      <c r="AF4" s="769"/>
      <c r="AG4" s="769"/>
      <c r="AH4" s="769"/>
      <c r="AI4" s="769"/>
      <c r="AJ4" s="769"/>
      <c r="AK4" s="769"/>
      <c r="AL4" s="769"/>
      <c r="AM4" s="769"/>
      <c r="AN4" s="769"/>
      <c r="AO4" s="769"/>
      <c r="AP4" s="769"/>
      <c r="AQ4" s="769"/>
      <c r="AR4" s="769"/>
      <c r="AS4" s="769"/>
      <c r="AT4" s="769"/>
      <c r="AU4" s="769"/>
      <c r="AV4" s="769"/>
      <c r="AW4" s="769"/>
      <c r="AX4" s="769"/>
      <c r="AY4" s="769"/>
      <c r="AZ4" s="769"/>
      <c r="BA4" s="769"/>
      <c r="BB4" s="769"/>
      <c r="BC4" s="769"/>
      <c r="BD4" s="769"/>
      <c r="BE4" s="769"/>
      <c r="BF4" s="769"/>
      <c r="BG4" s="769"/>
      <c r="BH4" s="769"/>
      <c r="BI4" s="769"/>
      <c r="BJ4" s="769"/>
      <c r="BK4" s="769"/>
      <c r="BL4" s="769"/>
      <c r="BM4" s="769"/>
      <c r="BN4" s="769"/>
      <c r="BO4" s="769"/>
      <c r="BP4" s="769"/>
      <c r="BQ4" s="769"/>
      <c r="BR4" s="769"/>
      <c r="BS4" s="769"/>
      <c r="BT4" s="769"/>
      <c r="BU4" s="769"/>
      <c r="BV4" s="769"/>
      <c r="BW4" s="769"/>
      <c r="BX4" s="769"/>
      <c r="BY4" s="769"/>
      <c r="BZ4" s="769"/>
      <c r="CA4" s="769"/>
      <c r="CB4" s="769"/>
      <c r="CC4" s="769"/>
    </row>
    <row r="5" spans="1:83" ht="24" customHeight="1">
      <c r="A5" s="770" t="str">
        <f>'3.13.Thành phố Kon Tum'!A5:BY5</f>
        <v>(Kèm theo Nghị quyết số 22/NQ-HĐND ngày 22 tháng 8 năm 2025 của Hội đồng nhân dân tỉnh)</v>
      </c>
      <c r="B5" s="770"/>
      <c r="C5" s="770"/>
      <c r="D5" s="770"/>
      <c r="E5" s="770"/>
      <c r="F5" s="770"/>
      <c r="G5" s="770"/>
      <c r="H5" s="770"/>
      <c r="I5" s="770"/>
      <c r="J5" s="770"/>
      <c r="K5" s="770"/>
      <c r="L5" s="770"/>
      <c r="M5" s="770"/>
      <c r="N5" s="770"/>
      <c r="O5" s="770"/>
      <c r="P5" s="770"/>
      <c r="Q5" s="770"/>
      <c r="R5" s="770"/>
      <c r="S5" s="770"/>
      <c r="T5" s="770"/>
      <c r="U5" s="770"/>
      <c r="V5" s="770"/>
      <c r="W5" s="770"/>
      <c r="X5" s="770"/>
      <c r="Y5" s="770"/>
      <c r="Z5" s="770"/>
      <c r="AA5" s="770"/>
      <c r="AB5" s="770"/>
      <c r="AC5" s="770"/>
      <c r="AD5" s="770"/>
      <c r="AE5" s="770"/>
      <c r="AF5" s="770"/>
      <c r="AG5" s="770"/>
      <c r="AH5" s="770"/>
      <c r="AI5" s="770"/>
      <c r="AJ5" s="770"/>
      <c r="AK5" s="770"/>
      <c r="AL5" s="770"/>
      <c r="AM5" s="770"/>
      <c r="AN5" s="770"/>
      <c r="AO5" s="770"/>
      <c r="AP5" s="770"/>
      <c r="AQ5" s="770"/>
      <c r="AR5" s="770"/>
      <c r="AS5" s="770"/>
      <c r="AT5" s="770"/>
      <c r="AU5" s="770"/>
      <c r="AV5" s="770"/>
      <c r="AW5" s="770"/>
      <c r="AX5" s="770"/>
      <c r="AY5" s="770"/>
      <c r="AZ5" s="770"/>
      <c r="BA5" s="770"/>
      <c r="BB5" s="770"/>
      <c r="BC5" s="770"/>
      <c r="BD5" s="770"/>
      <c r="BE5" s="770"/>
      <c r="BF5" s="770"/>
      <c r="BG5" s="770"/>
      <c r="BH5" s="770"/>
      <c r="BI5" s="770"/>
      <c r="BJ5" s="770"/>
      <c r="BK5" s="770"/>
      <c r="BL5" s="770"/>
      <c r="BM5" s="770"/>
      <c r="BN5" s="770"/>
      <c r="BO5" s="770"/>
      <c r="BP5" s="770"/>
      <c r="BQ5" s="770"/>
      <c r="BR5" s="770"/>
      <c r="BS5" s="770"/>
      <c r="BT5" s="770"/>
      <c r="BU5" s="770"/>
      <c r="BV5" s="770"/>
      <c r="BW5" s="770"/>
      <c r="BX5" s="770"/>
      <c r="BY5" s="770"/>
      <c r="BZ5" s="770"/>
      <c r="CA5" s="770"/>
      <c r="CB5" s="770"/>
      <c r="CC5" s="770"/>
    </row>
    <row r="6" spans="1:83" ht="16.5" customHeight="1">
      <c r="A6" s="567"/>
      <c r="B6" s="568"/>
      <c r="C6" s="568"/>
      <c r="D6" s="569"/>
      <c r="E6" s="568"/>
      <c r="F6" s="568"/>
      <c r="G6" s="568"/>
      <c r="H6" s="568"/>
      <c r="I6" s="568"/>
      <c r="J6" s="568"/>
      <c r="K6" s="568"/>
      <c r="L6" s="568"/>
      <c r="M6" s="568"/>
      <c r="N6" s="568"/>
      <c r="O6" s="568"/>
      <c r="P6" s="568"/>
      <c r="Q6" s="568"/>
      <c r="R6" s="568"/>
      <c r="S6" s="568"/>
      <c r="T6" s="568"/>
      <c r="U6" s="568"/>
      <c r="V6" s="568"/>
      <c r="W6" s="568"/>
      <c r="X6" s="568"/>
      <c r="Y6" s="568"/>
      <c r="Z6" s="568"/>
      <c r="AA6" s="568"/>
      <c r="AB6" s="568"/>
      <c r="AC6" s="570"/>
      <c r="AD6" s="571"/>
      <c r="AE6" s="571"/>
      <c r="AF6" s="568"/>
      <c r="AG6" s="568"/>
      <c r="AH6" s="568"/>
      <c r="AI6" s="568"/>
      <c r="AJ6" s="568"/>
      <c r="AK6" s="568"/>
      <c r="AL6" s="568"/>
      <c r="AM6" s="568"/>
      <c r="AN6" s="568"/>
      <c r="AO6" s="568"/>
      <c r="AP6" s="568"/>
      <c r="AQ6" s="568"/>
      <c r="AR6" s="568"/>
      <c r="AS6" s="568"/>
      <c r="AT6" s="568"/>
      <c r="AU6" s="568"/>
      <c r="AV6" s="568"/>
      <c r="AW6" s="568"/>
      <c r="AX6" s="568"/>
      <c r="AY6" s="568"/>
      <c r="AZ6" s="568"/>
      <c r="BA6" s="568"/>
      <c r="BB6" s="568"/>
      <c r="BC6" s="568"/>
      <c r="BD6" s="568"/>
      <c r="BE6" s="796" t="s">
        <v>1224</v>
      </c>
      <c r="BF6" s="796"/>
      <c r="BG6" s="796"/>
      <c r="BH6" s="796"/>
      <c r="BI6" s="796"/>
      <c r="BJ6" s="796"/>
      <c r="BK6" s="796"/>
      <c r="BL6" s="796"/>
      <c r="BM6" s="796"/>
      <c r="BN6" s="796"/>
      <c r="BO6" s="796"/>
      <c r="BP6" s="796"/>
      <c r="BQ6" s="796"/>
      <c r="BR6" s="796"/>
      <c r="BS6" s="796"/>
      <c r="BT6" s="796"/>
      <c r="BU6" s="796"/>
      <c r="BV6" s="796"/>
      <c r="BW6" s="796"/>
      <c r="BX6" s="796"/>
      <c r="BY6" s="796"/>
      <c r="BZ6" s="796"/>
      <c r="CA6" s="796"/>
      <c r="CB6" s="796"/>
      <c r="CC6" s="796"/>
    </row>
    <row r="7" spans="1:83" ht="45.75" customHeight="1">
      <c r="A7" s="771" t="s">
        <v>16</v>
      </c>
      <c r="B7" s="771" t="s">
        <v>316</v>
      </c>
      <c r="C7" s="771" t="s">
        <v>17</v>
      </c>
      <c r="D7" s="772" t="s">
        <v>3673</v>
      </c>
      <c r="E7" s="772" t="s">
        <v>18</v>
      </c>
      <c r="F7" s="772" t="s">
        <v>19</v>
      </c>
      <c r="G7" s="771" t="s">
        <v>20</v>
      </c>
      <c r="H7" s="771" t="s">
        <v>21</v>
      </c>
      <c r="I7" s="772" t="s">
        <v>23</v>
      </c>
      <c r="J7" s="772" t="s">
        <v>24</v>
      </c>
      <c r="K7" s="775" t="s">
        <v>1904</v>
      </c>
      <c r="L7" s="776"/>
      <c r="M7" s="776"/>
      <c r="N7" s="776"/>
      <c r="O7" s="776"/>
      <c r="P7" s="777"/>
      <c r="Q7" s="772" t="s">
        <v>25</v>
      </c>
      <c r="R7" s="771" t="s">
        <v>1226</v>
      </c>
      <c r="S7" s="771" t="s">
        <v>22</v>
      </c>
      <c r="T7" s="772" t="s">
        <v>876</v>
      </c>
      <c r="U7" s="771" t="s">
        <v>26</v>
      </c>
      <c r="V7" s="771"/>
      <c r="W7" s="771"/>
      <c r="X7" s="771"/>
      <c r="Y7" s="771" t="s">
        <v>2102</v>
      </c>
      <c r="Z7" s="771"/>
      <c r="AA7" s="771"/>
      <c r="AB7" s="771"/>
      <c r="AC7" s="771"/>
      <c r="AD7" s="771"/>
      <c r="AE7" s="771"/>
      <c r="AF7" s="771"/>
      <c r="AG7" s="771"/>
      <c r="AH7" s="771" t="s">
        <v>63</v>
      </c>
      <c r="AI7" s="771"/>
      <c r="AJ7" s="771"/>
      <c r="AK7" s="771"/>
      <c r="AL7" s="771"/>
      <c r="AM7" s="771"/>
      <c r="AN7" s="771"/>
      <c r="AO7" s="771"/>
      <c r="AP7" s="771"/>
      <c r="AQ7" s="771"/>
      <c r="AR7" s="771"/>
      <c r="AS7" s="771"/>
      <c r="AT7" s="771"/>
      <c r="AU7" s="771"/>
      <c r="AV7" s="771"/>
      <c r="AW7" s="771"/>
      <c r="AX7" s="771" t="s">
        <v>64</v>
      </c>
      <c r="AY7" s="771"/>
      <c r="AZ7" s="771"/>
      <c r="BA7" s="771"/>
      <c r="BB7" s="771"/>
      <c r="BC7" s="771"/>
      <c r="BD7" s="771"/>
      <c r="BE7" s="771"/>
      <c r="BF7" s="771"/>
      <c r="BG7" s="771"/>
      <c r="BH7" s="771"/>
      <c r="BI7" s="771"/>
      <c r="BJ7" s="771"/>
      <c r="BK7" s="771"/>
      <c r="BL7" s="771"/>
      <c r="BM7" s="771"/>
      <c r="BN7" s="771"/>
      <c r="BO7" s="771" t="s">
        <v>28</v>
      </c>
      <c r="BP7" s="771"/>
      <c r="BQ7" s="771"/>
      <c r="BR7" s="771"/>
      <c r="BS7" s="771"/>
      <c r="BT7" s="771"/>
      <c r="BU7" s="771"/>
      <c r="BV7" s="771"/>
      <c r="BW7" s="771" t="s">
        <v>318</v>
      </c>
      <c r="BX7" s="771"/>
      <c r="BY7" s="771"/>
      <c r="BZ7" s="771"/>
      <c r="CA7" s="771" t="s">
        <v>1906</v>
      </c>
      <c r="CB7" s="772" t="s">
        <v>3662</v>
      </c>
      <c r="CC7" s="771" t="s">
        <v>0</v>
      </c>
    </row>
    <row r="8" spans="1:83" ht="39.75" customHeight="1">
      <c r="A8" s="771"/>
      <c r="B8" s="771"/>
      <c r="C8" s="771"/>
      <c r="D8" s="773"/>
      <c r="E8" s="773"/>
      <c r="F8" s="773"/>
      <c r="G8" s="771"/>
      <c r="H8" s="771"/>
      <c r="I8" s="773"/>
      <c r="J8" s="773"/>
      <c r="K8" s="788"/>
      <c r="L8" s="789"/>
      <c r="M8" s="789"/>
      <c r="N8" s="789"/>
      <c r="O8" s="789"/>
      <c r="P8" s="790"/>
      <c r="Q8" s="773"/>
      <c r="R8" s="771"/>
      <c r="S8" s="771"/>
      <c r="T8" s="773"/>
      <c r="U8" s="771" t="s">
        <v>29</v>
      </c>
      <c r="V8" s="771" t="s">
        <v>1</v>
      </c>
      <c r="W8" s="771"/>
      <c r="X8" s="771"/>
      <c r="Y8" s="771" t="s">
        <v>29</v>
      </c>
      <c r="Z8" s="397"/>
      <c r="AA8" s="397"/>
      <c r="AB8" s="771" t="s">
        <v>2103</v>
      </c>
      <c r="AC8" s="771" t="s">
        <v>42</v>
      </c>
      <c r="AD8" s="771"/>
      <c r="AE8" s="771"/>
      <c r="AF8" s="771"/>
      <c r="AG8" s="771"/>
      <c r="AH8" s="771" t="s">
        <v>65</v>
      </c>
      <c r="AI8" s="771"/>
      <c r="AJ8" s="771"/>
      <c r="AK8" s="771"/>
      <c r="AL8" s="771"/>
      <c r="AM8" s="771"/>
      <c r="AN8" s="771"/>
      <c r="AO8" s="771"/>
      <c r="AP8" s="771" t="s">
        <v>66</v>
      </c>
      <c r="AQ8" s="771"/>
      <c r="AR8" s="771"/>
      <c r="AS8" s="771"/>
      <c r="AT8" s="771"/>
      <c r="AU8" s="771"/>
      <c r="AV8" s="771"/>
      <c r="AW8" s="771"/>
      <c r="AX8" s="397" t="s">
        <v>1</v>
      </c>
      <c r="AY8" s="397"/>
      <c r="AZ8" s="397"/>
      <c r="BA8" s="771" t="s">
        <v>2103</v>
      </c>
      <c r="BB8" s="771" t="s">
        <v>42</v>
      </c>
      <c r="BC8" s="771"/>
      <c r="BD8" s="771"/>
      <c r="BE8" s="771"/>
      <c r="BF8" s="771"/>
      <c r="BG8" s="771" t="s">
        <v>89</v>
      </c>
      <c r="BH8" s="771"/>
      <c r="BI8" s="771"/>
      <c r="BJ8" s="771"/>
      <c r="BK8" s="771"/>
      <c r="BL8" s="771"/>
      <c r="BM8" s="771"/>
      <c r="BN8" s="771"/>
      <c r="BO8" s="771" t="s">
        <v>30</v>
      </c>
      <c r="BP8" s="771"/>
      <c r="BQ8" s="771"/>
      <c r="BR8" s="771"/>
      <c r="BS8" s="771" t="s">
        <v>89</v>
      </c>
      <c r="BT8" s="771"/>
      <c r="BU8" s="771"/>
      <c r="BV8" s="771"/>
      <c r="BW8" s="771" t="s">
        <v>30</v>
      </c>
      <c r="BX8" s="771"/>
      <c r="BY8" s="771"/>
      <c r="BZ8" s="771"/>
      <c r="CA8" s="771"/>
      <c r="CB8" s="773"/>
      <c r="CC8" s="771"/>
    </row>
    <row r="9" spans="1:83" ht="34.5" customHeight="1">
      <c r="A9" s="771"/>
      <c r="B9" s="771"/>
      <c r="C9" s="771"/>
      <c r="D9" s="773"/>
      <c r="E9" s="773"/>
      <c r="F9" s="773"/>
      <c r="G9" s="771"/>
      <c r="H9" s="771"/>
      <c r="I9" s="773"/>
      <c r="J9" s="773"/>
      <c r="K9" s="772"/>
      <c r="L9" s="772" t="s">
        <v>32</v>
      </c>
      <c r="M9" s="772" t="s">
        <v>33</v>
      </c>
      <c r="N9" s="791" t="s">
        <v>300</v>
      </c>
      <c r="O9" s="792"/>
      <c r="P9" s="843"/>
      <c r="Q9" s="773"/>
      <c r="R9" s="771"/>
      <c r="S9" s="771"/>
      <c r="T9" s="773"/>
      <c r="U9" s="771"/>
      <c r="V9" s="771" t="s">
        <v>34</v>
      </c>
      <c r="W9" s="771" t="s">
        <v>35</v>
      </c>
      <c r="X9" s="771" t="s">
        <v>36</v>
      </c>
      <c r="Y9" s="771"/>
      <c r="Z9" s="397" t="s">
        <v>34</v>
      </c>
      <c r="AA9" s="771" t="s">
        <v>35</v>
      </c>
      <c r="AB9" s="771"/>
      <c r="AC9" s="845" t="s">
        <v>8</v>
      </c>
      <c r="AD9" s="208"/>
      <c r="AE9" s="208"/>
      <c r="AF9" s="803" t="s">
        <v>43</v>
      </c>
      <c r="AG9" s="803" t="s">
        <v>38</v>
      </c>
      <c r="AH9" s="771" t="s">
        <v>29</v>
      </c>
      <c r="AI9" s="771" t="s">
        <v>1</v>
      </c>
      <c r="AJ9" s="771"/>
      <c r="AK9" s="771"/>
      <c r="AL9" s="771"/>
      <c r="AM9" s="771"/>
      <c r="AN9" s="771"/>
      <c r="AO9" s="771"/>
      <c r="AP9" s="771" t="s">
        <v>29</v>
      </c>
      <c r="AQ9" s="771" t="s">
        <v>1</v>
      </c>
      <c r="AR9" s="771"/>
      <c r="AS9" s="771"/>
      <c r="AT9" s="771"/>
      <c r="AU9" s="771"/>
      <c r="AV9" s="771"/>
      <c r="AW9" s="771"/>
      <c r="AX9" s="771" t="s">
        <v>29</v>
      </c>
      <c r="AY9" s="397" t="s">
        <v>1</v>
      </c>
      <c r="AZ9" s="397"/>
      <c r="BA9" s="771"/>
      <c r="BB9" s="803" t="s">
        <v>8</v>
      </c>
      <c r="BC9" s="803" t="s">
        <v>94</v>
      </c>
      <c r="BD9" s="803" t="s">
        <v>95</v>
      </c>
      <c r="BE9" s="803" t="s">
        <v>43</v>
      </c>
      <c r="BF9" s="803" t="s">
        <v>38</v>
      </c>
      <c r="BG9" s="771" t="s">
        <v>29</v>
      </c>
      <c r="BH9" s="771" t="s">
        <v>1</v>
      </c>
      <c r="BI9" s="771"/>
      <c r="BJ9" s="771"/>
      <c r="BK9" s="771"/>
      <c r="BL9" s="771"/>
      <c r="BM9" s="771"/>
      <c r="BN9" s="771"/>
      <c r="BO9" s="771" t="s">
        <v>29</v>
      </c>
      <c r="BP9" s="771" t="s">
        <v>1</v>
      </c>
      <c r="BQ9" s="771"/>
      <c r="BR9" s="771"/>
      <c r="BS9" s="771" t="s">
        <v>29</v>
      </c>
      <c r="BT9" s="771" t="s">
        <v>1</v>
      </c>
      <c r="BU9" s="771"/>
      <c r="BV9" s="771"/>
      <c r="BW9" s="771" t="s">
        <v>29</v>
      </c>
      <c r="BX9" s="771" t="s">
        <v>1</v>
      </c>
      <c r="BY9" s="771"/>
      <c r="BZ9" s="771"/>
      <c r="CA9" s="771"/>
      <c r="CB9" s="773"/>
      <c r="CC9" s="771"/>
    </row>
    <row r="10" spans="1:83" ht="13.5" customHeight="1">
      <c r="A10" s="771"/>
      <c r="B10" s="771"/>
      <c r="C10" s="771"/>
      <c r="D10" s="773"/>
      <c r="E10" s="773"/>
      <c r="F10" s="773"/>
      <c r="G10" s="771"/>
      <c r="H10" s="771"/>
      <c r="I10" s="773"/>
      <c r="J10" s="773"/>
      <c r="K10" s="773"/>
      <c r="L10" s="773"/>
      <c r="M10" s="773"/>
      <c r="N10" s="772" t="s">
        <v>67</v>
      </c>
      <c r="O10" s="772" t="s">
        <v>40</v>
      </c>
      <c r="P10" s="772" t="s">
        <v>36</v>
      </c>
      <c r="Q10" s="773"/>
      <c r="R10" s="771"/>
      <c r="S10" s="771"/>
      <c r="T10" s="773"/>
      <c r="U10" s="771"/>
      <c r="V10" s="771"/>
      <c r="W10" s="771"/>
      <c r="X10" s="771"/>
      <c r="Y10" s="771"/>
      <c r="Z10" s="397"/>
      <c r="AA10" s="771"/>
      <c r="AB10" s="771"/>
      <c r="AC10" s="845"/>
      <c r="AD10" s="844" t="s">
        <v>94</v>
      </c>
      <c r="AE10" s="844" t="s">
        <v>95</v>
      </c>
      <c r="AF10" s="803"/>
      <c r="AG10" s="803"/>
      <c r="AH10" s="771"/>
      <c r="AI10" s="771" t="s">
        <v>34</v>
      </c>
      <c r="AJ10" s="771" t="s">
        <v>35</v>
      </c>
      <c r="AK10" s="771" t="s">
        <v>41</v>
      </c>
      <c r="AL10" s="803" t="s">
        <v>42</v>
      </c>
      <c r="AM10" s="803"/>
      <c r="AN10" s="803"/>
      <c r="AO10" s="803"/>
      <c r="AP10" s="771"/>
      <c r="AQ10" s="771" t="s">
        <v>34</v>
      </c>
      <c r="AR10" s="771" t="s">
        <v>35</v>
      </c>
      <c r="AS10" s="771" t="s">
        <v>41</v>
      </c>
      <c r="AT10" s="803" t="s">
        <v>42</v>
      </c>
      <c r="AU10" s="803"/>
      <c r="AV10" s="803"/>
      <c r="AW10" s="803"/>
      <c r="AX10" s="771"/>
      <c r="AY10" s="771" t="s">
        <v>34</v>
      </c>
      <c r="AZ10" s="771" t="s">
        <v>35</v>
      </c>
      <c r="BA10" s="771"/>
      <c r="BB10" s="803"/>
      <c r="BC10" s="803"/>
      <c r="BD10" s="803"/>
      <c r="BE10" s="803"/>
      <c r="BF10" s="803"/>
      <c r="BG10" s="771"/>
      <c r="BH10" s="771" t="s">
        <v>34</v>
      </c>
      <c r="BI10" s="771" t="s">
        <v>35</v>
      </c>
      <c r="BJ10" s="771" t="s">
        <v>41</v>
      </c>
      <c r="BK10" s="803" t="s">
        <v>42</v>
      </c>
      <c r="BL10" s="803"/>
      <c r="BM10" s="803"/>
      <c r="BN10" s="803"/>
      <c r="BO10" s="771"/>
      <c r="BP10" s="771" t="s">
        <v>34</v>
      </c>
      <c r="BQ10" s="771" t="s">
        <v>35</v>
      </c>
      <c r="BR10" s="771" t="s">
        <v>39</v>
      </c>
      <c r="BS10" s="771"/>
      <c r="BT10" s="771" t="s">
        <v>34</v>
      </c>
      <c r="BU10" s="771" t="s">
        <v>35</v>
      </c>
      <c r="BV10" s="771" t="s">
        <v>39</v>
      </c>
      <c r="BW10" s="771"/>
      <c r="BX10" s="771" t="s">
        <v>34</v>
      </c>
      <c r="BY10" s="771" t="s">
        <v>35</v>
      </c>
      <c r="BZ10" s="771" t="s">
        <v>39</v>
      </c>
      <c r="CA10" s="771"/>
      <c r="CB10" s="773"/>
      <c r="CC10" s="771"/>
    </row>
    <row r="11" spans="1:83" ht="31.5" customHeight="1">
      <c r="A11" s="771"/>
      <c r="B11" s="771"/>
      <c r="C11" s="771"/>
      <c r="D11" s="774"/>
      <c r="E11" s="774"/>
      <c r="F11" s="774"/>
      <c r="G11" s="771"/>
      <c r="H11" s="771"/>
      <c r="I11" s="774"/>
      <c r="J11" s="774"/>
      <c r="K11" s="774"/>
      <c r="L11" s="774"/>
      <c r="M11" s="774"/>
      <c r="N11" s="774"/>
      <c r="O11" s="774"/>
      <c r="P11" s="774"/>
      <c r="Q11" s="774"/>
      <c r="R11" s="771"/>
      <c r="S11" s="771"/>
      <c r="T11" s="774"/>
      <c r="U11" s="771"/>
      <c r="V11" s="771"/>
      <c r="W11" s="771"/>
      <c r="X11" s="771"/>
      <c r="Y11" s="771"/>
      <c r="Z11" s="397"/>
      <c r="AA11" s="771"/>
      <c r="AB11" s="771"/>
      <c r="AC11" s="845"/>
      <c r="AD11" s="844"/>
      <c r="AE11" s="844"/>
      <c r="AF11" s="803"/>
      <c r="AG11" s="803"/>
      <c r="AH11" s="771"/>
      <c r="AI11" s="771"/>
      <c r="AJ11" s="771"/>
      <c r="AK11" s="771"/>
      <c r="AL11" s="408" t="s">
        <v>94</v>
      </c>
      <c r="AM11" s="408" t="s">
        <v>95</v>
      </c>
      <c r="AN11" s="408" t="s">
        <v>43</v>
      </c>
      <c r="AO11" s="408" t="s">
        <v>38</v>
      </c>
      <c r="AP11" s="771"/>
      <c r="AQ11" s="771"/>
      <c r="AR11" s="771"/>
      <c r="AS11" s="771"/>
      <c r="AT11" s="408" t="s">
        <v>94</v>
      </c>
      <c r="AU11" s="408" t="s">
        <v>95</v>
      </c>
      <c r="AV11" s="408" t="s">
        <v>43</v>
      </c>
      <c r="AW11" s="408" t="s">
        <v>38</v>
      </c>
      <c r="AX11" s="771"/>
      <c r="AY11" s="771"/>
      <c r="AZ11" s="771"/>
      <c r="BA11" s="771"/>
      <c r="BB11" s="803"/>
      <c r="BC11" s="803"/>
      <c r="BD11" s="803"/>
      <c r="BE11" s="803"/>
      <c r="BF11" s="803"/>
      <c r="BG11" s="771"/>
      <c r="BH11" s="771"/>
      <c r="BI11" s="771"/>
      <c r="BJ11" s="771"/>
      <c r="BK11" s="408" t="s">
        <v>94</v>
      </c>
      <c r="BL11" s="408" t="s">
        <v>95</v>
      </c>
      <c r="BM11" s="408" t="s">
        <v>43</v>
      </c>
      <c r="BN11" s="408" t="s">
        <v>38</v>
      </c>
      <c r="BO11" s="771"/>
      <c r="BP11" s="771"/>
      <c r="BQ11" s="771"/>
      <c r="BR11" s="771"/>
      <c r="BS11" s="771"/>
      <c r="BT11" s="771"/>
      <c r="BU11" s="771"/>
      <c r="BV11" s="771"/>
      <c r="BW11" s="771"/>
      <c r="BX11" s="771"/>
      <c r="BY11" s="771"/>
      <c r="BZ11" s="771"/>
      <c r="CA11" s="771"/>
      <c r="CB11" s="774"/>
      <c r="CC11" s="771"/>
    </row>
    <row r="12" spans="1:83" s="214" customFormat="1" ht="15">
      <c r="A12" s="546">
        <v>1</v>
      </c>
      <c r="B12" s="546">
        <v>2</v>
      </c>
      <c r="C12" s="546">
        <v>3</v>
      </c>
      <c r="D12" s="547">
        <v>4</v>
      </c>
      <c r="E12" s="547">
        <v>5</v>
      </c>
      <c r="F12" s="547"/>
      <c r="G12" s="546"/>
      <c r="H12" s="546">
        <v>6</v>
      </c>
      <c r="I12" s="547">
        <v>7</v>
      </c>
      <c r="J12" s="547"/>
      <c r="K12" s="547"/>
      <c r="L12" s="547">
        <v>8</v>
      </c>
      <c r="M12" s="547">
        <v>9</v>
      </c>
      <c r="N12" s="547">
        <v>10</v>
      </c>
      <c r="O12" s="547">
        <v>10</v>
      </c>
      <c r="P12" s="547">
        <v>10</v>
      </c>
      <c r="Q12" s="547"/>
      <c r="R12" s="547"/>
      <c r="S12" s="547"/>
      <c r="T12" s="547"/>
      <c r="U12" s="546">
        <v>11</v>
      </c>
      <c r="V12" s="546"/>
      <c r="W12" s="546"/>
      <c r="X12" s="546">
        <v>12</v>
      </c>
      <c r="Y12" s="546">
        <v>13</v>
      </c>
      <c r="Z12" s="548"/>
      <c r="AA12" s="546"/>
      <c r="AB12" s="546">
        <v>13</v>
      </c>
      <c r="AC12" s="546">
        <v>14</v>
      </c>
      <c r="AD12" s="213"/>
      <c r="AE12" s="213"/>
      <c r="AF12" s="546">
        <v>15</v>
      </c>
      <c r="AG12" s="546">
        <v>16</v>
      </c>
      <c r="AH12" s="546"/>
      <c r="AI12" s="546"/>
      <c r="AJ12" s="546"/>
      <c r="AK12" s="546"/>
      <c r="AL12" s="546"/>
      <c r="AM12" s="546"/>
      <c r="AN12" s="546"/>
      <c r="AO12" s="546"/>
      <c r="AP12" s="546"/>
      <c r="AQ12" s="546"/>
      <c r="AR12" s="546"/>
      <c r="AS12" s="546"/>
      <c r="AT12" s="546"/>
      <c r="AU12" s="546"/>
      <c r="AV12" s="546"/>
      <c r="AW12" s="546"/>
      <c r="AX12" s="546"/>
      <c r="AY12" s="546"/>
      <c r="AZ12" s="546"/>
      <c r="BA12" s="546">
        <v>17</v>
      </c>
      <c r="BB12" s="546">
        <v>18</v>
      </c>
      <c r="BC12" s="546"/>
      <c r="BD12" s="546"/>
      <c r="BE12" s="546">
        <v>19</v>
      </c>
      <c r="BF12" s="546">
        <v>20</v>
      </c>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v>21</v>
      </c>
      <c r="CC12" s="546">
        <v>21</v>
      </c>
      <c r="CE12" s="227"/>
    </row>
    <row r="13" spans="1:83" ht="36" customHeight="1">
      <c r="A13" s="414"/>
      <c r="B13" s="414" t="s">
        <v>7</v>
      </c>
      <c r="C13" s="414"/>
      <c r="D13" s="414"/>
      <c r="E13" s="414"/>
      <c r="F13" s="414"/>
      <c r="G13" s="414"/>
      <c r="H13" s="414"/>
      <c r="I13" s="414"/>
      <c r="J13" s="414"/>
      <c r="K13" s="414"/>
      <c r="L13" s="414"/>
      <c r="M13" s="100">
        <f t="shared" ref="M13:BX13" si="0">M17+M100+M149+M14</f>
        <v>495948.48600000003</v>
      </c>
      <c r="N13" s="100">
        <f t="shared" si="0"/>
        <v>1858.18</v>
      </c>
      <c r="O13" s="100">
        <f t="shared" si="0"/>
        <v>1618.2</v>
      </c>
      <c r="P13" s="100">
        <f t="shared" si="0"/>
        <v>474284.77110000001</v>
      </c>
      <c r="Q13" s="100" t="e">
        <f t="shared" si="0"/>
        <v>#VALUE!</v>
      </c>
      <c r="R13" s="100" t="e">
        <f t="shared" si="0"/>
        <v>#VALUE!</v>
      </c>
      <c r="S13" s="100" t="e">
        <f t="shared" si="0"/>
        <v>#VALUE!</v>
      </c>
      <c r="T13" s="100" t="e">
        <f t="shared" si="0"/>
        <v>#VALUE!</v>
      </c>
      <c r="U13" s="100">
        <f t="shared" si="0"/>
        <v>32100.731813999999</v>
      </c>
      <c r="V13" s="100">
        <f t="shared" si="0"/>
        <v>25865.164285999999</v>
      </c>
      <c r="W13" s="100">
        <f t="shared" si="0"/>
        <v>0</v>
      </c>
      <c r="X13" s="100">
        <f t="shared" si="0"/>
        <v>6235.5675279999996</v>
      </c>
      <c r="Y13" s="100" t="e">
        <f t="shared" si="0"/>
        <v>#REF!</v>
      </c>
      <c r="Z13" s="100" t="e">
        <f t="shared" si="0"/>
        <v>#REF!</v>
      </c>
      <c r="AA13" s="100" t="e">
        <f t="shared" si="0"/>
        <v>#REF!</v>
      </c>
      <c r="AB13" s="100">
        <f t="shared" si="0"/>
        <v>288619.91713999998</v>
      </c>
      <c r="AC13" s="100">
        <f t="shared" si="0"/>
        <v>68330.129573000013</v>
      </c>
      <c r="AD13" s="100">
        <f t="shared" si="0"/>
        <v>63370.129573000006</v>
      </c>
      <c r="AE13" s="100">
        <f t="shared" si="0"/>
        <v>4960</v>
      </c>
      <c r="AF13" s="100">
        <f t="shared" si="0"/>
        <v>185081.74</v>
      </c>
      <c r="AG13" s="100">
        <f t="shared" si="0"/>
        <v>35208.047567000001</v>
      </c>
      <c r="AH13" s="100">
        <f t="shared" si="0"/>
        <v>190920.020598</v>
      </c>
      <c r="AI13" s="100">
        <f t="shared" si="0"/>
        <v>27298.18</v>
      </c>
      <c r="AJ13" s="100">
        <f t="shared" si="0"/>
        <v>4618.2</v>
      </c>
      <c r="AK13" s="100">
        <f t="shared" si="0"/>
        <v>173349.640598</v>
      </c>
      <c r="AL13" s="100">
        <f t="shared" si="0"/>
        <v>42198.652572999999</v>
      </c>
      <c r="AM13" s="100">
        <f t="shared" si="0"/>
        <v>4959.5619999999999</v>
      </c>
      <c r="AN13" s="100">
        <f t="shared" si="0"/>
        <v>109914.98145800001</v>
      </c>
      <c r="AO13" s="100">
        <f t="shared" si="0"/>
        <v>16276.444566999999</v>
      </c>
      <c r="AP13" s="100">
        <f t="shared" si="0"/>
        <v>190793.91533799999</v>
      </c>
      <c r="AQ13" s="100">
        <f t="shared" si="0"/>
        <v>27298.18</v>
      </c>
      <c r="AR13" s="100">
        <f t="shared" si="0"/>
        <v>4618.2</v>
      </c>
      <c r="AS13" s="100">
        <f t="shared" si="0"/>
        <v>159377.53533799999</v>
      </c>
      <c r="AT13" s="100">
        <f t="shared" si="0"/>
        <v>42072.547313000003</v>
      </c>
      <c r="AU13" s="100">
        <f t="shared" si="0"/>
        <v>4959.5619999999999</v>
      </c>
      <c r="AV13" s="100">
        <f t="shared" si="0"/>
        <v>96068.981458000009</v>
      </c>
      <c r="AW13" s="100">
        <f t="shared" si="0"/>
        <v>16276.444566999999</v>
      </c>
      <c r="AX13" s="100">
        <f t="shared" si="0"/>
        <v>58032.887000000002</v>
      </c>
      <c r="AY13" s="100">
        <f t="shared" si="0"/>
        <v>1650</v>
      </c>
      <c r="AZ13" s="100">
        <f t="shared" si="0"/>
        <v>0</v>
      </c>
      <c r="BA13" s="100">
        <f t="shared" si="0"/>
        <v>76038.037000000011</v>
      </c>
      <c r="BB13" s="100">
        <f t="shared" si="0"/>
        <v>10406</v>
      </c>
      <c r="BC13" s="100">
        <f t="shared" si="0"/>
        <v>10406</v>
      </c>
      <c r="BD13" s="100">
        <f t="shared" si="0"/>
        <v>0</v>
      </c>
      <c r="BE13" s="100">
        <f t="shared" si="0"/>
        <v>48899.520000000004</v>
      </c>
      <c r="BF13" s="100">
        <f t="shared" si="0"/>
        <v>16732.517</v>
      </c>
      <c r="BG13" s="100" t="e">
        <f t="shared" si="0"/>
        <v>#REF!</v>
      </c>
      <c r="BH13" s="100" t="e">
        <f t="shared" si="0"/>
        <v>#REF!</v>
      </c>
      <c r="BI13" s="100" t="e">
        <f t="shared" si="0"/>
        <v>#REF!</v>
      </c>
      <c r="BJ13" s="100" t="e">
        <f t="shared" si="0"/>
        <v>#REF!</v>
      </c>
      <c r="BK13" s="100" t="e">
        <f t="shared" si="0"/>
        <v>#REF!</v>
      </c>
      <c r="BL13" s="100" t="e">
        <f t="shared" si="0"/>
        <v>#REF!</v>
      </c>
      <c r="BM13" s="100" t="e">
        <f t="shared" si="0"/>
        <v>#REF!</v>
      </c>
      <c r="BN13" s="100" t="e">
        <f t="shared" si="0"/>
        <v>#REF!</v>
      </c>
      <c r="BO13" s="100" t="e">
        <f t="shared" si="0"/>
        <v>#REF!</v>
      </c>
      <c r="BP13" s="100" t="e">
        <f t="shared" si="0"/>
        <v>#REF!</v>
      </c>
      <c r="BQ13" s="100" t="e">
        <f t="shared" si="0"/>
        <v>#REF!</v>
      </c>
      <c r="BR13" s="100" t="e">
        <f t="shared" si="0"/>
        <v>#REF!</v>
      </c>
      <c r="BS13" s="100" t="e">
        <f t="shared" si="0"/>
        <v>#REF!</v>
      </c>
      <c r="BT13" s="100" t="e">
        <f t="shared" si="0"/>
        <v>#REF!</v>
      </c>
      <c r="BU13" s="100" t="e">
        <f t="shared" si="0"/>
        <v>#REF!</v>
      </c>
      <c r="BV13" s="100" t="e">
        <f t="shared" si="0"/>
        <v>#REF!</v>
      </c>
      <c r="BW13" s="100" t="e">
        <f t="shared" si="0"/>
        <v>#REF!</v>
      </c>
      <c r="BX13" s="100" t="e">
        <f t="shared" si="0"/>
        <v>#REF!</v>
      </c>
      <c r="BY13" s="100" t="e">
        <f t="shared" ref="BY13:CB13" si="1">BY17+BY100+BY149+BY14</f>
        <v>#REF!</v>
      </c>
      <c r="BZ13" s="100" t="e">
        <f t="shared" si="1"/>
        <v>#REF!</v>
      </c>
      <c r="CA13" s="100">
        <f t="shared" si="1"/>
        <v>0</v>
      </c>
      <c r="CB13" s="100">
        <f t="shared" si="1"/>
        <v>179.14280100000002</v>
      </c>
      <c r="CC13" s="414"/>
      <c r="CE13" s="114"/>
    </row>
    <row r="14" spans="1:83" ht="35.25" customHeight="1">
      <c r="A14" s="477" t="s">
        <v>11</v>
      </c>
      <c r="B14" s="418" t="s">
        <v>3641</v>
      </c>
      <c r="C14" s="191"/>
      <c r="D14" s="478"/>
      <c r="E14" s="191"/>
      <c r="F14" s="191"/>
      <c r="G14" s="191"/>
      <c r="H14" s="191"/>
      <c r="I14" s="479"/>
      <c r="J14" s="479"/>
      <c r="K14" s="478"/>
      <c r="L14" s="478"/>
      <c r="M14" s="303">
        <f>M16+M15</f>
        <v>9300</v>
      </c>
      <c r="N14" s="303">
        <f t="shared" ref="N14:BY14" si="2">N16+N15</f>
        <v>0</v>
      </c>
      <c r="O14" s="303">
        <f t="shared" si="2"/>
        <v>0</v>
      </c>
      <c r="P14" s="303">
        <f t="shared" si="2"/>
        <v>9300</v>
      </c>
      <c r="Q14" s="303" t="e">
        <f t="shared" si="2"/>
        <v>#VALUE!</v>
      </c>
      <c r="R14" s="303" t="e">
        <f t="shared" si="2"/>
        <v>#VALUE!</v>
      </c>
      <c r="S14" s="303" t="e">
        <f t="shared" si="2"/>
        <v>#VALUE!</v>
      </c>
      <c r="T14" s="303" t="e">
        <f t="shared" si="2"/>
        <v>#VALUE!</v>
      </c>
      <c r="U14" s="303">
        <f t="shared" si="2"/>
        <v>0</v>
      </c>
      <c r="V14" s="303">
        <f t="shared" si="2"/>
        <v>0</v>
      </c>
      <c r="W14" s="303">
        <f t="shared" si="2"/>
        <v>0</v>
      </c>
      <c r="X14" s="303">
        <f t="shared" si="2"/>
        <v>0</v>
      </c>
      <c r="Y14" s="303">
        <f t="shared" si="2"/>
        <v>10497.684244</v>
      </c>
      <c r="Z14" s="303">
        <f t="shared" si="2"/>
        <v>0</v>
      </c>
      <c r="AA14" s="303">
        <f t="shared" si="2"/>
        <v>0</v>
      </c>
      <c r="AB14" s="303">
        <f t="shared" si="2"/>
        <v>10497.684244</v>
      </c>
      <c r="AC14" s="303">
        <f t="shared" si="2"/>
        <v>0</v>
      </c>
      <c r="AD14" s="303">
        <f t="shared" si="2"/>
        <v>0</v>
      </c>
      <c r="AE14" s="303">
        <f t="shared" si="2"/>
        <v>0</v>
      </c>
      <c r="AF14" s="303">
        <f t="shared" si="2"/>
        <v>10297.684244</v>
      </c>
      <c r="AG14" s="303">
        <f t="shared" si="2"/>
        <v>200</v>
      </c>
      <c r="AH14" s="303">
        <f t="shared" si="2"/>
        <v>7151.2724550000003</v>
      </c>
      <c r="AI14" s="303">
        <f t="shared" si="2"/>
        <v>0</v>
      </c>
      <c r="AJ14" s="303">
        <f t="shared" si="2"/>
        <v>0</v>
      </c>
      <c r="AK14" s="303">
        <f t="shared" si="2"/>
        <v>7151.2724550000003</v>
      </c>
      <c r="AL14" s="303">
        <f t="shared" si="2"/>
        <v>0</v>
      </c>
      <c r="AM14" s="303">
        <f t="shared" si="2"/>
        <v>0</v>
      </c>
      <c r="AN14" s="303">
        <f t="shared" si="2"/>
        <v>7151.2724550000003</v>
      </c>
      <c r="AO14" s="303">
        <f t="shared" si="2"/>
        <v>0</v>
      </c>
      <c r="AP14" s="303">
        <f t="shared" si="2"/>
        <v>7151.2724550000003</v>
      </c>
      <c r="AQ14" s="303">
        <f t="shared" si="2"/>
        <v>0</v>
      </c>
      <c r="AR14" s="303">
        <f t="shared" si="2"/>
        <v>0</v>
      </c>
      <c r="AS14" s="303">
        <f t="shared" si="2"/>
        <v>7151.2724550000003</v>
      </c>
      <c r="AT14" s="303">
        <f t="shared" si="2"/>
        <v>0</v>
      </c>
      <c r="AU14" s="303">
        <f t="shared" si="2"/>
        <v>0</v>
      </c>
      <c r="AV14" s="303">
        <f t="shared" si="2"/>
        <v>7151.2724550000003</v>
      </c>
      <c r="AW14" s="303">
        <f t="shared" si="2"/>
        <v>0</v>
      </c>
      <c r="AX14" s="303">
        <f t="shared" si="2"/>
        <v>0</v>
      </c>
      <c r="AY14" s="303">
        <f t="shared" si="2"/>
        <v>0</v>
      </c>
      <c r="AZ14" s="303">
        <f t="shared" si="2"/>
        <v>0</v>
      </c>
      <c r="BA14" s="303">
        <f t="shared" si="2"/>
        <v>1020</v>
      </c>
      <c r="BB14" s="303">
        <f t="shared" si="2"/>
        <v>0</v>
      </c>
      <c r="BC14" s="303">
        <f t="shared" si="2"/>
        <v>0</v>
      </c>
      <c r="BD14" s="303">
        <f t="shared" si="2"/>
        <v>0</v>
      </c>
      <c r="BE14" s="303">
        <f t="shared" si="2"/>
        <v>1020</v>
      </c>
      <c r="BF14" s="303">
        <f t="shared" si="2"/>
        <v>0</v>
      </c>
      <c r="BG14" s="303">
        <f t="shared" si="2"/>
        <v>0</v>
      </c>
      <c r="BH14" s="303">
        <f t="shared" si="2"/>
        <v>0</v>
      </c>
      <c r="BI14" s="303">
        <f t="shared" si="2"/>
        <v>0</v>
      </c>
      <c r="BJ14" s="303">
        <f t="shared" si="2"/>
        <v>0</v>
      </c>
      <c r="BK14" s="303">
        <f t="shared" si="2"/>
        <v>0</v>
      </c>
      <c r="BL14" s="303">
        <f t="shared" si="2"/>
        <v>0</v>
      </c>
      <c r="BM14" s="303">
        <f t="shared" si="2"/>
        <v>0</v>
      </c>
      <c r="BN14" s="303">
        <f t="shared" si="2"/>
        <v>0</v>
      </c>
      <c r="BO14" s="303">
        <f t="shared" si="2"/>
        <v>0</v>
      </c>
      <c r="BP14" s="303">
        <f t="shared" si="2"/>
        <v>0</v>
      </c>
      <c r="BQ14" s="303">
        <f t="shared" si="2"/>
        <v>0</v>
      </c>
      <c r="BR14" s="303">
        <f t="shared" si="2"/>
        <v>0</v>
      </c>
      <c r="BS14" s="303">
        <f t="shared" si="2"/>
        <v>0</v>
      </c>
      <c r="BT14" s="303">
        <f t="shared" si="2"/>
        <v>0</v>
      </c>
      <c r="BU14" s="303">
        <f t="shared" si="2"/>
        <v>0</v>
      </c>
      <c r="BV14" s="303">
        <f t="shared" si="2"/>
        <v>0</v>
      </c>
      <c r="BW14" s="303">
        <f t="shared" si="2"/>
        <v>0</v>
      </c>
      <c r="BX14" s="303">
        <f t="shared" si="2"/>
        <v>0</v>
      </c>
      <c r="BY14" s="303">
        <f t="shared" si="2"/>
        <v>0</v>
      </c>
      <c r="BZ14" s="303">
        <f t="shared" ref="BZ14:CB14" si="3">BZ16+BZ15</f>
        <v>0</v>
      </c>
      <c r="CA14" s="303">
        <f t="shared" si="3"/>
        <v>0</v>
      </c>
      <c r="CB14" s="303">
        <f t="shared" si="3"/>
        <v>0</v>
      </c>
      <c r="CC14" s="479"/>
      <c r="CE14" s="114"/>
    </row>
    <row r="15" spans="1:83" ht="46.15" outlineLevel="1">
      <c r="A15" s="433">
        <v>1</v>
      </c>
      <c r="B15" s="549" t="s">
        <v>2105</v>
      </c>
      <c r="C15" s="420" t="s">
        <v>3646</v>
      </c>
      <c r="D15" s="420" t="s">
        <v>2106</v>
      </c>
      <c r="E15" s="420" t="s">
        <v>49</v>
      </c>
      <c r="F15" s="431" t="s">
        <v>2107</v>
      </c>
      <c r="G15" s="422"/>
      <c r="H15" s="420" t="s">
        <v>2108</v>
      </c>
      <c r="I15" s="420" t="s">
        <v>76</v>
      </c>
      <c r="J15" s="422">
        <v>2022</v>
      </c>
      <c r="K15" s="420" t="s">
        <v>2109</v>
      </c>
      <c r="L15" s="420" t="s">
        <v>2110</v>
      </c>
      <c r="M15" s="169">
        <f t="shared" ref="M15" si="4">SUM(N15:P15)</f>
        <v>9300</v>
      </c>
      <c r="N15" s="169">
        <v>0</v>
      </c>
      <c r="O15" s="169">
        <v>0</v>
      </c>
      <c r="P15" s="169">
        <v>9300</v>
      </c>
      <c r="Q15" s="70" t="s">
        <v>2111</v>
      </c>
      <c r="R15" s="70" t="s">
        <v>2108</v>
      </c>
      <c r="S15" s="70" t="s">
        <v>2112</v>
      </c>
      <c r="T15" s="70" t="s">
        <v>2113</v>
      </c>
      <c r="U15" s="70">
        <f t="shared" ref="U15" si="5">SUM(V15:X15)</f>
        <v>0</v>
      </c>
      <c r="V15" s="70">
        <v>0</v>
      </c>
      <c r="W15" s="70">
        <v>0</v>
      </c>
      <c r="X15" s="70">
        <v>0</v>
      </c>
      <c r="Y15" s="70">
        <f t="shared" ref="Y15:Y16" si="6">SUM(Z15:AB15)</f>
        <v>6900</v>
      </c>
      <c r="Z15" s="70">
        <v>0</v>
      </c>
      <c r="AA15" s="70">
        <v>0</v>
      </c>
      <c r="AB15" s="70">
        <f t="shared" ref="AB15:AB16" si="7">SUM(AD15:AG15)</f>
        <v>6900</v>
      </c>
      <c r="AC15" s="70">
        <f t="shared" ref="AC15:AC78" si="8">AD15+AE15</f>
        <v>0</v>
      </c>
      <c r="AD15" s="70">
        <v>0</v>
      </c>
      <c r="AE15" s="70">
        <v>0</v>
      </c>
      <c r="AF15" s="70">
        <v>6700</v>
      </c>
      <c r="AG15" s="70">
        <v>200</v>
      </c>
      <c r="AH15" s="70">
        <f t="shared" ref="AH15" si="9">SUM(AI15:AK15)</f>
        <v>7151.2724550000003</v>
      </c>
      <c r="AI15" s="70">
        <v>0</v>
      </c>
      <c r="AJ15" s="70">
        <v>0</v>
      </c>
      <c r="AK15" s="70">
        <f t="shared" ref="AK15" si="10">SUM(AL15:AO15)</f>
        <v>7151.2724550000003</v>
      </c>
      <c r="AL15" s="70">
        <v>0</v>
      </c>
      <c r="AM15" s="70">
        <v>0</v>
      </c>
      <c r="AN15" s="70">
        <v>7151.2724550000003</v>
      </c>
      <c r="AO15" s="70">
        <v>0</v>
      </c>
      <c r="AP15" s="70">
        <f t="shared" ref="AP15" si="11">SUM(AQ15:AS15)</f>
        <v>7151.2724550000003</v>
      </c>
      <c r="AQ15" s="70">
        <v>0</v>
      </c>
      <c r="AR15" s="70">
        <v>0</v>
      </c>
      <c r="AS15" s="70">
        <f t="shared" ref="AS15" si="12">SUM(AT15:AW15)</f>
        <v>7151.2724550000003</v>
      </c>
      <c r="AT15" s="70">
        <v>0</v>
      </c>
      <c r="AU15" s="70">
        <v>0</v>
      </c>
      <c r="AV15" s="70">
        <v>7151.2724550000003</v>
      </c>
      <c r="AW15" s="70">
        <v>0</v>
      </c>
      <c r="AX15" s="70">
        <f t="shared" ref="AX15" si="13">SUM(AY15:BA15)</f>
        <v>0</v>
      </c>
      <c r="AY15" s="70">
        <v>0</v>
      </c>
      <c r="AZ15" s="70">
        <v>0</v>
      </c>
      <c r="BA15" s="70">
        <f t="shared" ref="BA15" si="14">SUM(BC15:BF15)</f>
        <v>0</v>
      </c>
      <c r="BB15" s="67">
        <f t="shared" ref="BB15" si="15">SUM(BC15:BD15)</f>
        <v>0</v>
      </c>
      <c r="BC15" s="70">
        <v>0</v>
      </c>
      <c r="BD15" s="70">
        <v>0</v>
      </c>
      <c r="BE15" s="70">
        <v>0</v>
      </c>
      <c r="BF15" s="70">
        <v>0</v>
      </c>
      <c r="BG15" s="133">
        <f t="shared" ref="BG15" si="16">SUM(BH15:BJ15)</f>
        <v>0</v>
      </c>
      <c r="BH15" s="133">
        <v>0</v>
      </c>
      <c r="BI15" s="133">
        <v>0</v>
      </c>
      <c r="BJ15" s="133">
        <f t="shared" ref="BJ15" si="17">SUM(BK15:BN15)</f>
        <v>0</v>
      </c>
      <c r="BK15" s="133">
        <v>0</v>
      </c>
      <c r="BL15" s="133">
        <v>0</v>
      </c>
      <c r="BM15" s="133">
        <v>0</v>
      </c>
      <c r="BN15" s="133">
        <v>0</v>
      </c>
      <c r="BO15" s="133">
        <f t="shared" ref="BO15" si="18">SUM(BP15:BR15)</f>
        <v>0</v>
      </c>
      <c r="BP15" s="133">
        <v>0</v>
      </c>
      <c r="BQ15" s="133">
        <v>0</v>
      </c>
      <c r="BR15" s="133">
        <v>0</v>
      </c>
      <c r="BS15" s="133">
        <f t="shared" ref="BS15" si="19">SUM(BT15:BV15)</f>
        <v>0</v>
      </c>
      <c r="BT15" s="133">
        <v>0</v>
      </c>
      <c r="BU15" s="133">
        <v>0</v>
      </c>
      <c r="BV15" s="133">
        <v>0</v>
      </c>
      <c r="BW15" s="133"/>
      <c r="BX15" s="133"/>
      <c r="BY15" s="133"/>
      <c r="BZ15" s="133"/>
      <c r="CA15" s="133"/>
      <c r="CB15" s="133"/>
      <c r="CC15" s="434"/>
    </row>
    <row r="16" spans="1:83" ht="60" customHeight="1" outlineLevel="1">
      <c r="A16" s="550">
        <v>2</v>
      </c>
      <c r="B16" s="549" t="s">
        <v>880</v>
      </c>
      <c r="C16" s="420" t="s">
        <v>881</v>
      </c>
      <c r="D16" s="420" t="s">
        <v>570</v>
      </c>
      <c r="E16" s="420"/>
      <c r="F16" s="431"/>
      <c r="G16" s="422"/>
      <c r="H16" s="420"/>
      <c r="I16" s="420"/>
      <c r="J16" s="422"/>
      <c r="K16" s="420"/>
      <c r="L16" s="420"/>
      <c r="M16" s="169"/>
      <c r="N16" s="169">
        <v>0</v>
      </c>
      <c r="O16" s="169">
        <v>0</v>
      </c>
      <c r="P16" s="169"/>
      <c r="Q16" s="70"/>
      <c r="R16" s="70"/>
      <c r="S16" s="169"/>
      <c r="T16" s="70"/>
      <c r="U16" s="70"/>
      <c r="V16" s="70"/>
      <c r="W16" s="70"/>
      <c r="X16" s="70"/>
      <c r="Y16" s="70">
        <f t="shared" si="6"/>
        <v>3597.684244</v>
      </c>
      <c r="Z16" s="70"/>
      <c r="AA16" s="70"/>
      <c r="AB16" s="70">
        <f t="shared" si="7"/>
        <v>3597.684244</v>
      </c>
      <c r="AC16" s="70">
        <f t="shared" si="8"/>
        <v>0</v>
      </c>
      <c r="AD16" s="70"/>
      <c r="AE16" s="70"/>
      <c r="AF16" s="70">
        <f>3597684244/1000000</f>
        <v>3597.684244</v>
      </c>
      <c r="AG16" s="70"/>
      <c r="AH16" s="70"/>
      <c r="AI16" s="70"/>
      <c r="AJ16" s="70"/>
      <c r="AK16" s="70">
        <f t="shared" ref="AK16" si="20">SUM(AL16:AO16)</f>
        <v>0</v>
      </c>
      <c r="AL16" s="70"/>
      <c r="AM16" s="70"/>
      <c r="AN16" s="70"/>
      <c r="AO16" s="70"/>
      <c r="AP16" s="70"/>
      <c r="AQ16" s="70"/>
      <c r="AR16" s="70"/>
      <c r="AS16" s="70"/>
      <c r="AT16" s="70"/>
      <c r="AU16" s="70"/>
      <c r="AV16" s="70"/>
      <c r="AW16" s="70"/>
      <c r="AX16" s="70"/>
      <c r="AY16" s="70"/>
      <c r="AZ16" s="70"/>
      <c r="BA16" s="70">
        <f t="shared" ref="BA16" si="21">SUM(BC16:BF16)</f>
        <v>1020</v>
      </c>
      <c r="BB16" s="67">
        <f t="shared" ref="BB16" si="22">SUM(BC16:BD16)</f>
        <v>0</v>
      </c>
      <c r="BC16" s="70"/>
      <c r="BD16" s="70"/>
      <c r="BE16" s="70">
        <f>1020000000/1000000</f>
        <v>1020</v>
      </c>
      <c r="BF16" s="70"/>
      <c r="BG16" s="133"/>
      <c r="BH16" s="133"/>
      <c r="BI16" s="133"/>
      <c r="BJ16" s="133"/>
      <c r="BK16" s="133"/>
      <c r="BL16" s="133"/>
      <c r="BM16" s="133"/>
      <c r="BN16" s="133"/>
      <c r="BO16" s="133"/>
      <c r="BP16" s="133"/>
      <c r="BQ16" s="133"/>
      <c r="BR16" s="133"/>
      <c r="BS16" s="133"/>
      <c r="BT16" s="133"/>
      <c r="BU16" s="133"/>
      <c r="BV16" s="133"/>
      <c r="BW16" s="133"/>
      <c r="BX16" s="133"/>
      <c r="BY16" s="133"/>
      <c r="BZ16" s="133"/>
      <c r="CA16" s="133"/>
      <c r="CB16" s="133"/>
      <c r="CC16" s="454"/>
    </row>
    <row r="17" spans="1:83" ht="42" customHeight="1">
      <c r="A17" s="418" t="s">
        <v>10</v>
      </c>
      <c r="B17" s="418" t="s">
        <v>3665</v>
      </c>
      <c r="C17" s="418"/>
      <c r="D17" s="418"/>
      <c r="E17" s="418"/>
      <c r="F17" s="418"/>
      <c r="G17" s="418"/>
      <c r="H17" s="418"/>
      <c r="I17" s="418"/>
      <c r="J17" s="418"/>
      <c r="K17" s="418"/>
      <c r="L17" s="418"/>
      <c r="M17" s="67">
        <f>M18+M51+M75</f>
        <v>486648.48600000003</v>
      </c>
      <c r="N17" s="67">
        <f t="shared" ref="N17:BZ17" si="23">N18+N51+N75</f>
        <v>1858.18</v>
      </c>
      <c r="O17" s="67">
        <f t="shared" si="23"/>
        <v>1618.2</v>
      </c>
      <c r="P17" s="67">
        <f>P18+P51+P75</f>
        <v>464984.77110000001</v>
      </c>
      <c r="Q17" s="67"/>
      <c r="R17" s="67"/>
      <c r="S17" s="67"/>
      <c r="T17" s="67"/>
      <c r="U17" s="67">
        <f t="shared" si="23"/>
        <v>32100.731813999999</v>
      </c>
      <c r="V17" s="67">
        <f t="shared" si="23"/>
        <v>25865.164285999999</v>
      </c>
      <c r="W17" s="67">
        <f t="shared" si="23"/>
        <v>0</v>
      </c>
      <c r="X17" s="67">
        <f t="shared" si="23"/>
        <v>6235.5675279999996</v>
      </c>
      <c r="Y17" s="67">
        <f t="shared" si="23"/>
        <v>267663.29713999998</v>
      </c>
      <c r="Z17" s="67">
        <f t="shared" si="23"/>
        <v>24448.18</v>
      </c>
      <c r="AA17" s="67">
        <f t="shared" si="23"/>
        <v>4618.2</v>
      </c>
      <c r="AB17" s="67">
        <f t="shared" si="23"/>
        <v>239090.91713999998</v>
      </c>
      <c r="AC17" s="67">
        <f t="shared" si="8"/>
        <v>68330.129573000013</v>
      </c>
      <c r="AD17" s="67">
        <f t="shared" si="23"/>
        <v>63370.129573000006</v>
      </c>
      <c r="AE17" s="67">
        <f t="shared" si="23"/>
        <v>4960</v>
      </c>
      <c r="AF17" s="67">
        <f t="shared" si="23"/>
        <v>135752.74</v>
      </c>
      <c r="AG17" s="67">
        <f t="shared" si="23"/>
        <v>35008.047567000001</v>
      </c>
      <c r="AH17" s="67">
        <f t="shared" si="23"/>
        <v>173826.44814300002</v>
      </c>
      <c r="AI17" s="67">
        <f t="shared" si="23"/>
        <v>27298.18</v>
      </c>
      <c r="AJ17" s="67">
        <f t="shared" si="23"/>
        <v>4618.2</v>
      </c>
      <c r="AK17" s="67">
        <f t="shared" si="23"/>
        <v>142410.06814300001</v>
      </c>
      <c r="AL17" s="67">
        <f t="shared" si="23"/>
        <v>42198.652572999999</v>
      </c>
      <c r="AM17" s="67">
        <f t="shared" si="23"/>
        <v>4959.5619999999999</v>
      </c>
      <c r="AN17" s="67">
        <f t="shared" si="23"/>
        <v>78975.409003000008</v>
      </c>
      <c r="AO17" s="67">
        <f t="shared" si="23"/>
        <v>16276.444566999999</v>
      </c>
      <c r="AP17" s="67">
        <f t="shared" si="23"/>
        <v>173700.342883</v>
      </c>
      <c r="AQ17" s="67">
        <f t="shared" si="23"/>
        <v>27298.18</v>
      </c>
      <c r="AR17" s="67">
        <f t="shared" si="23"/>
        <v>4618.2</v>
      </c>
      <c r="AS17" s="67">
        <f t="shared" si="23"/>
        <v>142283.962883</v>
      </c>
      <c r="AT17" s="67">
        <f t="shared" si="23"/>
        <v>42072.547313000003</v>
      </c>
      <c r="AU17" s="67">
        <f t="shared" si="23"/>
        <v>4959.5619999999999</v>
      </c>
      <c r="AV17" s="67">
        <f t="shared" si="23"/>
        <v>78975.409003000008</v>
      </c>
      <c r="AW17" s="67">
        <f t="shared" si="23"/>
        <v>16276.444566999999</v>
      </c>
      <c r="AX17" s="67">
        <f t="shared" si="23"/>
        <v>50958.037000000004</v>
      </c>
      <c r="AY17" s="67">
        <f t="shared" si="23"/>
        <v>1650</v>
      </c>
      <c r="AZ17" s="67">
        <f t="shared" si="23"/>
        <v>0</v>
      </c>
      <c r="BA17" s="67">
        <f>BA18+BA51+BA75</f>
        <v>49308.037000000004</v>
      </c>
      <c r="BB17" s="67">
        <f t="shared" ref="BB17:BB80" si="24">SUM(BC17:BD17)</f>
        <v>10406</v>
      </c>
      <c r="BC17" s="67">
        <f t="shared" si="23"/>
        <v>10406</v>
      </c>
      <c r="BD17" s="67">
        <f t="shared" si="23"/>
        <v>0</v>
      </c>
      <c r="BE17" s="67">
        <f t="shared" si="23"/>
        <v>22169.52</v>
      </c>
      <c r="BF17" s="67">
        <f t="shared" si="23"/>
        <v>16732.517</v>
      </c>
      <c r="BG17" s="67">
        <f t="shared" si="23"/>
        <v>35230.794999999998</v>
      </c>
      <c r="BH17" s="67">
        <f t="shared" si="23"/>
        <v>1650</v>
      </c>
      <c r="BI17" s="67">
        <f t="shared" si="23"/>
        <v>0</v>
      </c>
      <c r="BJ17" s="67">
        <f t="shared" si="23"/>
        <v>33580.794999999998</v>
      </c>
      <c r="BK17" s="67">
        <f t="shared" si="23"/>
        <v>10136.1</v>
      </c>
      <c r="BL17" s="67">
        <f t="shared" si="23"/>
        <v>0</v>
      </c>
      <c r="BM17" s="67">
        <f t="shared" si="23"/>
        <v>6712.1779999999999</v>
      </c>
      <c r="BN17" s="67">
        <f t="shared" si="23"/>
        <v>16732.517</v>
      </c>
      <c r="BO17" s="67">
        <f t="shared" si="23"/>
        <v>15.912260000000021</v>
      </c>
      <c r="BP17" s="67">
        <f t="shared" si="23"/>
        <v>0</v>
      </c>
      <c r="BQ17" s="67">
        <f t="shared" si="23"/>
        <v>0</v>
      </c>
      <c r="BR17" s="67">
        <f t="shared" si="23"/>
        <v>15.912260000000021</v>
      </c>
      <c r="BS17" s="67">
        <f t="shared" si="23"/>
        <v>0</v>
      </c>
      <c r="BT17" s="67">
        <f t="shared" si="23"/>
        <v>0</v>
      </c>
      <c r="BU17" s="67">
        <f t="shared" si="23"/>
        <v>0</v>
      </c>
      <c r="BV17" s="67">
        <f t="shared" si="23"/>
        <v>0</v>
      </c>
      <c r="BW17" s="67">
        <f t="shared" si="23"/>
        <v>17352.508000000002</v>
      </c>
      <c r="BX17" s="67">
        <f t="shared" si="23"/>
        <v>0</v>
      </c>
      <c r="BY17" s="67">
        <f t="shared" si="23"/>
        <v>0</v>
      </c>
      <c r="BZ17" s="67">
        <f t="shared" si="23"/>
        <v>17352.508000000002</v>
      </c>
      <c r="CA17" s="67">
        <f t="shared" ref="CA17:CB17" si="25">CA18+CA51+CA75</f>
        <v>0</v>
      </c>
      <c r="CB17" s="67">
        <f t="shared" si="25"/>
        <v>15.95226000000002</v>
      </c>
      <c r="CC17" s="454" t="s">
        <v>3692</v>
      </c>
      <c r="CE17" s="114"/>
    </row>
    <row r="18" spans="1:83" ht="27.75" customHeight="1">
      <c r="A18" s="551" t="s">
        <v>12</v>
      </c>
      <c r="B18" s="551" t="s">
        <v>2122</v>
      </c>
      <c r="C18" s="552"/>
      <c r="D18" s="485"/>
      <c r="E18" s="552"/>
      <c r="F18" s="552"/>
      <c r="G18" s="552"/>
      <c r="H18" s="552"/>
      <c r="I18" s="552"/>
      <c r="J18" s="552"/>
      <c r="K18" s="552"/>
      <c r="L18" s="552"/>
      <c r="M18" s="209">
        <f>M19+M31+M35</f>
        <v>340956.924</v>
      </c>
      <c r="N18" s="209">
        <f t="shared" ref="N18:X18" si="26">N19+N31+N35</f>
        <v>208.18</v>
      </c>
      <c r="O18" s="209">
        <f t="shared" si="26"/>
        <v>1618.2</v>
      </c>
      <c r="P18" s="209">
        <f>P19+P31+P35</f>
        <v>320943.20909999998</v>
      </c>
      <c r="Q18" s="209">
        <f t="shared" si="26"/>
        <v>0</v>
      </c>
      <c r="R18" s="209">
        <f t="shared" si="26"/>
        <v>0</v>
      </c>
      <c r="S18" s="209">
        <f t="shared" si="26"/>
        <v>0</v>
      </c>
      <c r="T18" s="209">
        <f t="shared" si="26"/>
        <v>0</v>
      </c>
      <c r="U18" s="209">
        <f t="shared" si="26"/>
        <v>32050.731813999999</v>
      </c>
      <c r="V18" s="209">
        <f t="shared" si="26"/>
        <v>25865.164285999999</v>
      </c>
      <c r="W18" s="209">
        <f t="shared" si="26"/>
        <v>0</v>
      </c>
      <c r="X18" s="209">
        <f t="shared" si="26"/>
        <v>6185.5675279999996</v>
      </c>
      <c r="Y18" s="209">
        <f>Y19+Y31+Y35</f>
        <v>189480.64999999997</v>
      </c>
      <c r="Z18" s="209">
        <f t="shared" ref="Z18:CB18" si="27">Z19+Z31+Z35</f>
        <v>19638.18</v>
      </c>
      <c r="AA18" s="209">
        <f t="shared" si="27"/>
        <v>1618.2</v>
      </c>
      <c r="AB18" s="209">
        <f t="shared" si="27"/>
        <v>168718.27</v>
      </c>
      <c r="AC18" s="67">
        <f t="shared" si="8"/>
        <v>31982</v>
      </c>
      <c r="AD18" s="209">
        <f t="shared" si="27"/>
        <v>29033</v>
      </c>
      <c r="AE18" s="209">
        <f t="shared" si="27"/>
        <v>2949</v>
      </c>
      <c r="AF18" s="209">
        <f t="shared" si="27"/>
        <v>113024.755</v>
      </c>
      <c r="AG18" s="209">
        <f t="shared" si="27"/>
        <v>23711.514999999999</v>
      </c>
      <c r="AH18" s="209">
        <f t="shared" si="27"/>
        <v>102397.57257600001</v>
      </c>
      <c r="AI18" s="209">
        <f t="shared" si="27"/>
        <v>24138.18</v>
      </c>
      <c r="AJ18" s="209">
        <f t="shared" si="27"/>
        <v>1618.2</v>
      </c>
      <c r="AK18" s="209">
        <f t="shared" si="27"/>
        <v>76641.192576000001</v>
      </c>
      <c r="AL18" s="209">
        <f t="shared" si="27"/>
        <v>13055.829572999999</v>
      </c>
      <c r="AM18" s="209">
        <f t="shared" si="27"/>
        <v>2948.5619999999999</v>
      </c>
      <c r="AN18" s="209">
        <f t="shared" si="27"/>
        <v>55852.353003000011</v>
      </c>
      <c r="AO18" s="209">
        <f t="shared" si="27"/>
        <v>4784.4480000000003</v>
      </c>
      <c r="AP18" s="209">
        <f t="shared" si="27"/>
        <v>102287.37957599999</v>
      </c>
      <c r="AQ18" s="209">
        <f t="shared" si="27"/>
        <v>24138.18</v>
      </c>
      <c r="AR18" s="209">
        <f t="shared" si="27"/>
        <v>1618.2</v>
      </c>
      <c r="AS18" s="209">
        <f t="shared" si="27"/>
        <v>76530.999576000002</v>
      </c>
      <c r="AT18" s="209">
        <f t="shared" si="27"/>
        <v>12945.636573</v>
      </c>
      <c r="AU18" s="209">
        <f t="shared" si="27"/>
        <v>2948.5619999999999</v>
      </c>
      <c r="AV18" s="209">
        <f t="shared" si="27"/>
        <v>55852.353003000011</v>
      </c>
      <c r="AW18" s="209">
        <f t="shared" si="27"/>
        <v>4784.4480000000003</v>
      </c>
      <c r="AX18" s="209">
        <f t="shared" si="27"/>
        <v>43826.409</v>
      </c>
      <c r="AY18" s="209">
        <f t="shared" si="27"/>
        <v>0</v>
      </c>
      <c r="AZ18" s="209">
        <f t="shared" si="27"/>
        <v>0</v>
      </c>
      <c r="BA18" s="209">
        <f t="shared" si="27"/>
        <v>43826.409</v>
      </c>
      <c r="BB18" s="67">
        <f t="shared" si="24"/>
        <v>5970</v>
      </c>
      <c r="BC18" s="209">
        <f t="shared" si="27"/>
        <v>5970</v>
      </c>
      <c r="BD18" s="209">
        <f t="shared" si="27"/>
        <v>0</v>
      </c>
      <c r="BE18" s="209">
        <f t="shared" si="27"/>
        <v>21123.892</v>
      </c>
      <c r="BF18" s="209">
        <f t="shared" si="27"/>
        <v>16732.517</v>
      </c>
      <c r="BG18" s="209">
        <f t="shared" si="27"/>
        <v>29323.910999999996</v>
      </c>
      <c r="BH18" s="209">
        <f t="shared" si="27"/>
        <v>0</v>
      </c>
      <c r="BI18" s="209">
        <f t="shared" si="27"/>
        <v>0</v>
      </c>
      <c r="BJ18" s="209">
        <f t="shared" si="27"/>
        <v>29323.910999999996</v>
      </c>
      <c r="BK18" s="209">
        <f t="shared" si="27"/>
        <v>5968.6170000000002</v>
      </c>
      <c r="BL18" s="209">
        <f t="shared" si="27"/>
        <v>0</v>
      </c>
      <c r="BM18" s="209">
        <f t="shared" si="27"/>
        <v>6622.777</v>
      </c>
      <c r="BN18" s="209">
        <f t="shared" si="27"/>
        <v>16732.517</v>
      </c>
      <c r="BO18" s="209">
        <f t="shared" si="27"/>
        <v>0</v>
      </c>
      <c r="BP18" s="209">
        <f t="shared" si="27"/>
        <v>0</v>
      </c>
      <c r="BQ18" s="209">
        <f t="shared" si="27"/>
        <v>0</v>
      </c>
      <c r="BR18" s="209">
        <f t="shared" si="27"/>
        <v>0</v>
      </c>
      <c r="BS18" s="209">
        <f t="shared" si="27"/>
        <v>0</v>
      </c>
      <c r="BT18" s="209">
        <f t="shared" si="27"/>
        <v>0</v>
      </c>
      <c r="BU18" s="209">
        <f t="shared" si="27"/>
        <v>0</v>
      </c>
      <c r="BV18" s="209">
        <f t="shared" si="27"/>
        <v>0</v>
      </c>
      <c r="BW18" s="209">
        <f t="shared" si="27"/>
        <v>16217.508000000002</v>
      </c>
      <c r="BX18" s="209">
        <f t="shared" si="27"/>
        <v>0</v>
      </c>
      <c r="BY18" s="209">
        <f t="shared" si="27"/>
        <v>0</v>
      </c>
      <c r="BZ18" s="209">
        <f t="shared" si="27"/>
        <v>16217.508000000002</v>
      </c>
      <c r="CA18" s="209">
        <f t="shared" si="27"/>
        <v>0</v>
      </c>
      <c r="CB18" s="209">
        <f t="shared" si="27"/>
        <v>0</v>
      </c>
      <c r="CC18" s="552"/>
    </row>
    <row r="19" spans="1:83" ht="30.75" customHeight="1" outlineLevel="1">
      <c r="A19" s="553" t="s">
        <v>45</v>
      </c>
      <c r="B19" s="551" t="s">
        <v>46</v>
      </c>
      <c r="C19" s="552"/>
      <c r="D19" s="485"/>
      <c r="E19" s="552"/>
      <c r="F19" s="552"/>
      <c r="G19" s="552"/>
      <c r="H19" s="552"/>
      <c r="I19" s="552"/>
      <c r="J19" s="552"/>
      <c r="K19" s="552"/>
      <c r="L19" s="552"/>
      <c r="M19" s="209">
        <f>SUM(M20:M30)</f>
        <v>81910</v>
      </c>
      <c r="N19" s="209">
        <f t="shared" ref="N19:P19" si="28">SUM(N20:N30)</f>
        <v>0</v>
      </c>
      <c r="O19" s="209">
        <f t="shared" si="28"/>
        <v>0</v>
      </c>
      <c r="P19" s="209">
        <f t="shared" si="28"/>
        <v>81910</v>
      </c>
      <c r="Q19" s="209"/>
      <c r="R19" s="209"/>
      <c r="S19" s="209"/>
      <c r="T19" s="209"/>
      <c r="U19" s="209">
        <f>SUM(U20:U30)</f>
        <v>0</v>
      </c>
      <c r="V19" s="209">
        <f t="shared" ref="V19:AA19" si="29">SUM(V20:V30)</f>
        <v>0</v>
      </c>
      <c r="W19" s="209">
        <f t="shared" si="29"/>
        <v>0</v>
      </c>
      <c r="X19" s="209">
        <f t="shared" si="29"/>
        <v>0</v>
      </c>
      <c r="Y19" s="209">
        <f t="shared" si="29"/>
        <v>3596.4715310000001</v>
      </c>
      <c r="Z19" s="209">
        <f t="shared" si="29"/>
        <v>0</v>
      </c>
      <c r="AA19" s="209">
        <f t="shared" si="29"/>
        <v>0</v>
      </c>
      <c r="AB19" s="209">
        <f>SUM(AB20:AB30)</f>
        <v>3596.4715310000001</v>
      </c>
      <c r="AC19" s="67">
        <f t="shared" si="8"/>
        <v>0</v>
      </c>
      <c r="AD19" s="209">
        <f t="shared" ref="AD19:BZ19" si="30">SUM(AD20:AD30)</f>
        <v>0</v>
      </c>
      <c r="AE19" s="209">
        <f t="shared" si="30"/>
        <v>0</v>
      </c>
      <c r="AF19" s="209">
        <f t="shared" si="30"/>
        <v>3154.4715310000001</v>
      </c>
      <c r="AG19" s="209">
        <f t="shared" si="30"/>
        <v>442</v>
      </c>
      <c r="AH19" s="209">
        <f t="shared" si="30"/>
        <v>3130.5795309999999</v>
      </c>
      <c r="AI19" s="209">
        <f t="shared" si="30"/>
        <v>0</v>
      </c>
      <c r="AJ19" s="209">
        <f t="shared" si="30"/>
        <v>0</v>
      </c>
      <c r="AK19" s="209">
        <f t="shared" si="30"/>
        <v>3130.5795309999999</v>
      </c>
      <c r="AL19" s="209">
        <f t="shared" si="30"/>
        <v>0</v>
      </c>
      <c r="AM19" s="209">
        <f t="shared" si="30"/>
        <v>0</v>
      </c>
      <c r="AN19" s="209">
        <f t="shared" si="30"/>
        <v>3130.5795309999999</v>
      </c>
      <c r="AO19" s="209">
        <f t="shared" si="30"/>
        <v>0</v>
      </c>
      <c r="AP19" s="209">
        <f t="shared" si="30"/>
        <v>3130.5795309999999</v>
      </c>
      <c r="AQ19" s="209">
        <f t="shared" si="30"/>
        <v>0</v>
      </c>
      <c r="AR19" s="209">
        <f t="shared" si="30"/>
        <v>0</v>
      </c>
      <c r="AS19" s="209">
        <f t="shared" si="30"/>
        <v>3130.5795309999999</v>
      </c>
      <c r="AT19" s="209">
        <f t="shared" si="30"/>
        <v>0</v>
      </c>
      <c r="AU19" s="209">
        <f t="shared" si="30"/>
        <v>0</v>
      </c>
      <c r="AV19" s="209">
        <f t="shared" si="30"/>
        <v>3130.5795309999999</v>
      </c>
      <c r="AW19" s="209">
        <f t="shared" si="30"/>
        <v>0</v>
      </c>
      <c r="AX19" s="209">
        <f t="shared" si="30"/>
        <v>23.891999999999999</v>
      </c>
      <c r="AY19" s="209">
        <f t="shared" si="30"/>
        <v>0</v>
      </c>
      <c r="AZ19" s="209">
        <f t="shared" si="30"/>
        <v>0</v>
      </c>
      <c r="BA19" s="209">
        <f t="shared" si="30"/>
        <v>23.891999999999999</v>
      </c>
      <c r="BB19" s="67">
        <f t="shared" si="24"/>
        <v>0</v>
      </c>
      <c r="BC19" s="209">
        <f t="shared" si="30"/>
        <v>0</v>
      </c>
      <c r="BD19" s="209">
        <f t="shared" si="30"/>
        <v>0</v>
      </c>
      <c r="BE19" s="209">
        <f t="shared" si="30"/>
        <v>23.891999999999999</v>
      </c>
      <c r="BF19" s="209">
        <f t="shared" si="30"/>
        <v>0</v>
      </c>
      <c r="BG19" s="554">
        <f t="shared" si="30"/>
        <v>23.891999999999999</v>
      </c>
      <c r="BH19" s="554">
        <f t="shared" si="30"/>
        <v>0</v>
      </c>
      <c r="BI19" s="554">
        <f t="shared" si="30"/>
        <v>0</v>
      </c>
      <c r="BJ19" s="554">
        <f t="shared" si="30"/>
        <v>23.891999999999999</v>
      </c>
      <c r="BK19" s="554">
        <f t="shared" si="30"/>
        <v>0</v>
      </c>
      <c r="BL19" s="554">
        <f t="shared" si="30"/>
        <v>0</v>
      </c>
      <c r="BM19" s="554">
        <f t="shared" si="30"/>
        <v>23.891999999999999</v>
      </c>
      <c r="BN19" s="554">
        <f t="shared" si="30"/>
        <v>0</v>
      </c>
      <c r="BO19" s="554">
        <f t="shared" si="30"/>
        <v>0</v>
      </c>
      <c r="BP19" s="554">
        <f t="shared" si="30"/>
        <v>0</v>
      </c>
      <c r="BQ19" s="554">
        <f t="shared" si="30"/>
        <v>0</v>
      </c>
      <c r="BR19" s="554">
        <f t="shared" si="30"/>
        <v>0</v>
      </c>
      <c r="BS19" s="554">
        <f t="shared" si="30"/>
        <v>0</v>
      </c>
      <c r="BT19" s="554">
        <f t="shared" si="30"/>
        <v>0</v>
      </c>
      <c r="BU19" s="554">
        <f t="shared" si="30"/>
        <v>0</v>
      </c>
      <c r="BV19" s="554">
        <f t="shared" si="30"/>
        <v>0</v>
      </c>
      <c r="BW19" s="554">
        <f t="shared" si="30"/>
        <v>0</v>
      </c>
      <c r="BX19" s="554">
        <f t="shared" si="30"/>
        <v>0</v>
      </c>
      <c r="BY19" s="554">
        <f t="shared" si="30"/>
        <v>0</v>
      </c>
      <c r="BZ19" s="554">
        <f t="shared" si="30"/>
        <v>0</v>
      </c>
      <c r="CA19" s="552"/>
      <c r="CB19" s="552"/>
      <c r="CC19" s="552"/>
    </row>
    <row r="20" spans="1:83" ht="46.15" outlineLevel="1">
      <c r="A20" s="433">
        <v>1</v>
      </c>
      <c r="B20" s="549" t="s">
        <v>2115</v>
      </c>
      <c r="C20" s="420" t="s">
        <v>2116</v>
      </c>
      <c r="D20" s="420" t="s">
        <v>2117</v>
      </c>
      <c r="E20" s="420" t="s">
        <v>49</v>
      </c>
      <c r="F20" s="431" t="s">
        <v>82</v>
      </c>
      <c r="G20" s="422">
        <v>7785543</v>
      </c>
      <c r="H20" s="420" t="s">
        <v>2118</v>
      </c>
      <c r="I20" s="420" t="s">
        <v>81</v>
      </c>
      <c r="J20" s="422">
        <v>2019</v>
      </c>
      <c r="K20" s="420" t="s">
        <v>2119</v>
      </c>
      <c r="L20" s="420" t="s">
        <v>2120</v>
      </c>
      <c r="M20" s="169">
        <f>SUM(N20:P20)</f>
        <v>26000</v>
      </c>
      <c r="N20" s="169">
        <v>0</v>
      </c>
      <c r="O20" s="169">
        <v>0</v>
      </c>
      <c r="P20" s="169">
        <v>26000</v>
      </c>
      <c r="Q20" s="70" t="s">
        <v>2121</v>
      </c>
      <c r="R20" s="70" t="s">
        <v>2118</v>
      </c>
      <c r="S20" s="70" t="s">
        <v>2122</v>
      </c>
      <c r="T20" s="169" t="s">
        <v>2117</v>
      </c>
      <c r="U20" s="70">
        <f>SUM(V20:X20)</f>
        <v>0</v>
      </c>
      <c r="V20" s="70">
        <v>0</v>
      </c>
      <c r="W20" s="70">
        <v>0</v>
      </c>
      <c r="X20" s="70">
        <v>0</v>
      </c>
      <c r="Y20" s="70">
        <f>SUM(Z20:AB20)</f>
        <v>681.85922800000003</v>
      </c>
      <c r="Z20" s="70">
        <v>0</v>
      </c>
      <c r="AA20" s="70">
        <v>0</v>
      </c>
      <c r="AB20" s="70">
        <f>SUM(AD20:AG20)</f>
        <v>681.85922800000003</v>
      </c>
      <c r="AC20" s="67">
        <f t="shared" si="8"/>
        <v>0</v>
      </c>
      <c r="AD20" s="70">
        <v>0</v>
      </c>
      <c r="AE20" s="70">
        <v>0</v>
      </c>
      <c r="AF20" s="70">
        <v>681.85922800000003</v>
      </c>
      <c r="AG20" s="70">
        <v>0</v>
      </c>
      <c r="AH20" s="70">
        <f>SUM(AI20:AK20)</f>
        <v>681.85922800000003</v>
      </c>
      <c r="AI20" s="70">
        <v>0</v>
      </c>
      <c r="AJ20" s="70">
        <v>0</v>
      </c>
      <c r="AK20" s="70">
        <f>SUM(AL20:AO20)</f>
        <v>681.85922800000003</v>
      </c>
      <c r="AL20" s="70">
        <v>0</v>
      </c>
      <c r="AM20" s="70">
        <v>0</v>
      </c>
      <c r="AN20" s="70">
        <v>681.85922800000003</v>
      </c>
      <c r="AO20" s="70">
        <v>0</v>
      </c>
      <c r="AP20" s="70">
        <f>SUM(AQ20:AS20)</f>
        <v>681.85922800000003</v>
      </c>
      <c r="AQ20" s="70">
        <v>0</v>
      </c>
      <c r="AR20" s="70">
        <v>0</v>
      </c>
      <c r="AS20" s="70">
        <f>SUM(AT20:AW20)</f>
        <v>681.85922800000003</v>
      </c>
      <c r="AT20" s="70">
        <v>0</v>
      </c>
      <c r="AU20" s="70">
        <v>0</v>
      </c>
      <c r="AV20" s="70">
        <v>681.85922800000003</v>
      </c>
      <c r="AW20" s="70">
        <v>0</v>
      </c>
      <c r="AX20" s="70">
        <f>SUM(AY20:BA20)</f>
        <v>0</v>
      </c>
      <c r="AY20" s="70">
        <v>0</v>
      </c>
      <c r="AZ20" s="70">
        <v>0</v>
      </c>
      <c r="BA20" s="70">
        <f>SUM(BC20:BF20)</f>
        <v>0</v>
      </c>
      <c r="BB20" s="67">
        <f t="shared" si="24"/>
        <v>0</v>
      </c>
      <c r="BC20" s="70">
        <v>0</v>
      </c>
      <c r="BD20" s="70">
        <v>0</v>
      </c>
      <c r="BE20" s="70">
        <v>0</v>
      </c>
      <c r="BF20" s="70">
        <v>0</v>
      </c>
      <c r="BG20" s="133">
        <f>SUM(BH20:BJ20)</f>
        <v>0</v>
      </c>
      <c r="BH20" s="133">
        <v>0</v>
      </c>
      <c r="BI20" s="133">
        <v>0</v>
      </c>
      <c r="BJ20" s="133">
        <f>SUM(BK20:BN20)</f>
        <v>0</v>
      </c>
      <c r="BK20" s="133">
        <v>0</v>
      </c>
      <c r="BL20" s="133">
        <v>0</v>
      </c>
      <c r="BM20" s="133">
        <v>0</v>
      </c>
      <c r="BN20" s="133">
        <v>0</v>
      </c>
      <c r="BO20" s="133">
        <f>SUM(BP20:BR20)</f>
        <v>0</v>
      </c>
      <c r="BP20" s="133">
        <v>0</v>
      </c>
      <c r="BQ20" s="133">
        <v>0</v>
      </c>
      <c r="BR20" s="133">
        <v>0</v>
      </c>
      <c r="BS20" s="133">
        <f>SUM(BT20:BV20)</f>
        <v>0</v>
      </c>
      <c r="BT20" s="133">
        <v>0</v>
      </c>
      <c r="BU20" s="133">
        <v>0</v>
      </c>
      <c r="BV20" s="133">
        <v>0</v>
      </c>
      <c r="BW20" s="133">
        <f t="shared" ref="BW20:BW21" si="31">SUM(BX20:CA20)</f>
        <v>0</v>
      </c>
      <c r="BX20" s="133">
        <v>0</v>
      </c>
      <c r="BY20" s="133">
        <v>0</v>
      </c>
      <c r="BZ20" s="133">
        <v>0</v>
      </c>
      <c r="CA20" s="133"/>
      <c r="CB20" s="133"/>
      <c r="CC20" s="555"/>
    </row>
    <row r="21" spans="1:83" ht="46.15" outlineLevel="1">
      <c r="A21" s="433">
        <v>2</v>
      </c>
      <c r="B21" s="549" t="s">
        <v>2123</v>
      </c>
      <c r="C21" s="420" t="s">
        <v>2116</v>
      </c>
      <c r="D21" s="420" t="s">
        <v>2117</v>
      </c>
      <c r="E21" s="420" t="s">
        <v>49</v>
      </c>
      <c r="F21" s="431" t="s">
        <v>82</v>
      </c>
      <c r="G21" s="422">
        <v>7791358</v>
      </c>
      <c r="H21" s="420" t="s">
        <v>2118</v>
      </c>
      <c r="I21" s="420" t="s">
        <v>81</v>
      </c>
      <c r="J21" s="422">
        <v>2019</v>
      </c>
      <c r="K21" s="420" t="s">
        <v>2124</v>
      </c>
      <c r="L21" s="420" t="s">
        <v>2125</v>
      </c>
      <c r="M21" s="169">
        <f>SUM(N21:P21)</f>
        <v>9000</v>
      </c>
      <c r="N21" s="169">
        <v>0</v>
      </c>
      <c r="O21" s="169">
        <v>0</v>
      </c>
      <c r="P21" s="169">
        <v>9000</v>
      </c>
      <c r="Q21" s="70" t="s">
        <v>2126</v>
      </c>
      <c r="R21" s="70" t="s">
        <v>2118</v>
      </c>
      <c r="S21" s="70" t="s">
        <v>2122</v>
      </c>
      <c r="T21" s="169" t="s">
        <v>2117</v>
      </c>
      <c r="U21" s="70">
        <f>SUM(V21:X21)</f>
        <v>0</v>
      </c>
      <c r="V21" s="70">
        <v>0</v>
      </c>
      <c r="W21" s="70">
        <v>0</v>
      </c>
      <c r="X21" s="70">
        <v>0</v>
      </c>
      <c r="Y21" s="70">
        <f>SUM(Z21:AB21)</f>
        <v>1673.556</v>
      </c>
      <c r="Z21" s="70">
        <v>0</v>
      </c>
      <c r="AA21" s="70">
        <v>0</v>
      </c>
      <c r="AB21" s="70">
        <f>SUM(AD21:AG21)</f>
        <v>1673.556</v>
      </c>
      <c r="AC21" s="67">
        <f t="shared" si="8"/>
        <v>0</v>
      </c>
      <c r="AD21" s="70"/>
      <c r="AE21" s="70"/>
      <c r="AF21" s="70">
        <v>1673.556</v>
      </c>
      <c r="AG21" s="70">
        <v>0</v>
      </c>
      <c r="AH21" s="70">
        <f>SUM(AI21:AK21)</f>
        <v>1673.556</v>
      </c>
      <c r="AI21" s="70">
        <v>0</v>
      </c>
      <c r="AJ21" s="70">
        <v>0</v>
      </c>
      <c r="AK21" s="70">
        <f>SUM(AL21:AO21)</f>
        <v>1673.556</v>
      </c>
      <c r="AL21" s="70"/>
      <c r="AM21" s="70">
        <v>0</v>
      </c>
      <c r="AN21" s="70">
        <v>1673.556</v>
      </c>
      <c r="AO21" s="70">
        <v>0</v>
      </c>
      <c r="AP21" s="70">
        <f>SUM(AQ21:AS21)</f>
        <v>1673.556</v>
      </c>
      <c r="AQ21" s="70">
        <v>0</v>
      </c>
      <c r="AR21" s="70">
        <v>0</v>
      </c>
      <c r="AS21" s="70">
        <f>SUM(AT21:AW21)</f>
        <v>1673.556</v>
      </c>
      <c r="AT21" s="70"/>
      <c r="AU21" s="70">
        <v>0</v>
      </c>
      <c r="AV21" s="70">
        <v>1673.556</v>
      </c>
      <c r="AW21" s="70">
        <v>0</v>
      </c>
      <c r="AX21" s="70">
        <f>SUM(AY21:BA21)</f>
        <v>0</v>
      </c>
      <c r="AY21" s="70">
        <v>0</v>
      </c>
      <c r="AZ21" s="70">
        <v>0</v>
      </c>
      <c r="BA21" s="70">
        <f>SUM(BC21:BF21)</f>
        <v>0</v>
      </c>
      <c r="BB21" s="67">
        <f t="shared" si="24"/>
        <v>0</v>
      </c>
      <c r="BC21" s="70">
        <v>0</v>
      </c>
      <c r="BD21" s="70">
        <v>0</v>
      </c>
      <c r="BE21" s="70">
        <v>0</v>
      </c>
      <c r="BF21" s="70">
        <v>0</v>
      </c>
      <c r="BG21" s="133">
        <f>SUM(BH21:BJ21)</f>
        <v>0</v>
      </c>
      <c r="BH21" s="133">
        <v>0</v>
      </c>
      <c r="BI21" s="133">
        <v>0</v>
      </c>
      <c r="BJ21" s="133">
        <f>SUM(BK21:BN21)</f>
        <v>0</v>
      </c>
      <c r="BK21" s="133">
        <v>0</v>
      </c>
      <c r="BL21" s="133">
        <v>0</v>
      </c>
      <c r="BM21" s="133">
        <v>0</v>
      </c>
      <c r="BN21" s="133">
        <v>0</v>
      </c>
      <c r="BO21" s="133">
        <f>SUM(BP21:BR21)</f>
        <v>0</v>
      </c>
      <c r="BP21" s="133">
        <v>0</v>
      </c>
      <c r="BQ21" s="133">
        <v>0</v>
      </c>
      <c r="BR21" s="133">
        <v>0</v>
      </c>
      <c r="BS21" s="133">
        <f>SUM(BT21:BV21)</f>
        <v>0</v>
      </c>
      <c r="BT21" s="133">
        <v>0</v>
      </c>
      <c r="BU21" s="133">
        <v>0</v>
      </c>
      <c r="BV21" s="133">
        <v>0</v>
      </c>
      <c r="BW21" s="133">
        <f t="shared" si="31"/>
        <v>0</v>
      </c>
      <c r="BX21" s="133">
        <v>0</v>
      </c>
      <c r="BY21" s="133">
        <v>0</v>
      </c>
      <c r="BZ21" s="133">
        <v>0</v>
      </c>
      <c r="CA21" s="133"/>
      <c r="CB21" s="133"/>
      <c r="CC21" s="555"/>
    </row>
    <row r="22" spans="1:83" ht="61.5" outlineLevel="1">
      <c r="A22" s="433">
        <v>3</v>
      </c>
      <c r="B22" s="549" t="s">
        <v>2127</v>
      </c>
      <c r="C22" s="420" t="s">
        <v>2116</v>
      </c>
      <c r="D22" s="420" t="s">
        <v>2117</v>
      </c>
      <c r="E22" s="420" t="s">
        <v>49</v>
      </c>
      <c r="F22" s="431" t="s">
        <v>48</v>
      </c>
      <c r="G22" s="422"/>
      <c r="H22" s="420" t="s">
        <v>2118</v>
      </c>
      <c r="I22" s="420" t="s">
        <v>71</v>
      </c>
      <c r="J22" s="422">
        <v>2021</v>
      </c>
      <c r="K22" s="420" t="s">
        <v>2128</v>
      </c>
      <c r="L22" s="420" t="s">
        <v>2129</v>
      </c>
      <c r="M22" s="169">
        <f t="shared" ref="M22:M30" si="32">SUM(N22:P22)</f>
        <v>14990</v>
      </c>
      <c r="N22" s="169">
        <v>0</v>
      </c>
      <c r="O22" s="169">
        <v>0</v>
      </c>
      <c r="P22" s="169">
        <v>14990</v>
      </c>
      <c r="Q22" s="70" t="s">
        <v>2130</v>
      </c>
      <c r="R22" s="70" t="s">
        <v>2118</v>
      </c>
      <c r="S22" s="169" t="s">
        <v>2122</v>
      </c>
      <c r="T22" s="169" t="s">
        <v>2117</v>
      </c>
      <c r="U22" s="70">
        <f t="shared" ref="U22:U30" si="33">SUM(V22:X22)</f>
        <v>0</v>
      </c>
      <c r="V22" s="70">
        <v>0</v>
      </c>
      <c r="W22" s="70">
        <v>0</v>
      </c>
      <c r="X22" s="70"/>
      <c r="Y22" s="70">
        <f t="shared" ref="Y22:Y30" si="34">SUM(Z22:AB22)</f>
        <v>390.33099999999985</v>
      </c>
      <c r="Z22" s="70">
        <v>0</v>
      </c>
      <c r="AA22" s="70">
        <v>0</v>
      </c>
      <c r="AB22" s="70">
        <f t="shared" ref="AB22:AB30" si="35">SUM(AD22:AG22)</f>
        <v>390.33099999999985</v>
      </c>
      <c r="AC22" s="67">
        <f t="shared" si="8"/>
        <v>0</v>
      </c>
      <c r="AD22" s="70">
        <v>0</v>
      </c>
      <c r="AE22" s="70">
        <v>0</v>
      </c>
      <c r="AF22" s="70">
        <f>2599.631-1900-309.3</f>
        <v>390.33099999999985</v>
      </c>
      <c r="AG22" s="70">
        <v>0</v>
      </c>
      <c r="AH22" s="70">
        <f t="shared" ref="AH22:AH30" si="36">SUM(AI22:AK22)</f>
        <v>390.33099999999985</v>
      </c>
      <c r="AI22" s="70">
        <v>0</v>
      </c>
      <c r="AJ22" s="70">
        <v>0</v>
      </c>
      <c r="AK22" s="70">
        <f t="shared" ref="AK22:AK30" si="37">SUM(AL22:AO22)</f>
        <v>390.33099999999985</v>
      </c>
      <c r="AL22" s="70">
        <v>0</v>
      </c>
      <c r="AM22" s="70">
        <v>0</v>
      </c>
      <c r="AN22" s="70">
        <v>390.33099999999985</v>
      </c>
      <c r="AO22" s="70">
        <v>0</v>
      </c>
      <c r="AP22" s="70">
        <f t="shared" ref="AP22:AP30" si="38">SUM(AQ22:AS22)</f>
        <v>390.33099999999985</v>
      </c>
      <c r="AQ22" s="70">
        <v>0</v>
      </c>
      <c r="AR22" s="70">
        <v>0</v>
      </c>
      <c r="AS22" s="70">
        <f t="shared" ref="AS22:AS30" si="39">SUM(AT22:AW22)</f>
        <v>390.33099999999985</v>
      </c>
      <c r="AT22" s="70">
        <v>0</v>
      </c>
      <c r="AU22" s="70">
        <v>0</v>
      </c>
      <c r="AV22" s="70">
        <v>390.33099999999985</v>
      </c>
      <c r="AW22" s="70">
        <v>0</v>
      </c>
      <c r="AX22" s="70">
        <f t="shared" ref="AX22:AX30" si="40">SUM(AY22:BA22)</f>
        <v>0</v>
      </c>
      <c r="AY22" s="70">
        <v>0</v>
      </c>
      <c r="AZ22" s="70">
        <v>0</v>
      </c>
      <c r="BA22" s="70">
        <f t="shared" ref="BA22:BA30" si="41">SUM(BC22:BF22)</f>
        <v>0</v>
      </c>
      <c r="BB22" s="67">
        <f t="shared" si="24"/>
        <v>0</v>
      </c>
      <c r="BC22" s="70">
        <v>0</v>
      </c>
      <c r="BD22" s="70">
        <v>0</v>
      </c>
      <c r="BE22" s="70">
        <v>0</v>
      </c>
      <c r="BF22" s="70">
        <v>0</v>
      </c>
      <c r="BG22" s="133">
        <f t="shared" ref="BG22:BG30" si="42">SUM(BH22:BJ22)</f>
        <v>0</v>
      </c>
      <c r="BH22" s="133">
        <v>0</v>
      </c>
      <c r="BI22" s="133">
        <v>0</v>
      </c>
      <c r="BJ22" s="133">
        <f t="shared" ref="BJ22:BJ30" si="43">SUM(BK22:BN22)</f>
        <v>0</v>
      </c>
      <c r="BK22" s="133">
        <v>0</v>
      </c>
      <c r="BL22" s="133">
        <v>0</v>
      </c>
      <c r="BM22" s="133">
        <v>0</v>
      </c>
      <c r="BN22" s="133">
        <v>0</v>
      </c>
      <c r="BO22" s="133">
        <f t="shared" ref="BO22:BO30" si="44">SUM(BP22:BR22)</f>
        <v>0</v>
      </c>
      <c r="BP22" s="133">
        <v>0</v>
      </c>
      <c r="BQ22" s="133">
        <v>0</v>
      </c>
      <c r="BR22" s="133">
        <v>0</v>
      </c>
      <c r="BS22" s="133">
        <f t="shared" ref="BS22:BS30" si="45">SUM(BT22:BV22)</f>
        <v>0</v>
      </c>
      <c r="BT22" s="133">
        <v>0</v>
      </c>
      <c r="BU22" s="133">
        <v>0</v>
      </c>
      <c r="BV22" s="133">
        <v>0</v>
      </c>
      <c r="BW22" s="133">
        <f>SUM(BX22:BZ22)</f>
        <v>0</v>
      </c>
      <c r="BX22" s="133">
        <v>0</v>
      </c>
      <c r="BY22" s="133">
        <v>0</v>
      </c>
      <c r="BZ22" s="133">
        <v>0</v>
      </c>
      <c r="CA22" s="133"/>
      <c r="CB22" s="133"/>
      <c r="CC22" s="555"/>
    </row>
    <row r="23" spans="1:83" ht="46.15" outlineLevel="1">
      <c r="A23" s="433">
        <v>4</v>
      </c>
      <c r="B23" s="556" t="s">
        <v>2131</v>
      </c>
      <c r="C23" s="420" t="s">
        <v>2132</v>
      </c>
      <c r="D23" s="420" t="s">
        <v>2117</v>
      </c>
      <c r="E23" s="420" t="s">
        <v>49</v>
      </c>
      <c r="F23" s="431" t="s">
        <v>48</v>
      </c>
      <c r="G23" s="422">
        <v>7882879</v>
      </c>
      <c r="H23" s="420" t="s">
        <v>2114</v>
      </c>
      <c r="I23" s="420" t="s">
        <v>73</v>
      </c>
      <c r="J23" s="422">
        <v>2021</v>
      </c>
      <c r="K23" s="420" t="s">
        <v>2133</v>
      </c>
      <c r="L23" s="420" t="s">
        <v>2134</v>
      </c>
      <c r="M23" s="169">
        <f t="shared" si="32"/>
        <v>1220</v>
      </c>
      <c r="N23" s="169">
        <v>0</v>
      </c>
      <c r="O23" s="169">
        <v>0</v>
      </c>
      <c r="P23" s="169">
        <v>1220</v>
      </c>
      <c r="Q23" s="70" t="s">
        <v>2135</v>
      </c>
      <c r="R23" s="70" t="s">
        <v>2114</v>
      </c>
      <c r="S23" s="169" t="s">
        <v>2122</v>
      </c>
      <c r="T23" s="169" t="s">
        <v>2117</v>
      </c>
      <c r="U23" s="70">
        <f t="shared" si="33"/>
        <v>0</v>
      </c>
      <c r="V23" s="70">
        <v>0</v>
      </c>
      <c r="W23" s="70">
        <v>0</v>
      </c>
      <c r="X23" s="70">
        <v>0</v>
      </c>
      <c r="Y23" s="70">
        <f t="shared" si="34"/>
        <v>156.62100000000001</v>
      </c>
      <c r="Z23" s="70">
        <v>0</v>
      </c>
      <c r="AA23" s="70">
        <v>0</v>
      </c>
      <c r="AB23" s="70">
        <f t="shared" si="35"/>
        <v>156.62100000000001</v>
      </c>
      <c r="AC23" s="67">
        <f t="shared" si="8"/>
        <v>0</v>
      </c>
      <c r="AD23" s="70">
        <v>0</v>
      </c>
      <c r="AE23" s="70">
        <v>0</v>
      </c>
      <c r="AF23" s="70">
        <v>156.62100000000001</v>
      </c>
      <c r="AG23" s="70">
        <v>0</v>
      </c>
      <c r="AH23" s="70">
        <f t="shared" si="36"/>
        <v>156.62100000000001</v>
      </c>
      <c r="AI23" s="70">
        <v>0</v>
      </c>
      <c r="AJ23" s="70">
        <v>0</v>
      </c>
      <c r="AK23" s="70">
        <f t="shared" si="37"/>
        <v>156.62100000000001</v>
      </c>
      <c r="AL23" s="70">
        <v>0</v>
      </c>
      <c r="AM23" s="70">
        <v>0</v>
      </c>
      <c r="AN23" s="70">
        <v>156.62100000000001</v>
      </c>
      <c r="AO23" s="70">
        <v>0</v>
      </c>
      <c r="AP23" s="70">
        <f t="shared" si="38"/>
        <v>156.62100000000001</v>
      </c>
      <c r="AQ23" s="70">
        <v>0</v>
      </c>
      <c r="AR23" s="70">
        <v>0</v>
      </c>
      <c r="AS23" s="70">
        <f t="shared" si="39"/>
        <v>156.62100000000001</v>
      </c>
      <c r="AT23" s="70">
        <v>0</v>
      </c>
      <c r="AU23" s="70">
        <v>0</v>
      </c>
      <c r="AV23" s="70">
        <v>156.62100000000001</v>
      </c>
      <c r="AW23" s="70">
        <v>0</v>
      </c>
      <c r="AX23" s="70">
        <f t="shared" si="40"/>
        <v>0</v>
      </c>
      <c r="AY23" s="70">
        <v>0</v>
      </c>
      <c r="AZ23" s="70">
        <v>0</v>
      </c>
      <c r="BA23" s="70">
        <f t="shared" si="41"/>
        <v>0</v>
      </c>
      <c r="BB23" s="67">
        <f t="shared" si="24"/>
        <v>0</v>
      </c>
      <c r="BC23" s="70">
        <v>0</v>
      </c>
      <c r="BD23" s="70">
        <v>0</v>
      </c>
      <c r="BE23" s="70">
        <v>0</v>
      </c>
      <c r="BF23" s="70">
        <v>0</v>
      </c>
      <c r="BG23" s="133">
        <f t="shared" si="42"/>
        <v>0</v>
      </c>
      <c r="BH23" s="133">
        <v>0</v>
      </c>
      <c r="BI23" s="133">
        <v>0</v>
      </c>
      <c r="BJ23" s="133">
        <f t="shared" si="43"/>
        <v>0</v>
      </c>
      <c r="BK23" s="133">
        <v>0</v>
      </c>
      <c r="BL23" s="133">
        <v>0</v>
      </c>
      <c r="BM23" s="133">
        <v>0</v>
      </c>
      <c r="BN23" s="133">
        <v>0</v>
      </c>
      <c r="BO23" s="133">
        <f t="shared" si="44"/>
        <v>0</v>
      </c>
      <c r="BP23" s="133">
        <v>0</v>
      </c>
      <c r="BQ23" s="133">
        <v>0</v>
      </c>
      <c r="BR23" s="133">
        <v>0</v>
      </c>
      <c r="BS23" s="133">
        <f t="shared" si="45"/>
        <v>0</v>
      </c>
      <c r="BT23" s="133">
        <v>0</v>
      </c>
      <c r="BU23" s="133">
        <v>0</v>
      </c>
      <c r="BV23" s="133">
        <v>0</v>
      </c>
      <c r="BW23" s="133">
        <f t="shared" ref="BW23:BW30" si="46">SUM(BX23:BZ23)</f>
        <v>0</v>
      </c>
      <c r="BX23" s="133">
        <v>0</v>
      </c>
      <c r="BY23" s="133">
        <v>0</v>
      </c>
      <c r="BZ23" s="133">
        <v>0</v>
      </c>
      <c r="CA23" s="133"/>
      <c r="CB23" s="133"/>
      <c r="CC23" s="555"/>
    </row>
    <row r="24" spans="1:83" ht="68.25" customHeight="1" outlineLevel="1">
      <c r="A24" s="433">
        <v>5</v>
      </c>
      <c r="B24" s="549" t="s">
        <v>2136</v>
      </c>
      <c r="C24" s="420" t="s">
        <v>2116</v>
      </c>
      <c r="D24" s="420" t="s">
        <v>2117</v>
      </c>
      <c r="E24" s="420" t="s">
        <v>49</v>
      </c>
      <c r="F24" s="431" t="s">
        <v>48</v>
      </c>
      <c r="G24" s="422">
        <v>8094349</v>
      </c>
      <c r="H24" s="420" t="s">
        <v>2137</v>
      </c>
      <c r="I24" s="420" t="s">
        <v>84</v>
      </c>
      <c r="J24" s="422">
        <v>2024</v>
      </c>
      <c r="K24" s="420" t="s">
        <v>2138</v>
      </c>
      <c r="L24" s="420" t="s">
        <v>2139</v>
      </c>
      <c r="M24" s="169">
        <f t="shared" si="32"/>
        <v>1000</v>
      </c>
      <c r="N24" s="169">
        <v>0</v>
      </c>
      <c r="O24" s="169">
        <v>0</v>
      </c>
      <c r="P24" s="169">
        <v>1000</v>
      </c>
      <c r="Q24" s="70" t="s">
        <v>2140</v>
      </c>
      <c r="R24" s="70" t="s">
        <v>2137</v>
      </c>
      <c r="S24" s="70" t="s">
        <v>2122</v>
      </c>
      <c r="T24" s="169" t="s">
        <v>2117</v>
      </c>
      <c r="U24" s="70">
        <f t="shared" si="33"/>
        <v>0</v>
      </c>
      <c r="V24" s="70">
        <v>0</v>
      </c>
      <c r="W24" s="70">
        <v>0</v>
      </c>
      <c r="X24" s="70">
        <v>0</v>
      </c>
      <c r="Y24" s="70">
        <f t="shared" si="34"/>
        <v>7.5590000000000002</v>
      </c>
      <c r="Z24" s="70">
        <v>0</v>
      </c>
      <c r="AA24" s="70">
        <v>0</v>
      </c>
      <c r="AB24" s="70">
        <f t="shared" si="35"/>
        <v>7.5590000000000002</v>
      </c>
      <c r="AC24" s="67">
        <f t="shared" si="8"/>
        <v>0</v>
      </c>
      <c r="AD24" s="70">
        <v>0</v>
      </c>
      <c r="AE24" s="70">
        <v>0</v>
      </c>
      <c r="AF24" s="70">
        <v>7.5590000000000002</v>
      </c>
      <c r="AG24" s="70">
        <v>0</v>
      </c>
      <c r="AH24" s="70">
        <f t="shared" si="36"/>
        <v>0</v>
      </c>
      <c r="AI24" s="70">
        <v>0</v>
      </c>
      <c r="AJ24" s="70">
        <v>0</v>
      </c>
      <c r="AK24" s="70">
        <f t="shared" si="37"/>
        <v>0</v>
      </c>
      <c r="AL24" s="70">
        <v>0</v>
      </c>
      <c r="AM24" s="70">
        <v>0</v>
      </c>
      <c r="AN24" s="70">
        <v>0</v>
      </c>
      <c r="AO24" s="70">
        <v>0</v>
      </c>
      <c r="AP24" s="70">
        <f t="shared" si="38"/>
        <v>0</v>
      </c>
      <c r="AQ24" s="70">
        <v>0</v>
      </c>
      <c r="AR24" s="70">
        <v>0</v>
      </c>
      <c r="AS24" s="70">
        <f t="shared" si="39"/>
        <v>0</v>
      </c>
      <c r="AT24" s="70">
        <v>0</v>
      </c>
      <c r="AU24" s="70">
        <v>0</v>
      </c>
      <c r="AV24" s="70">
        <v>0</v>
      </c>
      <c r="AW24" s="70">
        <v>0</v>
      </c>
      <c r="AX24" s="70">
        <f t="shared" si="40"/>
        <v>7.5590000000000002</v>
      </c>
      <c r="AY24" s="70">
        <v>0</v>
      </c>
      <c r="AZ24" s="70">
        <v>0</v>
      </c>
      <c r="BA24" s="70">
        <f t="shared" si="41"/>
        <v>7.5590000000000002</v>
      </c>
      <c r="BB24" s="67">
        <f t="shared" si="24"/>
        <v>0</v>
      </c>
      <c r="BC24" s="70">
        <v>0</v>
      </c>
      <c r="BD24" s="70">
        <v>0</v>
      </c>
      <c r="BE24" s="70">
        <v>7.5590000000000002</v>
      </c>
      <c r="BF24" s="70">
        <v>0</v>
      </c>
      <c r="BG24" s="133">
        <f t="shared" si="42"/>
        <v>7.5590000000000002</v>
      </c>
      <c r="BH24" s="133">
        <v>0</v>
      </c>
      <c r="BI24" s="133">
        <v>0</v>
      </c>
      <c r="BJ24" s="133">
        <f t="shared" si="43"/>
        <v>7.5590000000000002</v>
      </c>
      <c r="BK24" s="133">
        <v>0</v>
      </c>
      <c r="BL24" s="133">
        <v>0</v>
      </c>
      <c r="BM24" s="133">
        <v>7.5590000000000002</v>
      </c>
      <c r="BN24" s="133">
        <v>0</v>
      </c>
      <c r="BO24" s="133">
        <f t="shared" si="44"/>
        <v>0</v>
      </c>
      <c r="BP24" s="133">
        <v>0</v>
      </c>
      <c r="BQ24" s="133">
        <v>0</v>
      </c>
      <c r="BR24" s="133">
        <v>0</v>
      </c>
      <c r="BS24" s="133">
        <f t="shared" si="45"/>
        <v>0</v>
      </c>
      <c r="BT24" s="133">
        <v>0</v>
      </c>
      <c r="BU24" s="133">
        <v>0</v>
      </c>
      <c r="BV24" s="133">
        <v>0</v>
      </c>
      <c r="BW24" s="133">
        <f t="shared" si="46"/>
        <v>0</v>
      </c>
      <c r="BX24" s="133">
        <v>0</v>
      </c>
      <c r="BY24" s="133">
        <v>0</v>
      </c>
      <c r="BZ24" s="133">
        <v>0</v>
      </c>
      <c r="CA24" s="133"/>
      <c r="CB24" s="133"/>
      <c r="CC24" s="555"/>
    </row>
    <row r="25" spans="1:83" ht="85.5" customHeight="1" outlineLevel="1">
      <c r="A25" s="433">
        <v>6</v>
      </c>
      <c r="B25" s="549" t="s">
        <v>2141</v>
      </c>
      <c r="C25" s="420" t="s">
        <v>2116</v>
      </c>
      <c r="D25" s="420" t="s">
        <v>2117</v>
      </c>
      <c r="E25" s="420" t="s">
        <v>49</v>
      </c>
      <c r="F25" s="431" t="s">
        <v>105</v>
      </c>
      <c r="G25" s="422">
        <v>7880799</v>
      </c>
      <c r="H25" s="420" t="s">
        <v>2137</v>
      </c>
      <c r="I25" s="420" t="s">
        <v>71</v>
      </c>
      <c r="J25" s="422">
        <v>2021</v>
      </c>
      <c r="K25" s="420" t="s">
        <v>2142</v>
      </c>
      <c r="L25" s="420" t="s">
        <v>2143</v>
      </c>
      <c r="M25" s="169">
        <f t="shared" si="32"/>
        <v>3000</v>
      </c>
      <c r="N25" s="169">
        <v>0</v>
      </c>
      <c r="O25" s="169">
        <v>0</v>
      </c>
      <c r="P25" s="169">
        <v>3000</v>
      </c>
      <c r="Q25" s="70" t="s">
        <v>2144</v>
      </c>
      <c r="R25" s="70" t="s">
        <v>2137</v>
      </c>
      <c r="S25" s="70" t="s">
        <v>2122</v>
      </c>
      <c r="T25" s="169" t="s">
        <v>2117</v>
      </c>
      <c r="U25" s="70">
        <f t="shared" si="33"/>
        <v>0</v>
      </c>
      <c r="V25" s="70">
        <v>0</v>
      </c>
      <c r="W25" s="70">
        <v>0</v>
      </c>
      <c r="X25" s="70">
        <v>0</v>
      </c>
      <c r="Y25" s="70">
        <f t="shared" si="34"/>
        <v>16.904</v>
      </c>
      <c r="Z25" s="70">
        <v>0</v>
      </c>
      <c r="AA25" s="70">
        <v>0</v>
      </c>
      <c r="AB25" s="70">
        <f t="shared" si="35"/>
        <v>16.904</v>
      </c>
      <c r="AC25" s="67">
        <f t="shared" si="8"/>
        <v>0</v>
      </c>
      <c r="AD25" s="70">
        <v>0</v>
      </c>
      <c r="AE25" s="70">
        <v>0</v>
      </c>
      <c r="AF25" s="70">
        <v>16.904</v>
      </c>
      <c r="AG25" s="70">
        <v>0</v>
      </c>
      <c r="AH25" s="70">
        <f t="shared" si="36"/>
        <v>16.904</v>
      </c>
      <c r="AI25" s="70">
        <v>0</v>
      </c>
      <c r="AJ25" s="70">
        <v>0</v>
      </c>
      <c r="AK25" s="70">
        <f t="shared" si="37"/>
        <v>16.904</v>
      </c>
      <c r="AL25" s="70">
        <v>0</v>
      </c>
      <c r="AM25" s="70">
        <v>0</v>
      </c>
      <c r="AN25" s="70">
        <v>16.904</v>
      </c>
      <c r="AO25" s="70">
        <v>0</v>
      </c>
      <c r="AP25" s="70">
        <f t="shared" si="38"/>
        <v>16.904</v>
      </c>
      <c r="AQ25" s="70">
        <v>0</v>
      </c>
      <c r="AR25" s="70">
        <v>0</v>
      </c>
      <c r="AS25" s="70">
        <f t="shared" si="39"/>
        <v>16.904</v>
      </c>
      <c r="AT25" s="70">
        <v>0</v>
      </c>
      <c r="AU25" s="70">
        <v>0</v>
      </c>
      <c r="AV25" s="70">
        <v>16.904</v>
      </c>
      <c r="AW25" s="70">
        <v>0</v>
      </c>
      <c r="AX25" s="70">
        <f t="shared" si="40"/>
        <v>0</v>
      </c>
      <c r="AY25" s="70">
        <v>0</v>
      </c>
      <c r="AZ25" s="70">
        <v>0</v>
      </c>
      <c r="BA25" s="70">
        <f t="shared" si="41"/>
        <v>0</v>
      </c>
      <c r="BB25" s="67">
        <f t="shared" si="24"/>
        <v>0</v>
      </c>
      <c r="BC25" s="70">
        <v>0</v>
      </c>
      <c r="BD25" s="70">
        <v>0</v>
      </c>
      <c r="BE25" s="70">
        <v>0</v>
      </c>
      <c r="BF25" s="70">
        <v>0</v>
      </c>
      <c r="BG25" s="133">
        <f t="shared" si="42"/>
        <v>0</v>
      </c>
      <c r="BH25" s="133">
        <v>0</v>
      </c>
      <c r="BI25" s="133">
        <v>0</v>
      </c>
      <c r="BJ25" s="133">
        <f t="shared" si="43"/>
        <v>0</v>
      </c>
      <c r="BK25" s="133">
        <v>0</v>
      </c>
      <c r="BL25" s="133">
        <v>0</v>
      </c>
      <c r="BM25" s="133">
        <v>0</v>
      </c>
      <c r="BN25" s="133">
        <v>0</v>
      </c>
      <c r="BO25" s="133">
        <f t="shared" si="44"/>
        <v>0</v>
      </c>
      <c r="BP25" s="133">
        <v>0</v>
      </c>
      <c r="BQ25" s="133">
        <v>0</v>
      </c>
      <c r="BR25" s="133">
        <v>0</v>
      </c>
      <c r="BS25" s="133">
        <f t="shared" si="45"/>
        <v>0</v>
      </c>
      <c r="BT25" s="133">
        <v>0</v>
      </c>
      <c r="BU25" s="133">
        <v>0</v>
      </c>
      <c r="BV25" s="133">
        <v>0</v>
      </c>
      <c r="BW25" s="133">
        <f t="shared" si="46"/>
        <v>0</v>
      </c>
      <c r="BX25" s="133">
        <v>0</v>
      </c>
      <c r="BY25" s="133">
        <v>0</v>
      </c>
      <c r="BZ25" s="133">
        <v>0</v>
      </c>
      <c r="CA25" s="133"/>
      <c r="CB25" s="133"/>
      <c r="CC25" s="555"/>
    </row>
    <row r="26" spans="1:83" ht="46.15" outlineLevel="1">
      <c r="A26" s="433">
        <v>7</v>
      </c>
      <c r="B26" s="549" t="s">
        <v>2145</v>
      </c>
      <c r="C26" s="420" t="s">
        <v>2146</v>
      </c>
      <c r="D26" s="420" t="s">
        <v>2117</v>
      </c>
      <c r="E26" s="420" t="s">
        <v>49</v>
      </c>
      <c r="F26" s="431" t="s">
        <v>105</v>
      </c>
      <c r="G26" s="422"/>
      <c r="H26" s="420" t="s">
        <v>4</v>
      </c>
      <c r="I26" s="420" t="s">
        <v>71</v>
      </c>
      <c r="J26" s="422">
        <v>2021</v>
      </c>
      <c r="K26" s="420" t="s">
        <v>2147</v>
      </c>
      <c r="L26" s="420" t="s">
        <v>2148</v>
      </c>
      <c r="M26" s="169">
        <f t="shared" si="32"/>
        <v>3000</v>
      </c>
      <c r="N26" s="169">
        <v>0</v>
      </c>
      <c r="O26" s="169">
        <v>0</v>
      </c>
      <c r="P26" s="169">
        <v>3000</v>
      </c>
      <c r="Q26" s="70" t="s">
        <v>2149</v>
      </c>
      <c r="R26" s="70" t="s">
        <v>4</v>
      </c>
      <c r="S26" s="70" t="s">
        <v>2150</v>
      </c>
      <c r="T26" s="169" t="s">
        <v>2117</v>
      </c>
      <c r="U26" s="70">
        <f t="shared" si="33"/>
        <v>0</v>
      </c>
      <c r="V26" s="70">
        <v>0</v>
      </c>
      <c r="W26" s="70">
        <v>0</v>
      </c>
      <c r="X26" s="70">
        <v>0</v>
      </c>
      <c r="Y26" s="70">
        <f t="shared" si="34"/>
        <v>177.32</v>
      </c>
      <c r="Z26" s="70">
        <v>0</v>
      </c>
      <c r="AA26" s="70">
        <v>0</v>
      </c>
      <c r="AB26" s="70">
        <f t="shared" si="35"/>
        <v>177.32</v>
      </c>
      <c r="AC26" s="67">
        <f t="shared" si="8"/>
        <v>0</v>
      </c>
      <c r="AD26" s="70">
        <v>0</v>
      </c>
      <c r="AE26" s="70">
        <v>0</v>
      </c>
      <c r="AF26" s="70">
        <v>177.32</v>
      </c>
      <c r="AG26" s="70">
        <v>0</v>
      </c>
      <c r="AH26" s="70">
        <f t="shared" si="36"/>
        <v>177.32</v>
      </c>
      <c r="AI26" s="70">
        <v>0</v>
      </c>
      <c r="AJ26" s="70">
        <v>0</v>
      </c>
      <c r="AK26" s="70">
        <f t="shared" si="37"/>
        <v>177.32</v>
      </c>
      <c r="AL26" s="70">
        <v>0</v>
      </c>
      <c r="AM26" s="70">
        <v>0</v>
      </c>
      <c r="AN26" s="70">
        <v>177.32</v>
      </c>
      <c r="AO26" s="70">
        <v>0</v>
      </c>
      <c r="AP26" s="70">
        <f t="shared" si="38"/>
        <v>177.32</v>
      </c>
      <c r="AQ26" s="70">
        <v>0</v>
      </c>
      <c r="AR26" s="70">
        <v>0</v>
      </c>
      <c r="AS26" s="70">
        <f t="shared" si="39"/>
        <v>177.32</v>
      </c>
      <c r="AT26" s="70">
        <v>0</v>
      </c>
      <c r="AU26" s="70">
        <v>0</v>
      </c>
      <c r="AV26" s="70">
        <v>177.32</v>
      </c>
      <c r="AW26" s="70">
        <v>0</v>
      </c>
      <c r="AX26" s="70">
        <f t="shared" si="40"/>
        <v>0</v>
      </c>
      <c r="AY26" s="70">
        <v>0</v>
      </c>
      <c r="AZ26" s="70">
        <v>0</v>
      </c>
      <c r="BA26" s="70">
        <f t="shared" si="41"/>
        <v>0</v>
      </c>
      <c r="BB26" s="67">
        <f t="shared" si="24"/>
        <v>0</v>
      </c>
      <c r="BC26" s="70">
        <v>0</v>
      </c>
      <c r="BD26" s="70">
        <v>0</v>
      </c>
      <c r="BE26" s="70">
        <v>0</v>
      </c>
      <c r="BF26" s="70">
        <v>0</v>
      </c>
      <c r="BG26" s="133">
        <f t="shared" si="42"/>
        <v>0</v>
      </c>
      <c r="BH26" s="133">
        <v>0</v>
      </c>
      <c r="BI26" s="133">
        <v>0</v>
      </c>
      <c r="BJ26" s="133">
        <f t="shared" si="43"/>
        <v>0</v>
      </c>
      <c r="BK26" s="133">
        <v>0</v>
      </c>
      <c r="BL26" s="133">
        <v>0</v>
      </c>
      <c r="BM26" s="133">
        <v>0</v>
      </c>
      <c r="BN26" s="133">
        <v>0</v>
      </c>
      <c r="BO26" s="133">
        <f t="shared" si="44"/>
        <v>0</v>
      </c>
      <c r="BP26" s="133">
        <v>0</v>
      </c>
      <c r="BQ26" s="133">
        <v>0</v>
      </c>
      <c r="BR26" s="133">
        <v>0</v>
      </c>
      <c r="BS26" s="133">
        <f t="shared" si="45"/>
        <v>0</v>
      </c>
      <c r="BT26" s="133">
        <v>0</v>
      </c>
      <c r="BU26" s="133">
        <v>0</v>
      </c>
      <c r="BV26" s="133">
        <v>0</v>
      </c>
      <c r="BW26" s="133">
        <f t="shared" si="46"/>
        <v>0</v>
      </c>
      <c r="BX26" s="133">
        <v>0</v>
      </c>
      <c r="BY26" s="133">
        <v>0</v>
      </c>
      <c r="BZ26" s="133">
        <v>0</v>
      </c>
      <c r="CA26" s="133"/>
      <c r="CB26" s="133"/>
      <c r="CC26" s="555"/>
    </row>
    <row r="27" spans="1:83" ht="59.25" customHeight="1" outlineLevel="1">
      <c r="A27" s="433">
        <v>8</v>
      </c>
      <c r="B27" s="549" t="s">
        <v>2151</v>
      </c>
      <c r="C27" s="420" t="s">
        <v>2116</v>
      </c>
      <c r="D27" s="420" t="s">
        <v>2117</v>
      </c>
      <c r="E27" s="420" t="s">
        <v>49</v>
      </c>
      <c r="F27" s="431" t="s">
        <v>82</v>
      </c>
      <c r="G27" s="422">
        <v>7987892</v>
      </c>
      <c r="H27" s="420" t="s">
        <v>2118</v>
      </c>
      <c r="I27" s="420" t="s">
        <v>52</v>
      </c>
      <c r="J27" s="422">
        <v>2022</v>
      </c>
      <c r="K27" s="420" t="s">
        <v>2152</v>
      </c>
      <c r="L27" s="420" t="s">
        <v>2153</v>
      </c>
      <c r="M27" s="169">
        <f t="shared" si="32"/>
        <v>19900</v>
      </c>
      <c r="N27" s="169">
        <v>0</v>
      </c>
      <c r="O27" s="169">
        <v>0</v>
      </c>
      <c r="P27" s="169">
        <v>19900</v>
      </c>
      <c r="Q27" s="70" t="s">
        <v>2154</v>
      </c>
      <c r="R27" s="70" t="s">
        <v>2118</v>
      </c>
      <c r="S27" s="70" t="s">
        <v>2122</v>
      </c>
      <c r="T27" s="169" t="s">
        <v>2117</v>
      </c>
      <c r="U27" s="70">
        <f t="shared" si="33"/>
        <v>0</v>
      </c>
      <c r="V27" s="70">
        <v>0</v>
      </c>
      <c r="W27" s="70">
        <v>0</v>
      </c>
      <c r="X27" s="70">
        <v>0</v>
      </c>
      <c r="Y27" s="70">
        <f t="shared" si="34"/>
        <v>475.98830299999997</v>
      </c>
      <c r="Z27" s="70">
        <v>0</v>
      </c>
      <c r="AA27" s="70">
        <v>0</v>
      </c>
      <c r="AB27" s="70">
        <f t="shared" si="35"/>
        <v>475.98830299999997</v>
      </c>
      <c r="AC27" s="67">
        <f t="shared" si="8"/>
        <v>0</v>
      </c>
      <c r="AD27" s="70">
        <v>0</v>
      </c>
      <c r="AE27" s="70">
        <v>0</v>
      </c>
      <c r="AF27" s="70">
        <f>33.988303</f>
        <v>33.988303000000002</v>
      </c>
      <c r="AG27" s="70">
        <v>442</v>
      </c>
      <c r="AH27" s="70">
        <f t="shared" si="36"/>
        <v>33.988303000000002</v>
      </c>
      <c r="AI27" s="70">
        <v>0</v>
      </c>
      <c r="AJ27" s="70">
        <v>0</v>
      </c>
      <c r="AK27" s="70">
        <f t="shared" si="37"/>
        <v>33.988303000000002</v>
      </c>
      <c r="AL27" s="70">
        <v>0</v>
      </c>
      <c r="AM27" s="70">
        <v>0</v>
      </c>
      <c r="AN27" s="70">
        <f>33.988303</f>
        <v>33.988303000000002</v>
      </c>
      <c r="AO27" s="70">
        <v>0</v>
      </c>
      <c r="AP27" s="70">
        <f t="shared" si="38"/>
        <v>33.988303000000002</v>
      </c>
      <c r="AQ27" s="70">
        <v>0</v>
      </c>
      <c r="AR27" s="70">
        <v>0</v>
      </c>
      <c r="AS27" s="70">
        <f t="shared" si="39"/>
        <v>33.988303000000002</v>
      </c>
      <c r="AT27" s="70">
        <v>0</v>
      </c>
      <c r="AU27" s="70">
        <v>0</v>
      </c>
      <c r="AV27" s="70">
        <f>33.988303</f>
        <v>33.988303000000002</v>
      </c>
      <c r="AW27" s="70">
        <v>0</v>
      </c>
      <c r="AX27" s="70">
        <f t="shared" si="40"/>
        <v>0</v>
      </c>
      <c r="AY27" s="70">
        <v>0</v>
      </c>
      <c r="AZ27" s="70">
        <v>0</v>
      </c>
      <c r="BA27" s="70">
        <f t="shared" si="41"/>
        <v>0</v>
      </c>
      <c r="BB27" s="67">
        <f t="shared" si="24"/>
        <v>0</v>
      </c>
      <c r="BC27" s="70">
        <v>0</v>
      </c>
      <c r="BD27" s="70">
        <v>0</v>
      </c>
      <c r="BE27" s="70">
        <v>0</v>
      </c>
      <c r="BF27" s="70">
        <v>0</v>
      </c>
      <c r="BG27" s="133">
        <f t="shared" si="42"/>
        <v>0</v>
      </c>
      <c r="BH27" s="133">
        <v>0</v>
      </c>
      <c r="BI27" s="133">
        <v>0</v>
      </c>
      <c r="BJ27" s="133">
        <f t="shared" si="43"/>
        <v>0</v>
      </c>
      <c r="BK27" s="133">
        <v>0</v>
      </c>
      <c r="BL27" s="133">
        <v>0</v>
      </c>
      <c r="BM27" s="133">
        <v>0</v>
      </c>
      <c r="BN27" s="133">
        <v>0</v>
      </c>
      <c r="BO27" s="133">
        <f t="shared" si="44"/>
        <v>0</v>
      </c>
      <c r="BP27" s="133">
        <v>0</v>
      </c>
      <c r="BQ27" s="133">
        <v>0</v>
      </c>
      <c r="BR27" s="133">
        <v>0</v>
      </c>
      <c r="BS27" s="133">
        <f t="shared" si="45"/>
        <v>0</v>
      </c>
      <c r="BT27" s="133">
        <v>0</v>
      </c>
      <c r="BU27" s="133">
        <v>0</v>
      </c>
      <c r="BV27" s="133">
        <v>0</v>
      </c>
      <c r="BW27" s="133">
        <f t="shared" si="46"/>
        <v>0</v>
      </c>
      <c r="BX27" s="133">
        <v>0</v>
      </c>
      <c r="BY27" s="133">
        <v>0</v>
      </c>
      <c r="BZ27" s="133">
        <v>0</v>
      </c>
      <c r="CA27" s="133"/>
      <c r="CB27" s="133"/>
      <c r="CC27" s="555"/>
    </row>
    <row r="28" spans="1:83" ht="69.75" customHeight="1" outlineLevel="1">
      <c r="A28" s="433">
        <v>9</v>
      </c>
      <c r="B28" s="549" t="s">
        <v>2155</v>
      </c>
      <c r="C28" s="420" t="s">
        <v>2116</v>
      </c>
      <c r="D28" s="420" t="s">
        <v>2117</v>
      </c>
      <c r="E28" s="420" t="s">
        <v>49</v>
      </c>
      <c r="F28" s="431" t="s">
        <v>82</v>
      </c>
      <c r="G28" s="422">
        <v>8109476</v>
      </c>
      <c r="H28" s="420" t="s">
        <v>2118</v>
      </c>
      <c r="I28" s="420" t="s">
        <v>84</v>
      </c>
      <c r="J28" s="422">
        <v>2024</v>
      </c>
      <c r="K28" s="420"/>
      <c r="L28" s="420" t="s">
        <v>2156</v>
      </c>
      <c r="M28" s="169">
        <f t="shared" si="32"/>
        <v>1600</v>
      </c>
      <c r="N28" s="169">
        <v>0</v>
      </c>
      <c r="O28" s="169">
        <v>0</v>
      </c>
      <c r="P28" s="169">
        <v>1600</v>
      </c>
      <c r="Q28" s="70" t="s">
        <v>2157</v>
      </c>
      <c r="R28" s="70" t="s">
        <v>2118</v>
      </c>
      <c r="S28" s="70" t="s">
        <v>2122</v>
      </c>
      <c r="T28" s="169" t="s">
        <v>2117</v>
      </c>
      <c r="U28" s="70">
        <f t="shared" si="33"/>
        <v>0</v>
      </c>
      <c r="V28" s="70">
        <v>0</v>
      </c>
      <c r="W28" s="70">
        <v>0</v>
      </c>
      <c r="X28" s="70">
        <v>0</v>
      </c>
      <c r="Y28" s="70">
        <f t="shared" si="34"/>
        <v>7.1079999999999997</v>
      </c>
      <c r="Z28" s="70">
        <v>0</v>
      </c>
      <c r="AA28" s="70">
        <v>0</v>
      </c>
      <c r="AB28" s="70">
        <f t="shared" si="35"/>
        <v>7.1079999999999997</v>
      </c>
      <c r="AC28" s="67">
        <f t="shared" si="8"/>
        <v>0</v>
      </c>
      <c r="AD28" s="70">
        <v>0</v>
      </c>
      <c r="AE28" s="70">
        <v>0</v>
      </c>
      <c r="AF28" s="70">
        <v>7.1079999999999997</v>
      </c>
      <c r="AG28" s="70">
        <v>0</v>
      </c>
      <c r="AH28" s="70">
        <f t="shared" si="36"/>
        <v>0</v>
      </c>
      <c r="AI28" s="70">
        <v>0</v>
      </c>
      <c r="AJ28" s="70">
        <v>0</v>
      </c>
      <c r="AK28" s="70">
        <f t="shared" si="37"/>
        <v>0</v>
      </c>
      <c r="AL28" s="70">
        <v>0</v>
      </c>
      <c r="AM28" s="70">
        <v>0</v>
      </c>
      <c r="AN28" s="70">
        <v>0</v>
      </c>
      <c r="AO28" s="70">
        <v>0</v>
      </c>
      <c r="AP28" s="70">
        <f t="shared" si="38"/>
        <v>0</v>
      </c>
      <c r="AQ28" s="70">
        <v>0</v>
      </c>
      <c r="AR28" s="70">
        <v>0</v>
      </c>
      <c r="AS28" s="70">
        <f t="shared" si="39"/>
        <v>0</v>
      </c>
      <c r="AT28" s="70">
        <v>0</v>
      </c>
      <c r="AU28" s="70">
        <v>0</v>
      </c>
      <c r="AV28" s="70">
        <v>0</v>
      </c>
      <c r="AW28" s="70">
        <v>0</v>
      </c>
      <c r="AX28" s="70">
        <f t="shared" si="40"/>
        <v>7.1079999999999997</v>
      </c>
      <c r="AY28" s="70">
        <v>0</v>
      </c>
      <c r="AZ28" s="70">
        <v>0</v>
      </c>
      <c r="BA28" s="70">
        <f t="shared" si="41"/>
        <v>7.1079999999999997</v>
      </c>
      <c r="BB28" s="67">
        <f t="shared" si="24"/>
        <v>0</v>
      </c>
      <c r="BC28" s="70">
        <v>0</v>
      </c>
      <c r="BD28" s="70">
        <v>0</v>
      </c>
      <c r="BE28" s="70">
        <v>7.1079999999999997</v>
      </c>
      <c r="BF28" s="70">
        <v>0</v>
      </c>
      <c r="BG28" s="133">
        <f t="shared" si="42"/>
        <v>7.1079999999999997</v>
      </c>
      <c r="BH28" s="133">
        <v>0</v>
      </c>
      <c r="BI28" s="133">
        <v>0</v>
      </c>
      <c r="BJ28" s="133">
        <f t="shared" si="43"/>
        <v>7.1079999999999997</v>
      </c>
      <c r="BK28" s="133">
        <v>0</v>
      </c>
      <c r="BL28" s="133">
        <v>0</v>
      </c>
      <c r="BM28" s="133">
        <v>7.1079999999999997</v>
      </c>
      <c r="BN28" s="133">
        <v>0</v>
      </c>
      <c r="BO28" s="133">
        <f t="shared" si="44"/>
        <v>0</v>
      </c>
      <c r="BP28" s="133">
        <v>0</v>
      </c>
      <c r="BQ28" s="133">
        <v>0</v>
      </c>
      <c r="BR28" s="133">
        <v>0</v>
      </c>
      <c r="BS28" s="133">
        <f t="shared" si="45"/>
        <v>0</v>
      </c>
      <c r="BT28" s="133">
        <v>0</v>
      </c>
      <c r="BU28" s="133">
        <v>0</v>
      </c>
      <c r="BV28" s="133">
        <v>0</v>
      </c>
      <c r="BW28" s="133">
        <f t="shared" si="46"/>
        <v>0</v>
      </c>
      <c r="BX28" s="133">
        <v>0</v>
      </c>
      <c r="BY28" s="133">
        <v>0</v>
      </c>
      <c r="BZ28" s="133">
        <v>0</v>
      </c>
      <c r="CA28" s="133"/>
      <c r="CB28" s="133"/>
      <c r="CC28" s="555"/>
    </row>
    <row r="29" spans="1:83" ht="30.75" outlineLevel="1">
      <c r="A29" s="433">
        <v>10</v>
      </c>
      <c r="B29" s="549" t="s">
        <v>2158</v>
      </c>
      <c r="C29" s="420" t="s">
        <v>2116</v>
      </c>
      <c r="D29" s="420" t="s">
        <v>2117</v>
      </c>
      <c r="E29" s="420" t="s">
        <v>49</v>
      </c>
      <c r="F29" s="431" t="s">
        <v>82</v>
      </c>
      <c r="G29" s="422">
        <v>8122534</v>
      </c>
      <c r="H29" s="420" t="s">
        <v>2118</v>
      </c>
      <c r="I29" s="420" t="s">
        <v>84</v>
      </c>
      <c r="J29" s="422">
        <v>2024</v>
      </c>
      <c r="K29" s="420"/>
      <c r="L29" s="420" t="s">
        <v>2159</v>
      </c>
      <c r="M29" s="169">
        <f t="shared" si="32"/>
        <v>700</v>
      </c>
      <c r="N29" s="169">
        <v>0</v>
      </c>
      <c r="O29" s="169">
        <v>0</v>
      </c>
      <c r="P29" s="169">
        <v>700</v>
      </c>
      <c r="Q29" s="70" t="s">
        <v>2160</v>
      </c>
      <c r="R29" s="70" t="s">
        <v>2118</v>
      </c>
      <c r="S29" s="70" t="s">
        <v>2122</v>
      </c>
      <c r="T29" s="169" t="s">
        <v>2117</v>
      </c>
      <c r="U29" s="70">
        <f t="shared" si="33"/>
        <v>0</v>
      </c>
      <c r="V29" s="70">
        <v>0</v>
      </c>
      <c r="W29" s="70">
        <v>0</v>
      </c>
      <c r="X29" s="70">
        <v>0</v>
      </c>
      <c r="Y29" s="70">
        <f t="shared" si="34"/>
        <v>3.5419999999999998</v>
      </c>
      <c r="Z29" s="70">
        <v>0</v>
      </c>
      <c r="AA29" s="70">
        <v>0</v>
      </c>
      <c r="AB29" s="70">
        <f t="shared" si="35"/>
        <v>3.5419999999999998</v>
      </c>
      <c r="AC29" s="67">
        <f t="shared" si="8"/>
        <v>0</v>
      </c>
      <c r="AD29" s="70">
        <v>0</v>
      </c>
      <c r="AE29" s="70">
        <v>0</v>
      </c>
      <c r="AF29" s="70">
        <v>3.5419999999999998</v>
      </c>
      <c r="AG29" s="70">
        <v>0</v>
      </c>
      <c r="AH29" s="70">
        <f t="shared" si="36"/>
        <v>0</v>
      </c>
      <c r="AI29" s="70">
        <v>0</v>
      </c>
      <c r="AJ29" s="70">
        <v>0</v>
      </c>
      <c r="AK29" s="70">
        <f t="shared" si="37"/>
        <v>0</v>
      </c>
      <c r="AL29" s="70">
        <v>0</v>
      </c>
      <c r="AM29" s="70">
        <v>0</v>
      </c>
      <c r="AN29" s="70">
        <v>0</v>
      </c>
      <c r="AO29" s="70">
        <v>0</v>
      </c>
      <c r="AP29" s="70">
        <f t="shared" si="38"/>
        <v>0</v>
      </c>
      <c r="AQ29" s="70">
        <v>0</v>
      </c>
      <c r="AR29" s="70">
        <v>0</v>
      </c>
      <c r="AS29" s="70">
        <f t="shared" si="39"/>
        <v>0</v>
      </c>
      <c r="AT29" s="70">
        <v>0</v>
      </c>
      <c r="AU29" s="70">
        <v>0</v>
      </c>
      <c r="AV29" s="70">
        <v>0</v>
      </c>
      <c r="AW29" s="70">
        <v>0</v>
      </c>
      <c r="AX29" s="70">
        <f t="shared" si="40"/>
        <v>3.5419999999999998</v>
      </c>
      <c r="AY29" s="70">
        <v>0</v>
      </c>
      <c r="AZ29" s="70">
        <v>0</v>
      </c>
      <c r="BA29" s="70">
        <f t="shared" si="41"/>
        <v>3.5419999999999998</v>
      </c>
      <c r="BB29" s="67">
        <f t="shared" si="24"/>
        <v>0</v>
      </c>
      <c r="BC29" s="70">
        <v>0</v>
      </c>
      <c r="BD29" s="70">
        <v>0</v>
      </c>
      <c r="BE29" s="70">
        <v>3.5419999999999998</v>
      </c>
      <c r="BF29" s="70">
        <v>0</v>
      </c>
      <c r="BG29" s="133">
        <f t="shared" si="42"/>
        <v>3.5419999999999998</v>
      </c>
      <c r="BH29" s="133">
        <v>0</v>
      </c>
      <c r="BI29" s="133">
        <v>0</v>
      </c>
      <c r="BJ29" s="133">
        <f t="shared" si="43"/>
        <v>3.5419999999999998</v>
      </c>
      <c r="BK29" s="133">
        <v>0</v>
      </c>
      <c r="BL29" s="133">
        <v>0</v>
      </c>
      <c r="BM29" s="133">
        <v>3.5419999999999998</v>
      </c>
      <c r="BN29" s="133">
        <v>0</v>
      </c>
      <c r="BO29" s="133">
        <f t="shared" si="44"/>
        <v>0</v>
      </c>
      <c r="BP29" s="133">
        <v>0</v>
      </c>
      <c r="BQ29" s="133">
        <v>0</v>
      </c>
      <c r="BR29" s="133">
        <v>0</v>
      </c>
      <c r="BS29" s="133">
        <f t="shared" si="45"/>
        <v>0</v>
      </c>
      <c r="BT29" s="133">
        <v>0</v>
      </c>
      <c r="BU29" s="133">
        <v>0</v>
      </c>
      <c r="BV29" s="133">
        <v>0</v>
      </c>
      <c r="BW29" s="133">
        <f t="shared" si="46"/>
        <v>0</v>
      </c>
      <c r="BX29" s="133">
        <v>0</v>
      </c>
      <c r="BY29" s="133">
        <v>0</v>
      </c>
      <c r="BZ29" s="133">
        <v>0</v>
      </c>
      <c r="CA29" s="133"/>
      <c r="CB29" s="133"/>
      <c r="CC29" s="555"/>
    </row>
    <row r="30" spans="1:83" ht="46.15" outlineLevel="1">
      <c r="A30" s="433">
        <v>11</v>
      </c>
      <c r="B30" s="549" t="s">
        <v>2161</v>
      </c>
      <c r="C30" s="420" t="s">
        <v>2162</v>
      </c>
      <c r="D30" s="420" t="s">
        <v>2117</v>
      </c>
      <c r="E30" s="420" t="s">
        <v>49</v>
      </c>
      <c r="F30" s="431" t="s">
        <v>82</v>
      </c>
      <c r="G30" s="422">
        <v>8057091</v>
      </c>
      <c r="H30" s="420" t="s">
        <v>2137</v>
      </c>
      <c r="I30" s="420" t="s">
        <v>54</v>
      </c>
      <c r="J30" s="422">
        <v>2023</v>
      </c>
      <c r="K30" s="420" t="s">
        <v>2163</v>
      </c>
      <c r="L30" s="420" t="s">
        <v>2164</v>
      </c>
      <c r="M30" s="169">
        <f t="shared" si="32"/>
        <v>1500</v>
      </c>
      <c r="N30" s="169">
        <v>0</v>
      </c>
      <c r="O30" s="169">
        <v>0</v>
      </c>
      <c r="P30" s="169">
        <v>1500</v>
      </c>
      <c r="Q30" s="70" t="s">
        <v>2165</v>
      </c>
      <c r="R30" s="70" t="s">
        <v>2137</v>
      </c>
      <c r="S30" s="70" t="s">
        <v>2122</v>
      </c>
      <c r="T30" s="169" t="s">
        <v>2117</v>
      </c>
      <c r="U30" s="70">
        <f t="shared" si="33"/>
        <v>0</v>
      </c>
      <c r="V30" s="70">
        <v>0</v>
      </c>
      <c r="W30" s="70">
        <v>0</v>
      </c>
      <c r="X30" s="70">
        <v>0</v>
      </c>
      <c r="Y30" s="70">
        <f t="shared" si="34"/>
        <v>5.6829999999999998</v>
      </c>
      <c r="Z30" s="70">
        <v>0</v>
      </c>
      <c r="AA30" s="70">
        <v>0</v>
      </c>
      <c r="AB30" s="70">
        <f t="shared" si="35"/>
        <v>5.6829999999999998</v>
      </c>
      <c r="AC30" s="67">
        <f t="shared" si="8"/>
        <v>0</v>
      </c>
      <c r="AD30" s="70">
        <v>0</v>
      </c>
      <c r="AE30" s="70">
        <v>0</v>
      </c>
      <c r="AF30" s="70">
        <v>5.6829999999999998</v>
      </c>
      <c r="AG30" s="70">
        <v>0</v>
      </c>
      <c r="AH30" s="70">
        <f t="shared" si="36"/>
        <v>0</v>
      </c>
      <c r="AI30" s="70">
        <v>0</v>
      </c>
      <c r="AJ30" s="70">
        <v>0</v>
      </c>
      <c r="AK30" s="70">
        <f t="shared" si="37"/>
        <v>0</v>
      </c>
      <c r="AL30" s="70">
        <v>0</v>
      </c>
      <c r="AM30" s="70">
        <v>0</v>
      </c>
      <c r="AN30" s="70">
        <v>0</v>
      </c>
      <c r="AO30" s="70">
        <v>0</v>
      </c>
      <c r="AP30" s="70">
        <f t="shared" si="38"/>
        <v>0</v>
      </c>
      <c r="AQ30" s="70">
        <v>0</v>
      </c>
      <c r="AR30" s="70">
        <v>0</v>
      </c>
      <c r="AS30" s="70">
        <f t="shared" si="39"/>
        <v>0</v>
      </c>
      <c r="AT30" s="70">
        <v>0</v>
      </c>
      <c r="AU30" s="70">
        <v>0</v>
      </c>
      <c r="AV30" s="70">
        <v>0</v>
      </c>
      <c r="AW30" s="70">
        <v>0</v>
      </c>
      <c r="AX30" s="70">
        <f t="shared" si="40"/>
        <v>5.6829999999999998</v>
      </c>
      <c r="AY30" s="70">
        <v>0</v>
      </c>
      <c r="AZ30" s="70">
        <v>0</v>
      </c>
      <c r="BA30" s="70">
        <f t="shared" si="41"/>
        <v>5.6829999999999998</v>
      </c>
      <c r="BB30" s="67">
        <f t="shared" si="24"/>
        <v>0</v>
      </c>
      <c r="BC30" s="70">
        <v>0</v>
      </c>
      <c r="BD30" s="70">
        <v>0</v>
      </c>
      <c r="BE30" s="70">
        <v>5.6829999999999998</v>
      </c>
      <c r="BF30" s="70">
        <v>0</v>
      </c>
      <c r="BG30" s="133">
        <f t="shared" si="42"/>
        <v>5.6829999999999998</v>
      </c>
      <c r="BH30" s="133">
        <v>0</v>
      </c>
      <c r="BI30" s="133">
        <v>0</v>
      </c>
      <c r="BJ30" s="133">
        <f t="shared" si="43"/>
        <v>5.6829999999999998</v>
      </c>
      <c r="BK30" s="133">
        <v>0</v>
      </c>
      <c r="BL30" s="133">
        <v>0</v>
      </c>
      <c r="BM30" s="133">
        <v>5.6829999999999998</v>
      </c>
      <c r="BN30" s="133">
        <v>0</v>
      </c>
      <c r="BO30" s="133">
        <f t="shared" si="44"/>
        <v>0</v>
      </c>
      <c r="BP30" s="133">
        <v>0</v>
      </c>
      <c r="BQ30" s="133">
        <v>0</v>
      </c>
      <c r="BR30" s="133">
        <v>0</v>
      </c>
      <c r="BS30" s="133">
        <f t="shared" si="45"/>
        <v>0</v>
      </c>
      <c r="BT30" s="133">
        <v>0</v>
      </c>
      <c r="BU30" s="133">
        <v>0</v>
      </c>
      <c r="BV30" s="133">
        <v>0</v>
      </c>
      <c r="BW30" s="133">
        <f t="shared" si="46"/>
        <v>0</v>
      </c>
      <c r="BX30" s="133">
        <v>0</v>
      </c>
      <c r="BY30" s="133">
        <v>0</v>
      </c>
      <c r="BZ30" s="133">
        <v>0</v>
      </c>
      <c r="CA30" s="133"/>
      <c r="CB30" s="133"/>
      <c r="CC30" s="555"/>
    </row>
    <row r="31" spans="1:83" ht="20.100000000000001" customHeight="1" outlineLevel="1">
      <c r="A31" s="553" t="s">
        <v>45</v>
      </c>
      <c r="B31" s="418" t="s">
        <v>2166</v>
      </c>
      <c r="C31" s="552"/>
      <c r="D31" s="485"/>
      <c r="E31" s="552"/>
      <c r="F31" s="552"/>
      <c r="G31" s="552"/>
      <c r="H31" s="552"/>
      <c r="I31" s="552"/>
      <c r="J31" s="552"/>
      <c r="K31" s="552"/>
      <c r="L31" s="552"/>
      <c r="M31" s="209">
        <f>SUM(M32:M34)</f>
        <v>187279.35999999999</v>
      </c>
      <c r="N31" s="209">
        <f t="shared" ref="N31:BZ31" si="47">SUM(N32:N34)</f>
        <v>0</v>
      </c>
      <c r="O31" s="209">
        <f t="shared" si="47"/>
        <v>0</v>
      </c>
      <c r="P31" s="209">
        <f t="shared" si="47"/>
        <v>187279.35999999999</v>
      </c>
      <c r="Q31" s="209">
        <f t="shared" si="47"/>
        <v>0</v>
      </c>
      <c r="R31" s="209">
        <f t="shared" si="47"/>
        <v>0</v>
      </c>
      <c r="S31" s="209">
        <f t="shared" si="47"/>
        <v>0</v>
      </c>
      <c r="T31" s="209">
        <f t="shared" si="47"/>
        <v>0</v>
      </c>
      <c r="U31" s="209">
        <f t="shared" si="47"/>
        <v>31850.731813999999</v>
      </c>
      <c r="V31" s="209">
        <f t="shared" si="47"/>
        <v>25865.164285999999</v>
      </c>
      <c r="W31" s="209">
        <f t="shared" si="47"/>
        <v>0</v>
      </c>
      <c r="X31" s="209">
        <f t="shared" si="47"/>
        <v>5985.5675279999996</v>
      </c>
      <c r="Y31" s="209">
        <f t="shared" si="47"/>
        <v>139782</v>
      </c>
      <c r="Z31" s="209">
        <f t="shared" si="47"/>
        <v>10000</v>
      </c>
      <c r="AA31" s="209">
        <f t="shared" si="47"/>
        <v>0</v>
      </c>
      <c r="AB31" s="209">
        <f t="shared" si="47"/>
        <v>129782</v>
      </c>
      <c r="AC31" s="67">
        <f t="shared" si="8"/>
        <v>15641</v>
      </c>
      <c r="AD31" s="209">
        <f t="shared" si="47"/>
        <v>15641</v>
      </c>
      <c r="AE31" s="209">
        <f t="shared" si="47"/>
        <v>0</v>
      </c>
      <c r="AF31" s="209">
        <f t="shared" si="47"/>
        <v>96670</v>
      </c>
      <c r="AG31" s="209">
        <f t="shared" si="47"/>
        <v>17471</v>
      </c>
      <c r="AH31" s="209">
        <f t="shared" si="47"/>
        <v>50978.041700000002</v>
      </c>
      <c r="AI31" s="209">
        <f t="shared" si="47"/>
        <v>14500</v>
      </c>
      <c r="AJ31" s="209">
        <f t="shared" si="47"/>
        <v>0</v>
      </c>
      <c r="AK31" s="209">
        <f t="shared" si="47"/>
        <v>36478.041700000002</v>
      </c>
      <c r="AL31" s="209">
        <f t="shared" si="47"/>
        <v>0</v>
      </c>
      <c r="AM31" s="209">
        <f t="shared" si="47"/>
        <v>0</v>
      </c>
      <c r="AN31" s="209">
        <f t="shared" si="47"/>
        <v>35740.041700000002</v>
      </c>
      <c r="AO31" s="209">
        <f t="shared" si="47"/>
        <v>738</v>
      </c>
      <c r="AP31" s="209">
        <f t="shared" si="47"/>
        <v>50978.041700000002</v>
      </c>
      <c r="AQ31" s="209">
        <f t="shared" si="47"/>
        <v>14500</v>
      </c>
      <c r="AR31" s="209">
        <f t="shared" si="47"/>
        <v>0</v>
      </c>
      <c r="AS31" s="209">
        <f t="shared" si="47"/>
        <v>36478.041700000002</v>
      </c>
      <c r="AT31" s="209">
        <f t="shared" si="47"/>
        <v>0</v>
      </c>
      <c r="AU31" s="209">
        <f t="shared" si="47"/>
        <v>0</v>
      </c>
      <c r="AV31" s="209">
        <f t="shared" si="47"/>
        <v>35740.041700000002</v>
      </c>
      <c r="AW31" s="209">
        <f t="shared" si="47"/>
        <v>738</v>
      </c>
      <c r="AX31" s="209">
        <f t="shared" si="47"/>
        <v>42375.517</v>
      </c>
      <c r="AY31" s="209">
        <f t="shared" si="47"/>
        <v>0</v>
      </c>
      <c r="AZ31" s="209">
        <f t="shared" si="47"/>
        <v>0</v>
      </c>
      <c r="BA31" s="209">
        <f t="shared" si="47"/>
        <v>42375.517</v>
      </c>
      <c r="BB31" s="67">
        <f t="shared" si="24"/>
        <v>5643</v>
      </c>
      <c r="BC31" s="209">
        <f t="shared" si="47"/>
        <v>5643</v>
      </c>
      <c r="BD31" s="209">
        <f t="shared" si="47"/>
        <v>0</v>
      </c>
      <c r="BE31" s="209">
        <f t="shared" si="47"/>
        <v>20000</v>
      </c>
      <c r="BF31" s="209">
        <f t="shared" si="47"/>
        <v>16732.517</v>
      </c>
      <c r="BG31" s="554">
        <f t="shared" si="47"/>
        <v>27944.133999999998</v>
      </c>
      <c r="BH31" s="554">
        <f t="shared" si="47"/>
        <v>0</v>
      </c>
      <c r="BI31" s="554">
        <f t="shared" si="47"/>
        <v>0</v>
      </c>
      <c r="BJ31" s="554">
        <f t="shared" si="47"/>
        <v>27944.133999999998</v>
      </c>
      <c r="BK31" s="554">
        <f t="shared" si="47"/>
        <v>5641.6170000000002</v>
      </c>
      <c r="BL31" s="554">
        <f t="shared" si="47"/>
        <v>0</v>
      </c>
      <c r="BM31" s="554">
        <f t="shared" si="47"/>
        <v>5570</v>
      </c>
      <c r="BN31" s="554">
        <f t="shared" si="47"/>
        <v>16732.517</v>
      </c>
      <c r="BO31" s="554">
        <f t="shared" si="47"/>
        <v>0</v>
      </c>
      <c r="BP31" s="554">
        <f t="shared" si="47"/>
        <v>0</v>
      </c>
      <c r="BQ31" s="554">
        <f t="shared" si="47"/>
        <v>0</v>
      </c>
      <c r="BR31" s="554">
        <f t="shared" si="47"/>
        <v>0</v>
      </c>
      <c r="BS31" s="554">
        <f t="shared" si="47"/>
        <v>0</v>
      </c>
      <c r="BT31" s="554">
        <f t="shared" si="47"/>
        <v>0</v>
      </c>
      <c r="BU31" s="554">
        <f t="shared" si="47"/>
        <v>0</v>
      </c>
      <c r="BV31" s="554">
        <f t="shared" si="47"/>
        <v>0</v>
      </c>
      <c r="BW31" s="554">
        <f t="shared" si="47"/>
        <v>16217.508000000002</v>
      </c>
      <c r="BX31" s="554">
        <f t="shared" si="47"/>
        <v>0</v>
      </c>
      <c r="BY31" s="554">
        <f t="shared" si="47"/>
        <v>0</v>
      </c>
      <c r="BZ31" s="554">
        <f t="shared" si="47"/>
        <v>16217.508000000002</v>
      </c>
      <c r="CA31" s="552"/>
      <c r="CB31" s="552"/>
      <c r="CC31" s="552"/>
    </row>
    <row r="32" spans="1:83" ht="50.25" customHeight="1" outlineLevel="1">
      <c r="A32" s="433">
        <v>1</v>
      </c>
      <c r="B32" s="549" t="s">
        <v>2167</v>
      </c>
      <c r="C32" s="420" t="s">
        <v>2116</v>
      </c>
      <c r="D32" s="420" t="s">
        <v>2117</v>
      </c>
      <c r="E32" s="420" t="s">
        <v>10</v>
      </c>
      <c r="F32" s="431" t="s">
        <v>48</v>
      </c>
      <c r="G32" s="422">
        <v>7785542</v>
      </c>
      <c r="H32" s="420" t="s">
        <v>2118</v>
      </c>
      <c r="I32" s="422" t="s">
        <v>2168</v>
      </c>
      <c r="J32" s="422">
        <v>2019</v>
      </c>
      <c r="K32" s="420" t="s">
        <v>2169</v>
      </c>
      <c r="L32" s="420" t="s">
        <v>2170</v>
      </c>
      <c r="M32" s="169">
        <f>SUM(N32:P32)</f>
        <v>152279.35999999999</v>
      </c>
      <c r="N32" s="169">
        <v>0</v>
      </c>
      <c r="O32" s="169">
        <v>0</v>
      </c>
      <c r="P32" s="169">
        <v>152279.35999999999</v>
      </c>
      <c r="Q32" s="70" t="s">
        <v>2171</v>
      </c>
      <c r="R32" s="70" t="s">
        <v>2118</v>
      </c>
      <c r="S32" s="169" t="s">
        <v>2122</v>
      </c>
      <c r="T32" s="169" t="s">
        <v>2117</v>
      </c>
      <c r="U32" s="70">
        <f>SUM(V32:X32)</f>
        <v>26025.164285999999</v>
      </c>
      <c r="V32" s="70">
        <v>25865.164285999999</v>
      </c>
      <c r="W32" s="70">
        <v>0</v>
      </c>
      <c r="X32" s="70">
        <v>160</v>
      </c>
      <c r="Y32" s="70">
        <f>SUM(Z32:AB32)</f>
        <v>114661</v>
      </c>
      <c r="Z32" s="70">
        <v>10000</v>
      </c>
      <c r="AA32" s="70">
        <v>0</v>
      </c>
      <c r="AB32" s="70">
        <f>SUM(AD32:AG32)</f>
        <v>104661</v>
      </c>
      <c r="AC32" s="70">
        <f t="shared" si="8"/>
        <v>15641</v>
      </c>
      <c r="AD32" s="70">
        <f>5641+10000</f>
        <v>15641</v>
      </c>
      <c r="AE32" s="70">
        <v>0</v>
      </c>
      <c r="AF32" s="70">
        <v>72287</v>
      </c>
      <c r="AG32" s="70">
        <v>16733</v>
      </c>
      <c r="AH32" s="70">
        <f>SUM(AI32:AK32)</f>
        <v>23233.194</v>
      </c>
      <c r="AI32" s="70">
        <v>14500</v>
      </c>
      <c r="AJ32" s="70"/>
      <c r="AK32" s="70">
        <f>SUM(AL32:AO32)</f>
        <v>8733.1939999999995</v>
      </c>
      <c r="AL32" s="70">
        <v>0</v>
      </c>
      <c r="AM32" s="70"/>
      <c r="AN32" s="70">
        <v>8733.1939999999995</v>
      </c>
      <c r="AO32" s="70">
        <v>0</v>
      </c>
      <c r="AP32" s="70">
        <f>SUM(AQ32:AS32)</f>
        <v>23233.194</v>
      </c>
      <c r="AQ32" s="70">
        <v>14500</v>
      </c>
      <c r="AR32" s="70"/>
      <c r="AS32" s="70">
        <f>SUM(AT32:AW32)</f>
        <v>8733.1939999999995</v>
      </c>
      <c r="AT32" s="70">
        <v>0</v>
      </c>
      <c r="AU32" s="70"/>
      <c r="AV32" s="70">
        <v>8733.1939999999995</v>
      </c>
      <c r="AW32" s="70">
        <v>0</v>
      </c>
      <c r="AX32" s="70">
        <f>SUM(AY32:BA32)</f>
        <v>42375.517</v>
      </c>
      <c r="AY32" s="70">
        <v>0</v>
      </c>
      <c r="AZ32" s="70">
        <v>0</v>
      </c>
      <c r="BA32" s="70">
        <f>SUM(BC32:BF32)</f>
        <v>42375.517</v>
      </c>
      <c r="BB32" s="70">
        <f t="shared" si="24"/>
        <v>5643</v>
      </c>
      <c r="BC32" s="70">
        <v>5643</v>
      </c>
      <c r="BD32" s="70">
        <v>0</v>
      </c>
      <c r="BE32" s="70">
        <v>20000</v>
      </c>
      <c r="BF32" s="70">
        <v>16732.517</v>
      </c>
      <c r="BG32" s="133">
        <f>SUM(BH32:BJ32)</f>
        <v>27944.133999999998</v>
      </c>
      <c r="BH32" s="133">
        <v>0</v>
      </c>
      <c r="BI32" s="133">
        <v>0</v>
      </c>
      <c r="BJ32" s="133">
        <f>SUM(BK32:BN32)</f>
        <v>27944.133999999998</v>
      </c>
      <c r="BK32" s="133">
        <v>5641.6170000000002</v>
      </c>
      <c r="BL32" s="133">
        <v>0</v>
      </c>
      <c r="BM32" s="133">
        <v>5570</v>
      </c>
      <c r="BN32" s="133">
        <v>16732.517</v>
      </c>
      <c r="BO32" s="133">
        <f>SUM(BP32:BR32)</f>
        <v>0</v>
      </c>
      <c r="BP32" s="133">
        <v>0</v>
      </c>
      <c r="BQ32" s="133">
        <v>0</v>
      </c>
      <c r="BR32" s="133">
        <v>0</v>
      </c>
      <c r="BS32" s="133">
        <f>SUM(BT32:BV32)</f>
        <v>0</v>
      </c>
      <c r="BT32" s="133">
        <v>0</v>
      </c>
      <c r="BU32" s="133">
        <v>0</v>
      </c>
      <c r="BV32" s="133">
        <v>0</v>
      </c>
      <c r="BW32" s="133">
        <f>SUM(BX32:BZ32)</f>
        <v>16217.508000000002</v>
      </c>
      <c r="BX32" s="133"/>
      <c r="BY32" s="133"/>
      <c r="BZ32" s="133">
        <v>16217.508000000002</v>
      </c>
      <c r="CA32" s="133"/>
      <c r="CB32" s="133"/>
      <c r="CC32" s="434"/>
    </row>
    <row r="33" spans="1:81" ht="46.15" outlineLevel="1">
      <c r="A33" s="433">
        <v>2</v>
      </c>
      <c r="B33" s="549" t="s">
        <v>2115</v>
      </c>
      <c r="C33" s="420" t="s">
        <v>2116</v>
      </c>
      <c r="D33" s="420" t="s">
        <v>2117</v>
      </c>
      <c r="E33" s="420" t="s">
        <v>49</v>
      </c>
      <c r="F33" s="431" t="s">
        <v>82</v>
      </c>
      <c r="G33" s="422">
        <v>7785543</v>
      </c>
      <c r="H33" s="420" t="s">
        <v>2118</v>
      </c>
      <c r="I33" s="420" t="s">
        <v>81</v>
      </c>
      <c r="J33" s="422">
        <v>2019</v>
      </c>
      <c r="K33" s="420" t="s">
        <v>2119</v>
      </c>
      <c r="L33" s="420" t="s">
        <v>2120</v>
      </c>
      <c r="M33" s="169">
        <f>SUM(N33:P33)</f>
        <v>26000</v>
      </c>
      <c r="N33" s="169">
        <v>0</v>
      </c>
      <c r="O33" s="169">
        <v>0</v>
      </c>
      <c r="P33" s="169">
        <v>26000</v>
      </c>
      <c r="Q33" s="70" t="s">
        <v>2121</v>
      </c>
      <c r="R33" s="70" t="s">
        <v>2118</v>
      </c>
      <c r="S33" s="70" t="s">
        <v>2122</v>
      </c>
      <c r="T33" s="169" t="s">
        <v>2117</v>
      </c>
      <c r="U33" s="70">
        <f>SUM(V33:X33)</f>
        <v>3576.567528</v>
      </c>
      <c r="V33" s="70">
        <v>0</v>
      </c>
      <c r="W33" s="70">
        <v>0</v>
      </c>
      <c r="X33" s="70">
        <f>3526.567528+50</f>
        <v>3576.567528</v>
      </c>
      <c r="Y33" s="70">
        <f>SUM(Z33:AB33)</f>
        <v>21438</v>
      </c>
      <c r="Z33" s="70">
        <v>0</v>
      </c>
      <c r="AA33" s="70">
        <v>0</v>
      </c>
      <c r="AB33" s="70">
        <f>SUM(AD33:AG33)</f>
        <v>21438</v>
      </c>
      <c r="AC33" s="67">
        <f t="shared" si="8"/>
        <v>0</v>
      </c>
      <c r="AD33" s="70">
        <v>0</v>
      </c>
      <c r="AE33" s="70">
        <v>0</v>
      </c>
      <c r="AF33" s="70">
        <f>20700</f>
        <v>20700</v>
      </c>
      <c r="AG33" s="70">
        <v>738</v>
      </c>
      <c r="AH33" s="70">
        <f>SUM(AI33:AK33)</f>
        <v>22388.291700000002</v>
      </c>
      <c r="AI33" s="70">
        <v>0</v>
      </c>
      <c r="AJ33" s="70">
        <v>0</v>
      </c>
      <c r="AK33" s="70">
        <f>SUM(AL33:AO33)</f>
        <v>22388.291700000002</v>
      </c>
      <c r="AL33" s="70">
        <v>0</v>
      </c>
      <c r="AM33" s="70">
        <v>0</v>
      </c>
      <c r="AN33" s="70">
        <f>10668.432472+10300+681.859228</f>
        <v>21650.291700000002</v>
      </c>
      <c r="AO33" s="70">
        <v>738</v>
      </c>
      <c r="AP33" s="70">
        <f>SUM(AQ33:AS33)</f>
        <v>22388.291700000002</v>
      </c>
      <c r="AQ33" s="70">
        <v>0</v>
      </c>
      <c r="AR33" s="70">
        <v>0</v>
      </c>
      <c r="AS33" s="70">
        <f>SUM(AT33:AW33)</f>
        <v>22388.291700000002</v>
      </c>
      <c r="AT33" s="70">
        <v>0</v>
      </c>
      <c r="AU33" s="70">
        <v>0</v>
      </c>
      <c r="AV33" s="70">
        <f>10668.432472+10300+681.859228</f>
        <v>21650.291700000002</v>
      </c>
      <c r="AW33" s="70">
        <v>738</v>
      </c>
      <c r="AX33" s="70">
        <f>SUM(AY33:BA33)</f>
        <v>0</v>
      </c>
      <c r="AY33" s="70">
        <v>0</v>
      </c>
      <c r="AZ33" s="70">
        <v>0</v>
      </c>
      <c r="BA33" s="70">
        <f>SUM(BC33:BF33)</f>
        <v>0</v>
      </c>
      <c r="BB33" s="67">
        <f t="shared" si="24"/>
        <v>0</v>
      </c>
      <c r="BC33" s="70">
        <v>0</v>
      </c>
      <c r="BD33" s="70">
        <v>0</v>
      </c>
      <c r="BE33" s="70">
        <v>0</v>
      </c>
      <c r="BF33" s="70">
        <v>0</v>
      </c>
      <c r="BG33" s="133">
        <f>SUM(BH33:BJ33)</f>
        <v>0</v>
      </c>
      <c r="BH33" s="133">
        <v>0</v>
      </c>
      <c r="BI33" s="133">
        <v>0</v>
      </c>
      <c r="BJ33" s="133">
        <f>SUM(BK33:BN33)</f>
        <v>0</v>
      </c>
      <c r="BK33" s="133">
        <v>0</v>
      </c>
      <c r="BL33" s="133">
        <v>0</v>
      </c>
      <c r="BM33" s="133">
        <v>0</v>
      </c>
      <c r="BN33" s="133">
        <v>0</v>
      </c>
      <c r="BO33" s="133">
        <f>SUM(BP33:BR33)</f>
        <v>0</v>
      </c>
      <c r="BP33" s="133">
        <v>0</v>
      </c>
      <c r="BQ33" s="133">
        <v>0</v>
      </c>
      <c r="BR33" s="133">
        <v>0</v>
      </c>
      <c r="BS33" s="133">
        <f>SUM(BT33:BV33)</f>
        <v>0</v>
      </c>
      <c r="BT33" s="133">
        <v>0</v>
      </c>
      <c r="BU33" s="133">
        <v>0</v>
      </c>
      <c r="BV33" s="133">
        <v>0</v>
      </c>
      <c r="BW33" s="133"/>
      <c r="BX33" s="133"/>
      <c r="BY33" s="133"/>
      <c r="BZ33" s="133"/>
      <c r="CA33" s="133"/>
      <c r="CB33" s="133"/>
      <c r="CC33" s="434"/>
    </row>
    <row r="34" spans="1:81" ht="54" customHeight="1" outlineLevel="1">
      <c r="A34" s="433">
        <v>3</v>
      </c>
      <c r="B34" s="549" t="s">
        <v>2123</v>
      </c>
      <c r="C34" s="420" t="s">
        <v>2116</v>
      </c>
      <c r="D34" s="420" t="s">
        <v>2117</v>
      </c>
      <c r="E34" s="420" t="s">
        <v>49</v>
      </c>
      <c r="F34" s="431" t="s">
        <v>82</v>
      </c>
      <c r="G34" s="422">
        <v>7791358</v>
      </c>
      <c r="H34" s="420" t="s">
        <v>2118</v>
      </c>
      <c r="I34" s="420" t="s">
        <v>81</v>
      </c>
      <c r="J34" s="422">
        <v>2019</v>
      </c>
      <c r="K34" s="420" t="s">
        <v>2124</v>
      </c>
      <c r="L34" s="420" t="s">
        <v>2125</v>
      </c>
      <c r="M34" s="169">
        <f>SUM(N34:P34)</f>
        <v>9000</v>
      </c>
      <c r="N34" s="169">
        <v>0</v>
      </c>
      <c r="O34" s="169">
        <v>0</v>
      </c>
      <c r="P34" s="169">
        <v>9000</v>
      </c>
      <c r="Q34" s="70" t="s">
        <v>2126</v>
      </c>
      <c r="R34" s="70" t="s">
        <v>2118</v>
      </c>
      <c r="S34" s="70" t="s">
        <v>2122</v>
      </c>
      <c r="T34" s="169" t="s">
        <v>2117</v>
      </c>
      <c r="U34" s="70">
        <f>SUM(V34:X34)</f>
        <v>2249</v>
      </c>
      <c r="V34" s="70">
        <v>0</v>
      </c>
      <c r="W34" s="70">
        <v>0</v>
      </c>
      <c r="X34" s="70">
        <f>100+1953.825+195.175</f>
        <v>2249</v>
      </c>
      <c r="Y34" s="70">
        <f>SUM(Z34:AB34)</f>
        <v>3683</v>
      </c>
      <c r="Z34" s="70">
        <v>0</v>
      </c>
      <c r="AA34" s="70">
        <v>0</v>
      </c>
      <c r="AB34" s="70">
        <f>SUM(AD34:AG34)</f>
        <v>3683</v>
      </c>
      <c r="AC34" s="67">
        <f t="shared" si="8"/>
        <v>0</v>
      </c>
      <c r="AD34" s="70"/>
      <c r="AE34" s="70">
        <v>0</v>
      </c>
      <c r="AF34" s="70">
        <v>3683</v>
      </c>
      <c r="AG34" s="70">
        <v>0</v>
      </c>
      <c r="AH34" s="70">
        <f>SUM(AI34:AK34)</f>
        <v>5356.5560000000005</v>
      </c>
      <c r="AI34" s="70">
        <v>0</v>
      </c>
      <c r="AJ34" s="70">
        <v>0</v>
      </c>
      <c r="AK34" s="70">
        <f>SUM(AL34:AO34)</f>
        <v>5356.5560000000005</v>
      </c>
      <c r="AL34" s="70"/>
      <c r="AM34" s="70">
        <v>0</v>
      </c>
      <c r="AN34" s="70">
        <f>3683+1673.556</f>
        <v>5356.5560000000005</v>
      </c>
      <c r="AO34" s="70">
        <v>0</v>
      </c>
      <c r="AP34" s="70">
        <f>SUM(AQ34:AS34)</f>
        <v>5356.5560000000005</v>
      </c>
      <c r="AQ34" s="70">
        <v>0</v>
      </c>
      <c r="AR34" s="70">
        <v>0</v>
      </c>
      <c r="AS34" s="70">
        <f>SUM(AT34:AW34)</f>
        <v>5356.5560000000005</v>
      </c>
      <c r="AT34" s="70"/>
      <c r="AU34" s="70">
        <v>0</v>
      </c>
      <c r="AV34" s="70">
        <f>3683+1673.556</f>
        <v>5356.5560000000005</v>
      </c>
      <c r="AW34" s="70">
        <v>0</v>
      </c>
      <c r="AX34" s="70">
        <f>SUM(AY34:BA34)</f>
        <v>0</v>
      </c>
      <c r="AY34" s="70">
        <v>0</v>
      </c>
      <c r="AZ34" s="70">
        <v>0</v>
      </c>
      <c r="BA34" s="70">
        <f>SUM(BC34:BF34)</f>
        <v>0</v>
      </c>
      <c r="BB34" s="67">
        <f t="shared" si="24"/>
        <v>0</v>
      </c>
      <c r="BC34" s="70">
        <v>0</v>
      </c>
      <c r="BD34" s="70">
        <v>0</v>
      </c>
      <c r="BE34" s="70">
        <v>0</v>
      </c>
      <c r="BF34" s="70">
        <v>0</v>
      </c>
      <c r="BG34" s="133">
        <f>SUM(BH34:BJ34)</f>
        <v>0</v>
      </c>
      <c r="BH34" s="133">
        <v>0</v>
      </c>
      <c r="BI34" s="133">
        <v>0</v>
      </c>
      <c r="BJ34" s="133">
        <f>SUM(BK34:BN34)</f>
        <v>0</v>
      </c>
      <c r="BK34" s="133">
        <v>0</v>
      </c>
      <c r="BL34" s="133">
        <v>0</v>
      </c>
      <c r="BM34" s="133">
        <v>0</v>
      </c>
      <c r="BN34" s="133">
        <v>0</v>
      </c>
      <c r="BO34" s="133">
        <f>SUM(BP34:BR34)</f>
        <v>0</v>
      </c>
      <c r="BP34" s="133">
        <v>0</v>
      </c>
      <c r="BQ34" s="133">
        <v>0</v>
      </c>
      <c r="BR34" s="133">
        <v>0</v>
      </c>
      <c r="BS34" s="133">
        <f>SUM(BT34:BV34)</f>
        <v>0</v>
      </c>
      <c r="BT34" s="133">
        <v>0</v>
      </c>
      <c r="BU34" s="133">
        <v>0</v>
      </c>
      <c r="BV34" s="133">
        <v>0</v>
      </c>
      <c r="BW34" s="133"/>
      <c r="BX34" s="133"/>
      <c r="BY34" s="133"/>
      <c r="BZ34" s="133"/>
      <c r="CA34" s="133"/>
      <c r="CB34" s="133"/>
      <c r="CC34" s="434"/>
    </row>
    <row r="35" spans="1:81" ht="20.100000000000001" customHeight="1" outlineLevel="1">
      <c r="A35" s="553" t="s">
        <v>45</v>
      </c>
      <c r="B35" s="418" t="s">
        <v>51</v>
      </c>
      <c r="C35" s="552"/>
      <c r="D35" s="485"/>
      <c r="E35" s="552"/>
      <c r="F35" s="552"/>
      <c r="G35" s="552"/>
      <c r="H35" s="552"/>
      <c r="I35" s="552"/>
      <c r="J35" s="552"/>
      <c r="K35" s="552"/>
      <c r="L35" s="552"/>
      <c r="M35" s="209">
        <f>SUM(M36:M50)</f>
        <v>71767.563999999998</v>
      </c>
      <c r="N35" s="209">
        <f t="shared" ref="N35:BZ35" si="48">SUM(N36:N50)</f>
        <v>208.18</v>
      </c>
      <c r="O35" s="209">
        <f t="shared" si="48"/>
        <v>1618.2</v>
      </c>
      <c r="P35" s="209">
        <f>SUM(P36:P50)</f>
        <v>51753.849099999999</v>
      </c>
      <c r="Q35" s="209">
        <f t="shared" si="48"/>
        <v>0</v>
      </c>
      <c r="R35" s="209">
        <f t="shared" si="48"/>
        <v>0</v>
      </c>
      <c r="S35" s="209">
        <f t="shared" si="48"/>
        <v>0</v>
      </c>
      <c r="T35" s="209">
        <f t="shared" si="48"/>
        <v>0</v>
      </c>
      <c r="U35" s="209">
        <f t="shared" si="48"/>
        <v>200</v>
      </c>
      <c r="V35" s="209">
        <f t="shared" si="48"/>
        <v>0</v>
      </c>
      <c r="W35" s="209">
        <f t="shared" si="48"/>
        <v>0</v>
      </c>
      <c r="X35" s="209">
        <f t="shared" si="48"/>
        <v>200</v>
      </c>
      <c r="Y35" s="209">
        <f t="shared" si="48"/>
        <v>46102.178468999991</v>
      </c>
      <c r="Z35" s="209">
        <f t="shared" si="48"/>
        <v>9638.18</v>
      </c>
      <c r="AA35" s="209">
        <f t="shared" si="48"/>
        <v>1618.2</v>
      </c>
      <c r="AB35" s="209">
        <f t="shared" si="48"/>
        <v>35339.798469000001</v>
      </c>
      <c r="AC35" s="67">
        <f t="shared" si="8"/>
        <v>16341</v>
      </c>
      <c r="AD35" s="209">
        <f t="shared" si="48"/>
        <v>13392</v>
      </c>
      <c r="AE35" s="209">
        <f t="shared" si="48"/>
        <v>2949</v>
      </c>
      <c r="AF35" s="209">
        <f t="shared" si="48"/>
        <v>13200.283469</v>
      </c>
      <c r="AG35" s="209">
        <f t="shared" si="48"/>
        <v>5798.5150000000003</v>
      </c>
      <c r="AH35" s="209">
        <f t="shared" si="48"/>
        <v>48288.951344999994</v>
      </c>
      <c r="AI35" s="209">
        <f t="shared" si="48"/>
        <v>9638.18</v>
      </c>
      <c r="AJ35" s="209">
        <f t="shared" si="48"/>
        <v>1618.2</v>
      </c>
      <c r="AK35" s="209">
        <f t="shared" si="48"/>
        <v>37032.571344999997</v>
      </c>
      <c r="AL35" s="209">
        <f t="shared" si="48"/>
        <v>13055.829572999999</v>
      </c>
      <c r="AM35" s="209">
        <f t="shared" si="48"/>
        <v>2948.5619999999999</v>
      </c>
      <c r="AN35" s="209">
        <f t="shared" si="48"/>
        <v>16981.731772000003</v>
      </c>
      <c r="AO35" s="209">
        <f t="shared" si="48"/>
        <v>4046.4480000000003</v>
      </c>
      <c r="AP35" s="209">
        <f t="shared" si="48"/>
        <v>48178.758344999987</v>
      </c>
      <c r="AQ35" s="209">
        <f t="shared" si="48"/>
        <v>9638.18</v>
      </c>
      <c r="AR35" s="209">
        <f t="shared" si="48"/>
        <v>1618.2</v>
      </c>
      <c r="AS35" s="209">
        <f t="shared" si="48"/>
        <v>36922.37834499999</v>
      </c>
      <c r="AT35" s="209">
        <f t="shared" si="48"/>
        <v>12945.636573</v>
      </c>
      <c r="AU35" s="209">
        <f t="shared" si="48"/>
        <v>2948.5619999999999</v>
      </c>
      <c r="AV35" s="209">
        <f t="shared" si="48"/>
        <v>16981.731772000003</v>
      </c>
      <c r="AW35" s="209">
        <f t="shared" si="48"/>
        <v>4046.4480000000003</v>
      </c>
      <c r="AX35" s="209">
        <f t="shared" si="48"/>
        <v>1427</v>
      </c>
      <c r="AY35" s="209">
        <f t="shared" si="48"/>
        <v>0</v>
      </c>
      <c r="AZ35" s="209">
        <f t="shared" si="48"/>
        <v>0</v>
      </c>
      <c r="BA35" s="209">
        <f t="shared" si="48"/>
        <v>1427</v>
      </c>
      <c r="BB35" s="67">
        <f t="shared" si="24"/>
        <v>327</v>
      </c>
      <c r="BC35" s="209">
        <f t="shared" si="48"/>
        <v>327</v>
      </c>
      <c r="BD35" s="209">
        <f t="shared" si="48"/>
        <v>0</v>
      </c>
      <c r="BE35" s="209">
        <f t="shared" si="48"/>
        <v>1100</v>
      </c>
      <c r="BF35" s="209">
        <f t="shared" si="48"/>
        <v>0</v>
      </c>
      <c r="BG35" s="554">
        <f t="shared" si="48"/>
        <v>1355.885</v>
      </c>
      <c r="BH35" s="554">
        <f t="shared" si="48"/>
        <v>0</v>
      </c>
      <c r="BI35" s="554">
        <f t="shared" si="48"/>
        <v>0</v>
      </c>
      <c r="BJ35" s="554">
        <f t="shared" si="48"/>
        <v>1355.885</v>
      </c>
      <c r="BK35" s="554">
        <f t="shared" si="48"/>
        <v>327</v>
      </c>
      <c r="BL35" s="554">
        <f t="shared" si="48"/>
        <v>0</v>
      </c>
      <c r="BM35" s="554">
        <f t="shared" si="48"/>
        <v>1028.885</v>
      </c>
      <c r="BN35" s="554">
        <f t="shared" si="48"/>
        <v>0</v>
      </c>
      <c r="BO35" s="554">
        <f t="shared" si="48"/>
        <v>0</v>
      </c>
      <c r="BP35" s="554">
        <f t="shared" si="48"/>
        <v>0</v>
      </c>
      <c r="BQ35" s="554">
        <f t="shared" si="48"/>
        <v>0</v>
      </c>
      <c r="BR35" s="554">
        <f t="shared" si="48"/>
        <v>0</v>
      </c>
      <c r="BS35" s="554">
        <f t="shared" si="48"/>
        <v>0</v>
      </c>
      <c r="BT35" s="554">
        <f t="shared" si="48"/>
        <v>0</v>
      </c>
      <c r="BU35" s="554">
        <f t="shared" si="48"/>
        <v>0</v>
      </c>
      <c r="BV35" s="554">
        <f t="shared" si="48"/>
        <v>0</v>
      </c>
      <c r="BW35" s="554">
        <f t="shared" si="48"/>
        <v>0</v>
      </c>
      <c r="BX35" s="554">
        <f t="shared" si="48"/>
        <v>0</v>
      </c>
      <c r="BY35" s="554">
        <f t="shared" si="48"/>
        <v>0</v>
      </c>
      <c r="BZ35" s="554">
        <f t="shared" si="48"/>
        <v>0</v>
      </c>
      <c r="CA35" s="552"/>
      <c r="CB35" s="552"/>
      <c r="CC35" s="552"/>
    </row>
    <row r="36" spans="1:81" ht="72" customHeight="1" outlineLevel="1">
      <c r="A36" s="433">
        <v>1</v>
      </c>
      <c r="B36" s="549" t="s">
        <v>2127</v>
      </c>
      <c r="C36" s="420" t="s">
        <v>2116</v>
      </c>
      <c r="D36" s="420" t="s">
        <v>2117</v>
      </c>
      <c r="E36" s="420" t="s">
        <v>49</v>
      </c>
      <c r="F36" s="431" t="s">
        <v>48</v>
      </c>
      <c r="G36" s="422"/>
      <c r="H36" s="420" t="s">
        <v>2118</v>
      </c>
      <c r="I36" s="420" t="s">
        <v>71</v>
      </c>
      <c r="J36" s="422">
        <v>2021</v>
      </c>
      <c r="K36" s="420" t="s">
        <v>2128</v>
      </c>
      <c r="L36" s="420" t="s">
        <v>2129</v>
      </c>
      <c r="M36" s="169">
        <f t="shared" ref="M36:M42" si="49">SUM(N36:P36)</f>
        <v>14990</v>
      </c>
      <c r="N36" s="169">
        <v>0</v>
      </c>
      <c r="O36" s="169">
        <v>0</v>
      </c>
      <c r="P36" s="169">
        <v>14990</v>
      </c>
      <c r="Q36" s="70" t="s">
        <v>2130</v>
      </c>
      <c r="R36" s="70" t="s">
        <v>2118</v>
      </c>
      <c r="S36" s="169" t="s">
        <v>2122</v>
      </c>
      <c r="T36" s="169" t="s">
        <v>2117</v>
      </c>
      <c r="U36" s="70">
        <f t="shared" ref="U36:U42" si="50">SUM(V36:X36)</f>
        <v>200</v>
      </c>
      <c r="V36" s="70">
        <v>0</v>
      </c>
      <c r="W36" s="70">
        <v>0</v>
      </c>
      <c r="X36" s="70">
        <v>200</v>
      </c>
      <c r="Y36" s="70">
        <f t="shared" ref="Y36:Y42" si="51">SUM(Z36:AB36)</f>
        <v>10710</v>
      </c>
      <c r="Z36" s="70">
        <v>0</v>
      </c>
      <c r="AA36" s="70">
        <v>0</v>
      </c>
      <c r="AB36" s="70">
        <f t="shared" ref="AB36:AB42" si="52">SUM(AD36:AG36)</f>
        <v>10710</v>
      </c>
      <c r="AC36" s="70">
        <f t="shared" si="8"/>
        <v>8500</v>
      </c>
      <c r="AD36" s="70">
        <v>8500</v>
      </c>
      <c r="AE36" s="70">
        <v>0</v>
      </c>
      <c r="AF36" s="70">
        <v>310</v>
      </c>
      <c r="AG36" s="70">
        <v>1900</v>
      </c>
      <c r="AH36" s="70">
        <f t="shared" ref="AH36:AH38" si="53">SUM(AI36:AK36)</f>
        <v>13500.315000000001</v>
      </c>
      <c r="AI36" s="70">
        <v>0</v>
      </c>
      <c r="AJ36" s="70">
        <v>0</v>
      </c>
      <c r="AK36" s="70">
        <f t="shared" ref="AK36:AK42" si="54">SUM(AL36:AO36)</f>
        <v>13500.315000000001</v>
      </c>
      <c r="AL36" s="70">
        <v>8491.384</v>
      </c>
      <c r="AM36" s="70">
        <v>0</v>
      </c>
      <c r="AN36" s="70">
        <v>4808.9310000000005</v>
      </c>
      <c r="AO36" s="70">
        <v>200</v>
      </c>
      <c r="AP36" s="70">
        <f t="shared" ref="AP36:AP42" si="55">SUM(AQ36:AS36)</f>
        <v>13500.315000000001</v>
      </c>
      <c r="AQ36" s="70">
        <v>0</v>
      </c>
      <c r="AR36" s="70">
        <v>0</v>
      </c>
      <c r="AS36" s="70">
        <f t="shared" ref="AS36:AS42" si="56">SUM(AT36:AW36)</f>
        <v>13500.315000000001</v>
      </c>
      <c r="AT36" s="70">
        <v>8491.384</v>
      </c>
      <c r="AU36" s="70">
        <v>0</v>
      </c>
      <c r="AV36" s="70">
        <v>4808.9310000000005</v>
      </c>
      <c r="AW36" s="70">
        <v>200</v>
      </c>
      <c r="AX36" s="70">
        <f t="shared" ref="AX36:AX42" si="57">SUM(AY36:BA36)</f>
        <v>0</v>
      </c>
      <c r="AY36" s="70">
        <v>0</v>
      </c>
      <c r="AZ36" s="70">
        <v>0</v>
      </c>
      <c r="BA36" s="70">
        <f t="shared" ref="BA36:BA42" si="58">SUM(BC36:BF36)</f>
        <v>0</v>
      </c>
      <c r="BB36" s="67">
        <f t="shared" si="24"/>
        <v>0</v>
      </c>
      <c r="BC36" s="70">
        <v>0</v>
      </c>
      <c r="BD36" s="70">
        <v>0</v>
      </c>
      <c r="BE36" s="70">
        <v>0</v>
      </c>
      <c r="BF36" s="70">
        <v>0</v>
      </c>
      <c r="BG36" s="133">
        <f t="shared" ref="BG36:BG42" si="59">SUM(BH36:BJ36)</f>
        <v>0</v>
      </c>
      <c r="BH36" s="133">
        <v>0</v>
      </c>
      <c r="BI36" s="133">
        <v>0</v>
      </c>
      <c r="BJ36" s="133">
        <f t="shared" ref="BJ36:BJ42" si="60">SUM(BK36:BN36)</f>
        <v>0</v>
      </c>
      <c r="BK36" s="133">
        <v>0</v>
      </c>
      <c r="BL36" s="133">
        <v>0</v>
      </c>
      <c r="BM36" s="133">
        <v>0</v>
      </c>
      <c r="BN36" s="133">
        <v>0</v>
      </c>
      <c r="BO36" s="133">
        <f t="shared" ref="BO36:BO42" si="61">SUM(BP36:BR36)</f>
        <v>0</v>
      </c>
      <c r="BP36" s="133">
        <v>0</v>
      </c>
      <c r="BQ36" s="133">
        <v>0</v>
      </c>
      <c r="BR36" s="133">
        <v>0</v>
      </c>
      <c r="BS36" s="133">
        <f t="shared" ref="BS36:BS42" si="62">SUM(BT36:BV36)</f>
        <v>0</v>
      </c>
      <c r="BT36" s="133">
        <v>0</v>
      </c>
      <c r="BU36" s="133">
        <v>0</v>
      </c>
      <c r="BV36" s="133">
        <v>0</v>
      </c>
      <c r="BW36" s="133"/>
      <c r="BX36" s="133"/>
      <c r="BY36" s="133"/>
      <c r="BZ36" s="133"/>
      <c r="CA36" s="133"/>
      <c r="CB36" s="133"/>
      <c r="CC36" s="434"/>
    </row>
    <row r="37" spans="1:81" ht="54" customHeight="1" outlineLevel="1">
      <c r="A37" s="433">
        <v>2</v>
      </c>
      <c r="B37" s="549" t="s">
        <v>2172</v>
      </c>
      <c r="C37" s="420" t="s">
        <v>2116</v>
      </c>
      <c r="D37" s="420" t="s">
        <v>2117</v>
      </c>
      <c r="E37" s="420" t="s">
        <v>49</v>
      </c>
      <c r="F37" s="431" t="s">
        <v>105</v>
      </c>
      <c r="G37" s="422"/>
      <c r="H37" s="422" t="s">
        <v>2114</v>
      </c>
      <c r="I37" s="422" t="s">
        <v>53</v>
      </c>
      <c r="J37" s="422">
        <v>2024</v>
      </c>
      <c r="K37" s="420" t="s">
        <v>2173</v>
      </c>
      <c r="L37" s="420" t="s">
        <v>2174</v>
      </c>
      <c r="M37" s="169">
        <f t="shared" si="49"/>
        <v>2904</v>
      </c>
      <c r="N37" s="169">
        <v>0</v>
      </c>
      <c r="O37" s="169">
        <v>0</v>
      </c>
      <c r="P37" s="169">
        <v>2904</v>
      </c>
      <c r="Q37" s="70" t="s">
        <v>2175</v>
      </c>
      <c r="R37" s="169" t="s">
        <v>2114</v>
      </c>
      <c r="S37" s="169" t="s">
        <v>2122</v>
      </c>
      <c r="T37" s="169" t="s">
        <v>2117</v>
      </c>
      <c r="U37" s="70">
        <f t="shared" si="50"/>
        <v>0</v>
      </c>
      <c r="V37" s="70">
        <v>0</v>
      </c>
      <c r="W37" s="70">
        <v>0</v>
      </c>
      <c r="X37" s="70">
        <v>0</v>
      </c>
      <c r="Y37" s="70">
        <f t="shared" si="51"/>
        <v>2904</v>
      </c>
      <c r="Z37" s="70">
        <v>0</v>
      </c>
      <c r="AA37" s="70">
        <v>0</v>
      </c>
      <c r="AB37" s="70">
        <f t="shared" si="52"/>
        <v>2904</v>
      </c>
      <c r="AC37" s="70">
        <f t="shared" si="8"/>
        <v>2904</v>
      </c>
      <c r="AD37" s="70">
        <v>2904</v>
      </c>
      <c r="AE37" s="70">
        <v>0</v>
      </c>
      <c r="AF37" s="70">
        <v>0</v>
      </c>
      <c r="AG37" s="70">
        <v>0</v>
      </c>
      <c r="AH37" s="70">
        <f t="shared" si="53"/>
        <v>2861</v>
      </c>
      <c r="AI37" s="70">
        <v>0</v>
      </c>
      <c r="AJ37" s="70">
        <v>0</v>
      </c>
      <c r="AK37" s="70">
        <f t="shared" si="54"/>
        <v>2861</v>
      </c>
      <c r="AL37" s="70">
        <f>2903-42</f>
        <v>2861</v>
      </c>
      <c r="AM37" s="70">
        <v>0</v>
      </c>
      <c r="AN37" s="70">
        <v>0</v>
      </c>
      <c r="AO37" s="70">
        <v>0</v>
      </c>
      <c r="AP37" s="70">
        <f t="shared" si="55"/>
        <v>2750.8069999999998</v>
      </c>
      <c r="AQ37" s="70">
        <v>0</v>
      </c>
      <c r="AR37" s="70">
        <v>0</v>
      </c>
      <c r="AS37" s="70">
        <f t="shared" si="56"/>
        <v>2750.8069999999998</v>
      </c>
      <c r="AT37" s="70">
        <f>2903-110.193-42</f>
        <v>2750.8069999999998</v>
      </c>
      <c r="AU37" s="70">
        <v>0</v>
      </c>
      <c r="AV37" s="70">
        <v>0</v>
      </c>
      <c r="AW37" s="70">
        <v>0</v>
      </c>
      <c r="AX37" s="70">
        <f t="shared" si="57"/>
        <v>42</v>
      </c>
      <c r="AY37" s="70">
        <v>0</v>
      </c>
      <c r="AZ37" s="70">
        <v>0</v>
      </c>
      <c r="BA37" s="70">
        <f t="shared" si="58"/>
        <v>42</v>
      </c>
      <c r="BB37" s="70">
        <f t="shared" si="24"/>
        <v>42</v>
      </c>
      <c r="BC37" s="70">
        <v>42</v>
      </c>
      <c r="BD37" s="70">
        <v>0</v>
      </c>
      <c r="BE37" s="70">
        <v>0</v>
      </c>
      <c r="BF37" s="70">
        <v>0</v>
      </c>
      <c r="BG37" s="133">
        <f t="shared" si="59"/>
        <v>42</v>
      </c>
      <c r="BH37" s="133">
        <v>0</v>
      </c>
      <c r="BI37" s="133">
        <v>0</v>
      </c>
      <c r="BJ37" s="133">
        <f t="shared" si="60"/>
        <v>42</v>
      </c>
      <c r="BK37" s="133">
        <v>42</v>
      </c>
      <c r="BL37" s="133">
        <v>0</v>
      </c>
      <c r="BM37" s="133">
        <v>0</v>
      </c>
      <c r="BN37" s="133">
        <v>0</v>
      </c>
      <c r="BO37" s="133">
        <f t="shared" si="61"/>
        <v>0</v>
      </c>
      <c r="BP37" s="133">
        <v>0</v>
      </c>
      <c r="BQ37" s="133">
        <v>0</v>
      </c>
      <c r="BR37" s="133">
        <v>0</v>
      </c>
      <c r="BS37" s="133">
        <f t="shared" si="62"/>
        <v>0</v>
      </c>
      <c r="BT37" s="133">
        <v>0</v>
      </c>
      <c r="BU37" s="133">
        <v>0</v>
      </c>
      <c r="BV37" s="133">
        <v>0</v>
      </c>
      <c r="BW37" s="133"/>
      <c r="BX37" s="133"/>
      <c r="BY37" s="133"/>
      <c r="BZ37" s="133"/>
      <c r="CA37" s="133"/>
      <c r="CB37" s="133"/>
      <c r="CC37" s="434"/>
    </row>
    <row r="38" spans="1:81" ht="46.15" outlineLevel="1">
      <c r="A38" s="433">
        <v>3</v>
      </c>
      <c r="B38" s="556" t="s">
        <v>2131</v>
      </c>
      <c r="C38" s="420" t="s">
        <v>2132</v>
      </c>
      <c r="D38" s="420" t="s">
        <v>2117</v>
      </c>
      <c r="E38" s="420" t="s">
        <v>49</v>
      </c>
      <c r="F38" s="431" t="s">
        <v>48</v>
      </c>
      <c r="G38" s="422">
        <v>7882879</v>
      </c>
      <c r="H38" s="420" t="s">
        <v>2114</v>
      </c>
      <c r="I38" s="420" t="s">
        <v>73</v>
      </c>
      <c r="J38" s="422">
        <v>2021</v>
      </c>
      <c r="K38" s="420" t="s">
        <v>2133</v>
      </c>
      <c r="L38" s="420" t="s">
        <v>2134</v>
      </c>
      <c r="M38" s="169">
        <f t="shared" si="49"/>
        <v>1220</v>
      </c>
      <c r="N38" s="169">
        <v>0</v>
      </c>
      <c r="O38" s="169">
        <v>0</v>
      </c>
      <c r="P38" s="169">
        <v>1220</v>
      </c>
      <c r="Q38" s="70" t="s">
        <v>2135</v>
      </c>
      <c r="R38" s="70" t="s">
        <v>2114</v>
      </c>
      <c r="S38" s="169" t="s">
        <v>2122</v>
      </c>
      <c r="T38" s="169" t="s">
        <v>2117</v>
      </c>
      <c r="U38" s="70">
        <f t="shared" si="50"/>
        <v>0</v>
      </c>
      <c r="V38" s="70">
        <v>0</v>
      </c>
      <c r="W38" s="70">
        <v>0</v>
      </c>
      <c r="X38" s="70">
        <v>0</v>
      </c>
      <c r="Y38" s="70">
        <f t="shared" si="51"/>
        <v>1000</v>
      </c>
      <c r="Z38" s="70">
        <v>0</v>
      </c>
      <c r="AA38" s="70">
        <v>0</v>
      </c>
      <c r="AB38" s="70">
        <f t="shared" si="52"/>
        <v>1000</v>
      </c>
      <c r="AC38" s="70">
        <f t="shared" si="8"/>
        <v>1000</v>
      </c>
      <c r="AD38" s="70">
        <v>1000</v>
      </c>
      <c r="AE38" s="70">
        <v>0</v>
      </c>
      <c r="AF38" s="70"/>
      <c r="AG38" s="70">
        <v>0</v>
      </c>
      <c r="AH38" s="70">
        <f t="shared" si="53"/>
        <v>1156.6210000000001</v>
      </c>
      <c r="AI38" s="70">
        <v>0</v>
      </c>
      <c r="AJ38" s="70">
        <v>0</v>
      </c>
      <c r="AK38" s="70">
        <f t="shared" si="54"/>
        <v>1156.6210000000001</v>
      </c>
      <c r="AL38" s="70">
        <v>1000</v>
      </c>
      <c r="AM38" s="70">
        <v>0</v>
      </c>
      <c r="AN38" s="70">
        <v>156.62100000000001</v>
      </c>
      <c r="AO38" s="70">
        <v>0</v>
      </c>
      <c r="AP38" s="70">
        <f t="shared" si="55"/>
        <v>1156.6210000000001</v>
      </c>
      <c r="AQ38" s="70">
        <v>0</v>
      </c>
      <c r="AR38" s="70">
        <v>0</v>
      </c>
      <c r="AS38" s="70">
        <f t="shared" si="56"/>
        <v>1156.6210000000001</v>
      </c>
      <c r="AT38" s="70">
        <v>1000</v>
      </c>
      <c r="AU38" s="70">
        <v>0</v>
      </c>
      <c r="AV38" s="70">
        <v>156.62100000000001</v>
      </c>
      <c r="AW38" s="70">
        <v>0</v>
      </c>
      <c r="AX38" s="70">
        <f t="shared" si="57"/>
        <v>0</v>
      </c>
      <c r="AY38" s="70">
        <v>0</v>
      </c>
      <c r="AZ38" s="70">
        <v>0</v>
      </c>
      <c r="BA38" s="70">
        <f t="shared" si="58"/>
        <v>0</v>
      </c>
      <c r="BB38" s="70">
        <f t="shared" si="24"/>
        <v>0</v>
      </c>
      <c r="BC38" s="70">
        <v>0</v>
      </c>
      <c r="BD38" s="70">
        <v>0</v>
      </c>
      <c r="BE38" s="70">
        <v>0</v>
      </c>
      <c r="BF38" s="70">
        <v>0</v>
      </c>
      <c r="BG38" s="133">
        <f t="shared" si="59"/>
        <v>0</v>
      </c>
      <c r="BH38" s="133">
        <v>0</v>
      </c>
      <c r="BI38" s="133">
        <v>0</v>
      </c>
      <c r="BJ38" s="133">
        <f t="shared" si="60"/>
        <v>0</v>
      </c>
      <c r="BK38" s="133">
        <v>0</v>
      </c>
      <c r="BL38" s="133">
        <v>0</v>
      </c>
      <c r="BM38" s="133">
        <v>0</v>
      </c>
      <c r="BN38" s="133">
        <v>0</v>
      </c>
      <c r="BO38" s="133">
        <f t="shared" si="61"/>
        <v>0</v>
      </c>
      <c r="BP38" s="133">
        <v>0</v>
      </c>
      <c r="BQ38" s="133">
        <v>0</v>
      </c>
      <c r="BR38" s="133">
        <v>0</v>
      </c>
      <c r="BS38" s="133">
        <f t="shared" si="62"/>
        <v>0</v>
      </c>
      <c r="BT38" s="133">
        <v>0</v>
      </c>
      <c r="BU38" s="133">
        <v>0</v>
      </c>
      <c r="BV38" s="133">
        <v>0</v>
      </c>
      <c r="BW38" s="133"/>
      <c r="BX38" s="133"/>
      <c r="BY38" s="133"/>
      <c r="BZ38" s="133"/>
      <c r="CA38" s="133"/>
      <c r="CB38" s="133"/>
      <c r="CC38" s="433"/>
    </row>
    <row r="39" spans="1:81" ht="68.25" customHeight="1" outlineLevel="1">
      <c r="A39" s="433">
        <v>4</v>
      </c>
      <c r="B39" s="549" t="s">
        <v>2136</v>
      </c>
      <c r="C39" s="420" t="s">
        <v>2116</v>
      </c>
      <c r="D39" s="420" t="s">
        <v>2117</v>
      </c>
      <c r="E39" s="420" t="s">
        <v>49</v>
      </c>
      <c r="F39" s="431" t="s">
        <v>48</v>
      </c>
      <c r="G39" s="422">
        <v>8094349</v>
      </c>
      <c r="H39" s="420" t="s">
        <v>2137</v>
      </c>
      <c r="I39" s="420" t="s">
        <v>84</v>
      </c>
      <c r="J39" s="422">
        <v>2024</v>
      </c>
      <c r="K39" s="420" t="s">
        <v>2138</v>
      </c>
      <c r="L39" s="420" t="s">
        <v>2176</v>
      </c>
      <c r="M39" s="169">
        <f t="shared" si="49"/>
        <v>1000</v>
      </c>
      <c r="N39" s="169">
        <v>0</v>
      </c>
      <c r="O39" s="169">
        <v>0</v>
      </c>
      <c r="P39" s="169">
        <v>1000</v>
      </c>
      <c r="Q39" s="70" t="s">
        <v>2140</v>
      </c>
      <c r="R39" s="70" t="s">
        <v>2137</v>
      </c>
      <c r="S39" s="70" t="s">
        <v>2122</v>
      </c>
      <c r="T39" s="169" t="s">
        <v>2117</v>
      </c>
      <c r="U39" s="70">
        <f t="shared" si="50"/>
        <v>0</v>
      </c>
      <c r="V39" s="70">
        <v>0</v>
      </c>
      <c r="W39" s="70">
        <v>0</v>
      </c>
      <c r="X39" s="70">
        <v>0</v>
      </c>
      <c r="Y39" s="70">
        <f t="shared" si="51"/>
        <v>988</v>
      </c>
      <c r="Z39" s="70">
        <v>0</v>
      </c>
      <c r="AA39" s="70">
        <v>0</v>
      </c>
      <c r="AB39" s="70">
        <f t="shared" si="52"/>
        <v>988</v>
      </c>
      <c r="AC39" s="70">
        <f t="shared" si="8"/>
        <v>988</v>
      </c>
      <c r="AD39" s="70">
        <v>988</v>
      </c>
      <c r="AE39" s="70">
        <v>0</v>
      </c>
      <c r="AF39" s="70"/>
      <c r="AG39" s="70">
        <v>0</v>
      </c>
      <c r="AH39" s="70">
        <f t="shared" ref="AH39:AH42" si="63">SUM(AI39:AK39)</f>
        <v>703.44557299999997</v>
      </c>
      <c r="AI39" s="70">
        <v>0</v>
      </c>
      <c r="AJ39" s="70">
        <v>0</v>
      </c>
      <c r="AK39" s="70">
        <f t="shared" si="54"/>
        <v>703.44557299999997</v>
      </c>
      <c r="AL39" s="70">
        <v>703.44557299999997</v>
      </c>
      <c r="AM39" s="70">
        <v>0</v>
      </c>
      <c r="AN39" s="70">
        <v>0</v>
      </c>
      <c r="AO39" s="70">
        <v>0</v>
      </c>
      <c r="AP39" s="70">
        <f t="shared" si="55"/>
        <v>703.44557299999997</v>
      </c>
      <c r="AQ39" s="70">
        <v>0</v>
      </c>
      <c r="AR39" s="70">
        <v>0</v>
      </c>
      <c r="AS39" s="70">
        <f t="shared" si="56"/>
        <v>703.44557299999997</v>
      </c>
      <c r="AT39" s="70">
        <v>703.44557299999997</v>
      </c>
      <c r="AU39" s="70">
        <v>0</v>
      </c>
      <c r="AV39" s="70">
        <v>0</v>
      </c>
      <c r="AW39" s="70">
        <v>0</v>
      </c>
      <c r="AX39" s="70">
        <f t="shared" si="57"/>
        <v>285</v>
      </c>
      <c r="AY39" s="70">
        <v>0</v>
      </c>
      <c r="AZ39" s="70">
        <v>0</v>
      </c>
      <c r="BA39" s="70">
        <f t="shared" si="58"/>
        <v>285</v>
      </c>
      <c r="BB39" s="70">
        <f t="shared" si="24"/>
        <v>285</v>
      </c>
      <c r="BC39" s="70">
        <v>285</v>
      </c>
      <c r="BD39" s="70">
        <v>0</v>
      </c>
      <c r="BE39" s="70"/>
      <c r="BF39" s="70">
        <v>0</v>
      </c>
      <c r="BG39" s="133">
        <f t="shared" si="59"/>
        <v>292.55900000000003</v>
      </c>
      <c r="BH39" s="133">
        <v>0</v>
      </c>
      <c r="BI39" s="133">
        <v>0</v>
      </c>
      <c r="BJ39" s="133">
        <f t="shared" si="60"/>
        <v>292.55900000000003</v>
      </c>
      <c r="BK39" s="133">
        <v>285</v>
      </c>
      <c r="BL39" s="133">
        <v>0</v>
      </c>
      <c r="BM39" s="133">
        <v>7.5590000000000002</v>
      </c>
      <c r="BN39" s="133">
        <v>0</v>
      </c>
      <c r="BO39" s="133">
        <f t="shared" si="61"/>
        <v>0</v>
      </c>
      <c r="BP39" s="133">
        <v>0</v>
      </c>
      <c r="BQ39" s="133">
        <v>0</v>
      </c>
      <c r="BR39" s="133">
        <v>0</v>
      </c>
      <c r="BS39" s="133">
        <f t="shared" si="62"/>
        <v>0</v>
      </c>
      <c r="BT39" s="133">
        <v>0</v>
      </c>
      <c r="BU39" s="133">
        <v>0</v>
      </c>
      <c r="BV39" s="133">
        <v>0</v>
      </c>
      <c r="BW39" s="133"/>
      <c r="BX39" s="133"/>
      <c r="BY39" s="133"/>
      <c r="BZ39" s="133"/>
      <c r="CA39" s="133"/>
      <c r="CB39" s="133"/>
      <c r="CC39" s="434"/>
    </row>
    <row r="40" spans="1:81" ht="55.9" customHeight="1" outlineLevel="1">
      <c r="A40" s="433">
        <v>5</v>
      </c>
      <c r="B40" s="549" t="s">
        <v>2141</v>
      </c>
      <c r="C40" s="420" t="s">
        <v>2116</v>
      </c>
      <c r="D40" s="420" t="s">
        <v>2117</v>
      </c>
      <c r="E40" s="420" t="s">
        <v>49</v>
      </c>
      <c r="F40" s="431" t="s">
        <v>105</v>
      </c>
      <c r="G40" s="422">
        <v>7880799</v>
      </c>
      <c r="H40" s="420" t="s">
        <v>2137</v>
      </c>
      <c r="I40" s="420" t="s">
        <v>71</v>
      </c>
      <c r="J40" s="422">
        <v>2021</v>
      </c>
      <c r="K40" s="420" t="s">
        <v>2142</v>
      </c>
      <c r="L40" s="420" t="s">
        <v>2143</v>
      </c>
      <c r="M40" s="169">
        <f t="shared" si="49"/>
        <v>3000</v>
      </c>
      <c r="N40" s="169">
        <v>0</v>
      </c>
      <c r="O40" s="169">
        <v>0</v>
      </c>
      <c r="P40" s="169">
        <v>3000</v>
      </c>
      <c r="Q40" s="70" t="s">
        <v>2144</v>
      </c>
      <c r="R40" s="70" t="s">
        <v>2137</v>
      </c>
      <c r="S40" s="70" t="s">
        <v>2122</v>
      </c>
      <c r="T40" s="169" t="s">
        <v>2117</v>
      </c>
      <c r="U40" s="70">
        <f t="shared" si="50"/>
        <v>0</v>
      </c>
      <c r="V40" s="70">
        <v>0</v>
      </c>
      <c r="W40" s="70">
        <v>0</v>
      </c>
      <c r="X40" s="70">
        <v>0</v>
      </c>
      <c r="Y40" s="70">
        <f t="shared" si="51"/>
        <v>2949</v>
      </c>
      <c r="Z40" s="70">
        <v>0</v>
      </c>
      <c r="AA40" s="70">
        <v>0</v>
      </c>
      <c r="AB40" s="70">
        <f t="shared" si="52"/>
        <v>2949</v>
      </c>
      <c r="AC40" s="70">
        <v>2949</v>
      </c>
      <c r="AD40" s="70">
        <v>0</v>
      </c>
      <c r="AE40" s="70">
        <v>2949</v>
      </c>
      <c r="AF40" s="70"/>
      <c r="AG40" s="70">
        <v>0</v>
      </c>
      <c r="AH40" s="70">
        <f t="shared" si="63"/>
        <v>2965.4659999999999</v>
      </c>
      <c r="AI40" s="70">
        <v>0</v>
      </c>
      <c r="AJ40" s="70">
        <v>0</v>
      </c>
      <c r="AK40" s="70">
        <f t="shared" si="54"/>
        <v>2965.4659999999999</v>
      </c>
      <c r="AL40" s="70">
        <v>0</v>
      </c>
      <c r="AM40" s="70">
        <v>2948.5619999999999</v>
      </c>
      <c r="AN40" s="70">
        <v>16.904</v>
      </c>
      <c r="AO40" s="70">
        <v>0</v>
      </c>
      <c r="AP40" s="70">
        <f t="shared" si="55"/>
        <v>2965.4659999999999</v>
      </c>
      <c r="AQ40" s="70">
        <v>0</v>
      </c>
      <c r="AR40" s="70">
        <v>0</v>
      </c>
      <c r="AS40" s="70">
        <f t="shared" si="56"/>
        <v>2965.4659999999999</v>
      </c>
      <c r="AT40" s="70">
        <v>0</v>
      </c>
      <c r="AU40" s="70">
        <v>2948.5619999999999</v>
      </c>
      <c r="AV40" s="70">
        <v>16.904</v>
      </c>
      <c r="AW40" s="70">
        <v>0</v>
      </c>
      <c r="AX40" s="70">
        <f t="shared" si="57"/>
        <v>0</v>
      </c>
      <c r="AY40" s="70">
        <v>0</v>
      </c>
      <c r="AZ40" s="70">
        <v>0</v>
      </c>
      <c r="BA40" s="70">
        <f t="shared" si="58"/>
        <v>0</v>
      </c>
      <c r="BB40" s="67">
        <f t="shared" si="24"/>
        <v>0</v>
      </c>
      <c r="BC40" s="70">
        <v>0</v>
      </c>
      <c r="BD40" s="70">
        <v>0</v>
      </c>
      <c r="BE40" s="70">
        <v>0</v>
      </c>
      <c r="BF40" s="70">
        <v>0</v>
      </c>
      <c r="BG40" s="133">
        <f t="shared" si="59"/>
        <v>0</v>
      </c>
      <c r="BH40" s="133">
        <v>0</v>
      </c>
      <c r="BI40" s="133">
        <v>0</v>
      </c>
      <c r="BJ40" s="133">
        <f t="shared" si="60"/>
        <v>0</v>
      </c>
      <c r="BK40" s="133">
        <v>0</v>
      </c>
      <c r="BL40" s="133">
        <v>0</v>
      </c>
      <c r="BM40" s="133">
        <v>0</v>
      </c>
      <c r="BN40" s="133">
        <v>0</v>
      </c>
      <c r="BO40" s="133">
        <f t="shared" si="61"/>
        <v>0</v>
      </c>
      <c r="BP40" s="133">
        <v>0</v>
      </c>
      <c r="BQ40" s="133">
        <v>0</v>
      </c>
      <c r="BR40" s="133">
        <v>0</v>
      </c>
      <c r="BS40" s="133">
        <f t="shared" si="62"/>
        <v>0</v>
      </c>
      <c r="BT40" s="133">
        <v>0</v>
      </c>
      <c r="BU40" s="133">
        <v>0</v>
      </c>
      <c r="BV40" s="133">
        <v>0</v>
      </c>
      <c r="BW40" s="133"/>
      <c r="BX40" s="133"/>
      <c r="BY40" s="133"/>
      <c r="BZ40" s="133"/>
      <c r="CA40" s="133"/>
      <c r="CB40" s="133"/>
      <c r="CC40" s="434"/>
    </row>
    <row r="41" spans="1:81" ht="46.15" outlineLevel="1">
      <c r="A41" s="433">
        <v>6</v>
      </c>
      <c r="B41" s="549" t="s">
        <v>2145</v>
      </c>
      <c r="C41" s="420" t="s">
        <v>2146</v>
      </c>
      <c r="D41" s="420" t="s">
        <v>2117</v>
      </c>
      <c r="E41" s="420" t="s">
        <v>49</v>
      </c>
      <c r="F41" s="431" t="s">
        <v>105</v>
      </c>
      <c r="G41" s="422"/>
      <c r="H41" s="420" t="s">
        <v>4</v>
      </c>
      <c r="I41" s="420" t="s">
        <v>71</v>
      </c>
      <c r="J41" s="422">
        <v>2021</v>
      </c>
      <c r="K41" s="420" t="s">
        <v>2147</v>
      </c>
      <c r="L41" s="420" t="s">
        <v>2148</v>
      </c>
      <c r="M41" s="169">
        <f t="shared" si="49"/>
        <v>3200</v>
      </c>
      <c r="N41" s="169">
        <v>0</v>
      </c>
      <c r="O41" s="169">
        <v>0</v>
      </c>
      <c r="P41" s="169">
        <v>3200</v>
      </c>
      <c r="Q41" s="70" t="s">
        <v>2149</v>
      </c>
      <c r="R41" s="70" t="s">
        <v>4</v>
      </c>
      <c r="S41" s="70" t="s">
        <v>2150</v>
      </c>
      <c r="T41" s="169" t="s">
        <v>2117</v>
      </c>
      <c r="U41" s="70">
        <f t="shared" si="50"/>
        <v>0</v>
      </c>
      <c r="V41" s="70">
        <v>0</v>
      </c>
      <c r="W41" s="70">
        <v>0</v>
      </c>
      <c r="X41" s="70">
        <v>0</v>
      </c>
      <c r="Y41" s="70">
        <f t="shared" si="51"/>
        <v>3000</v>
      </c>
      <c r="Z41" s="70">
        <v>0</v>
      </c>
      <c r="AA41" s="70">
        <v>0</v>
      </c>
      <c r="AB41" s="70">
        <f t="shared" si="52"/>
        <v>3000</v>
      </c>
      <c r="AC41" s="67">
        <f t="shared" si="8"/>
        <v>0</v>
      </c>
      <c r="AD41" s="70">
        <v>0</v>
      </c>
      <c r="AE41" s="70">
        <v>0</v>
      </c>
      <c r="AF41" s="70">
        <v>3000</v>
      </c>
      <c r="AG41" s="70">
        <v>0</v>
      </c>
      <c r="AH41" s="70">
        <f t="shared" si="63"/>
        <v>3177.32</v>
      </c>
      <c r="AI41" s="70">
        <v>0</v>
      </c>
      <c r="AJ41" s="70">
        <v>0</v>
      </c>
      <c r="AK41" s="70">
        <f t="shared" si="54"/>
        <v>3177.32</v>
      </c>
      <c r="AL41" s="70">
        <v>0</v>
      </c>
      <c r="AM41" s="70">
        <v>0</v>
      </c>
      <c r="AN41" s="70">
        <v>3177.32</v>
      </c>
      <c r="AO41" s="70">
        <v>0</v>
      </c>
      <c r="AP41" s="70">
        <f t="shared" si="55"/>
        <v>3177.32</v>
      </c>
      <c r="AQ41" s="70">
        <v>0</v>
      </c>
      <c r="AR41" s="70">
        <v>0</v>
      </c>
      <c r="AS41" s="70">
        <f t="shared" si="56"/>
        <v>3177.32</v>
      </c>
      <c r="AT41" s="70">
        <v>0</v>
      </c>
      <c r="AU41" s="70">
        <v>0</v>
      </c>
      <c r="AV41" s="70">
        <v>3177.32</v>
      </c>
      <c r="AW41" s="70">
        <v>0</v>
      </c>
      <c r="AX41" s="70">
        <f t="shared" si="57"/>
        <v>0</v>
      </c>
      <c r="AY41" s="70">
        <v>0</v>
      </c>
      <c r="AZ41" s="70">
        <v>0</v>
      </c>
      <c r="BA41" s="70">
        <f t="shared" si="58"/>
        <v>0</v>
      </c>
      <c r="BB41" s="67">
        <f t="shared" si="24"/>
        <v>0</v>
      </c>
      <c r="BC41" s="70">
        <v>0</v>
      </c>
      <c r="BD41" s="70">
        <v>0</v>
      </c>
      <c r="BE41" s="70">
        <v>0</v>
      </c>
      <c r="BF41" s="70">
        <v>0</v>
      </c>
      <c r="BG41" s="133">
        <f t="shared" si="59"/>
        <v>0</v>
      </c>
      <c r="BH41" s="133">
        <v>0</v>
      </c>
      <c r="BI41" s="133">
        <v>0</v>
      </c>
      <c r="BJ41" s="133">
        <f t="shared" si="60"/>
        <v>0</v>
      </c>
      <c r="BK41" s="133">
        <v>0</v>
      </c>
      <c r="BL41" s="133">
        <v>0</v>
      </c>
      <c r="BM41" s="133">
        <v>0</v>
      </c>
      <c r="BN41" s="133">
        <v>0</v>
      </c>
      <c r="BO41" s="133">
        <f t="shared" si="61"/>
        <v>0</v>
      </c>
      <c r="BP41" s="133">
        <v>0</v>
      </c>
      <c r="BQ41" s="133">
        <v>0</v>
      </c>
      <c r="BR41" s="133">
        <v>0</v>
      </c>
      <c r="BS41" s="133">
        <f t="shared" si="62"/>
        <v>0</v>
      </c>
      <c r="BT41" s="133">
        <v>0</v>
      </c>
      <c r="BU41" s="133">
        <v>0</v>
      </c>
      <c r="BV41" s="133">
        <v>0</v>
      </c>
      <c r="BW41" s="133"/>
      <c r="BX41" s="133"/>
      <c r="BY41" s="133"/>
      <c r="BZ41" s="133"/>
      <c r="CA41" s="133"/>
      <c r="CB41" s="133"/>
      <c r="CC41" s="434"/>
    </row>
    <row r="42" spans="1:81" ht="46.15" outlineLevel="1">
      <c r="A42" s="433">
        <v>7</v>
      </c>
      <c r="B42" s="549" t="s">
        <v>2177</v>
      </c>
      <c r="C42" s="420" t="s">
        <v>2116</v>
      </c>
      <c r="D42" s="420" t="s">
        <v>2117</v>
      </c>
      <c r="E42" s="420" t="s">
        <v>49</v>
      </c>
      <c r="F42" s="431" t="s">
        <v>48</v>
      </c>
      <c r="G42" s="422">
        <v>7939769</v>
      </c>
      <c r="H42" s="420" t="s">
        <v>2118</v>
      </c>
      <c r="I42" s="420" t="s">
        <v>76</v>
      </c>
      <c r="J42" s="422">
        <v>2022</v>
      </c>
      <c r="K42" s="420" t="s">
        <v>2178</v>
      </c>
      <c r="L42" s="420" t="s">
        <v>2179</v>
      </c>
      <c r="M42" s="169">
        <f t="shared" si="49"/>
        <v>2500</v>
      </c>
      <c r="N42" s="169">
        <v>0</v>
      </c>
      <c r="O42" s="169">
        <v>0</v>
      </c>
      <c r="P42" s="169">
        <v>2500</v>
      </c>
      <c r="Q42" s="70" t="s">
        <v>2180</v>
      </c>
      <c r="R42" s="70" t="s">
        <v>2118</v>
      </c>
      <c r="S42" s="70" t="s">
        <v>2122</v>
      </c>
      <c r="T42" s="169" t="s">
        <v>2117</v>
      </c>
      <c r="U42" s="70">
        <f t="shared" si="50"/>
        <v>0</v>
      </c>
      <c r="V42" s="70">
        <v>0</v>
      </c>
      <c r="W42" s="70">
        <v>0</v>
      </c>
      <c r="X42" s="70">
        <v>0</v>
      </c>
      <c r="Y42" s="70">
        <f t="shared" si="51"/>
        <v>2418.4343690000001</v>
      </c>
      <c r="Z42" s="70">
        <v>0</v>
      </c>
      <c r="AA42" s="70">
        <v>0</v>
      </c>
      <c r="AB42" s="70">
        <f t="shared" si="52"/>
        <v>2418.4343690000001</v>
      </c>
      <c r="AC42" s="67">
        <f t="shared" si="8"/>
        <v>0</v>
      </c>
      <c r="AD42" s="70">
        <v>0</v>
      </c>
      <c r="AE42" s="70">
        <v>0</v>
      </c>
      <c r="AF42" s="70">
        <v>2418.4343690000001</v>
      </c>
      <c r="AG42" s="70">
        <v>0</v>
      </c>
      <c r="AH42" s="70">
        <f t="shared" si="63"/>
        <v>2418.4343690000001</v>
      </c>
      <c r="AI42" s="70">
        <v>0</v>
      </c>
      <c r="AJ42" s="70">
        <v>0</v>
      </c>
      <c r="AK42" s="70">
        <f t="shared" si="54"/>
        <v>2418.4343690000001</v>
      </c>
      <c r="AL42" s="70"/>
      <c r="AM42" s="70">
        <v>0</v>
      </c>
      <c r="AN42" s="70">
        <v>2418.4343690000001</v>
      </c>
      <c r="AO42" s="70">
        <v>0</v>
      </c>
      <c r="AP42" s="70">
        <f t="shared" si="55"/>
        <v>2418.4343690000001</v>
      </c>
      <c r="AQ42" s="70">
        <v>0</v>
      </c>
      <c r="AR42" s="70">
        <v>0</v>
      </c>
      <c r="AS42" s="70">
        <f t="shared" si="56"/>
        <v>2418.4343690000001</v>
      </c>
      <c r="AT42" s="70"/>
      <c r="AU42" s="70">
        <v>0</v>
      </c>
      <c r="AV42" s="70">
        <v>2418.4343690000001</v>
      </c>
      <c r="AW42" s="70">
        <v>0</v>
      </c>
      <c r="AX42" s="70">
        <f t="shared" si="57"/>
        <v>0</v>
      </c>
      <c r="AY42" s="70">
        <v>0</v>
      </c>
      <c r="AZ42" s="70">
        <v>0</v>
      </c>
      <c r="BA42" s="70">
        <f t="shared" si="58"/>
        <v>0</v>
      </c>
      <c r="BB42" s="67">
        <f t="shared" si="24"/>
        <v>0</v>
      </c>
      <c r="BC42" s="70">
        <v>0</v>
      </c>
      <c r="BD42" s="70">
        <v>0</v>
      </c>
      <c r="BE42" s="70">
        <v>0</v>
      </c>
      <c r="BF42" s="70">
        <v>0</v>
      </c>
      <c r="BG42" s="133">
        <f t="shared" si="59"/>
        <v>0</v>
      </c>
      <c r="BH42" s="133">
        <v>0</v>
      </c>
      <c r="BI42" s="133">
        <v>0</v>
      </c>
      <c r="BJ42" s="133">
        <f t="shared" si="60"/>
        <v>0</v>
      </c>
      <c r="BK42" s="133">
        <v>0</v>
      </c>
      <c r="BL42" s="133">
        <v>0</v>
      </c>
      <c r="BM42" s="133">
        <v>0</v>
      </c>
      <c r="BN42" s="133">
        <v>0</v>
      </c>
      <c r="BO42" s="133">
        <f t="shared" si="61"/>
        <v>0</v>
      </c>
      <c r="BP42" s="133">
        <v>0</v>
      </c>
      <c r="BQ42" s="133">
        <v>0</v>
      </c>
      <c r="BR42" s="133">
        <v>0</v>
      </c>
      <c r="BS42" s="133">
        <f t="shared" si="62"/>
        <v>0</v>
      </c>
      <c r="BT42" s="133">
        <v>0</v>
      </c>
      <c r="BU42" s="133">
        <v>0</v>
      </c>
      <c r="BV42" s="133">
        <v>0</v>
      </c>
      <c r="BW42" s="133"/>
      <c r="BX42" s="133"/>
      <c r="BY42" s="133"/>
      <c r="BZ42" s="133"/>
      <c r="CA42" s="133"/>
      <c r="CB42" s="133"/>
      <c r="CC42" s="434"/>
    </row>
    <row r="43" spans="1:81" ht="92.25" outlineLevel="1">
      <c r="A43" s="433">
        <v>8</v>
      </c>
      <c r="B43" s="549" t="s">
        <v>2181</v>
      </c>
      <c r="C43" s="420" t="s">
        <v>2182</v>
      </c>
      <c r="D43" s="420" t="s">
        <v>2117</v>
      </c>
      <c r="E43" s="420" t="s">
        <v>49</v>
      </c>
      <c r="F43" s="431"/>
      <c r="G43" s="422"/>
      <c r="H43" s="420" t="s">
        <v>2118</v>
      </c>
      <c r="I43" s="420" t="s">
        <v>52</v>
      </c>
      <c r="J43" s="422"/>
      <c r="K43" s="420"/>
      <c r="L43" s="420" t="s">
        <v>3645</v>
      </c>
      <c r="M43" s="169">
        <v>494</v>
      </c>
      <c r="N43" s="169"/>
      <c r="O43" s="169"/>
      <c r="P43" s="169">
        <v>494</v>
      </c>
      <c r="Q43" s="70"/>
      <c r="R43" s="70"/>
      <c r="S43" s="70"/>
      <c r="T43" s="70"/>
      <c r="U43" s="70"/>
      <c r="V43" s="70"/>
      <c r="W43" s="70"/>
      <c r="X43" s="70"/>
      <c r="Y43" s="70"/>
      <c r="Z43" s="70"/>
      <c r="AA43" s="70"/>
      <c r="AB43" s="70">
        <f>SUM(AD43:AG43)</f>
        <v>494</v>
      </c>
      <c r="AC43" s="67">
        <f t="shared" si="8"/>
        <v>0</v>
      </c>
      <c r="AD43" s="70"/>
      <c r="AE43" s="70"/>
      <c r="AF43" s="70"/>
      <c r="AG43" s="70">
        <v>494</v>
      </c>
      <c r="AH43" s="70"/>
      <c r="AI43" s="70"/>
      <c r="AJ43" s="70"/>
      <c r="AK43" s="70"/>
      <c r="AL43" s="70"/>
      <c r="AM43" s="70"/>
      <c r="AN43" s="70"/>
      <c r="AO43" s="70"/>
      <c r="AP43" s="70"/>
      <c r="AQ43" s="70"/>
      <c r="AR43" s="70"/>
      <c r="AS43" s="70"/>
      <c r="AT43" s="70"/>
      <c r="AU43" s="70"/>
      <c r="AV43" s="70"/>
      <c r="AW43" s="70"/>
      <c r="AX43" s="70"/>
      <c r="AY43" s="70"/>
      <c r="AZ43" s="70"/>
      <c r="BA43" s="70"/>
      <c r="BB43" s="67">
        <f t="shared" si="24"/>
        <v>0</v>
      </c>
      <c r="BC43" s="70"/>
      <c r="BD43" s="70"/>
      <c r="BE43" s="70"/>
      <c r="BF43" s="70"/>
      <c r="BG43" s="133"/>
      <c r="BH43" s="133"/>
      <c r="BI43" s="133"/>
      <c r="BJ43" s="133"/>
      <c r="BK43" s="133"/>
      <c r="BL43" s="133"/>
      <c r="BM43" s="133"/>
      <c r="BN43" s="133"/>
      <c r="BO43" s="133"/>
      <c r="BP43" s="133"/>
      <c r="BQ43" s="133"/>
      <c r="BR43" s="133"/>
      <c r="BS43" s="133"/>
      <c r="BT43" s="133"/>
      <c r="BU43" s="133"/>
      <c r="BV43" s="133"/>
      <c r="BW43" s="133"/>
      <c r="BX43" s="133"/>
      <c r="BY43" s="133"/>
      <c r="BZ43" s="133"/>
      <c r="CA43" s="133"/>
      <c r="CB43" s="133"/>
      <c r="CC43" s="434"/>
    </row>
    <row r="44" spans="1:81" ht="59.25" customHeight="1" outlineLevel="1">
      <c r="A44" s="433">
        <v>9</v>
      </c>
      <c r="B44" s="549" t="s">
        <v>2151</v>
      </c>
      <c r="C44" s="420" t="s">
        <v>2116</v>
      </c>
      <c r="D44" s="420" t="s">
        <v>2117</v>
      </c>
      <c r="E44" s="420" t="s">
        <v>49</v>
      </c>
      <c r="F44" s="431" t="s">
        <v>82</v>
      </c>
      <c r="G44" s="422">
        <v>7987892</v>
      </c>
      <c r="H44" s="420" t="s">
        <v>2118</v>
      </c>
      <c r="I44" s="420" t="s">
        <v>52</v>
      </c>
      <c r="J44" s="422">
        <v>2022</v>
      </c>
      <c r="K44" s="420" t="s">
        <v>2152</v>
      </c>
      <c r="L44" s="420" t="s">
        <v>2153</v>
      </c>
      <c r="M44" s="169">
        <f t="shared" ref="M44:M49" si="64">SUM(N44:P44)</f>
        <v>14900</v>
      </c>
      <c r="N44" s="169">
        <v>0</v>
      </c>
      <c r="O44" s="169">
        <v>0</v>
      </c>
      <c r="P44" s="169">
        <v>14900</v>
      </c>
      <c r="Q44" s="70" t="s">
        <v>2154</v>
      </c>
      <c r="R44" s="70" t="s">
        <v>2118</v>
      </c>
      <c r="S44" s="70" t="s">
        <v>2122</v>
      </c>
      <c r="T44" s="169" t="s">
        <v>2117</v>
      </c>
      <c r="U44" s="70">
        <f t="shared" ref="U44:U49" si="65">SUM(V44:X44)</f>
        <v>0</v>
      </c>
      <c r="V44" s="70">
        <v>0</v>
      </c>
      <c r="W44" s="70">
        <v>0</v>
      </c>
      <c r="X44" s="70">
        <v>0</v>
      </c>
      <c r="Y44" s="70">
        <f t="shared" ref="Y44:Y49" si="66">SUM(Z44:AB44)</f>
        <v>12940</v>
      </c>
      <c r="Z44" s="70">
        <v>9430</v>
      </c>
      <c r="AA44" s="70">
        <v>0</v>
      </c>
      <c r="AB44" s="70">
        <f t="shared" ref="AB44:AB49" si="67">SUM(AD44:AG44)</f>
        <v>3510</v>
      </c>
      <c r="AC44" s="67">
        <f t="shared" si="8"/>
        <v>0</v>
      </c>
      <c r="AD44" s="70">
        <v>0</v>
      </c>
      <c r="AE44" s="70">
        <v>0</v>
      </c>
      <c r="AF44" s="70">
        <v>3510</v>
      </c>
      <c r="AG44" s="70"/>
      <c r="AH44" s="70">
        <f t="shared" ref="AH44:AH49" si="68">SUM(AI44:AK44)</f>
        <v>13324.921302999999</v>
      </c>
      <c r="AI44" s="70">
        <v>9430</v>
      </c>
      <c r="AJ44" s="70">
        <v>0</v>
      </c>
      <c r="AK44" s="70">
        <f t="shared" ref="AK44:AK49" si="69">SUM(AL44:AO44)</f>
        <v>3894.9213030000001</v>
      </c>
      <c r="AL44" s="70">
        <v>0</v>
      </c>
      <c r="AM44" s="70">
        <v>0</v>
      </c>
      <c r="AN44" s="70">
        <f>3419+33.988303</f>
        <v>3452.9883030000001</v>
      </c>
      <c r="AO44" s="70">
        <v>441.93299999999999</v>
      </c>
      <c r="AP44" s="70">
        <f t="shared" ref="AP44:AP49" si="70">SUM(AQ44:AS44)</f>
        <v>13324.921302999999</v>
      </c>
      <c r="AQ44" s="70">
        <v>9430</v>
      </c>
      <c r="AR44" s="70">
        <v>0</v>
      </c>
      <c r="AS44" s="70">
        <f t="shared" ref="AS44:AS49" si="71">SUM(AT44:AW44)</f>
        <v>3894.9213030000001</v>
      </c>
      <c r="AT44" s="70">
        <v>0</v>
      </c>
      <c r="AU44" s="70">
        <v>0</v>
      </c>
      <c r="AV44" s="70">
        <f>3419+33.988303</f>
        <v>3452.9883030000001</v>
      </c>
      <c r="AW44" s="70">
        <v>441.93299999999999</v>
      </c>
      <c r="AX44" s="70">
        <f t="shared" ref="AX44:AX49" si="72">SUM(AY44:BA44)</f>
        <v>0</v>
      </c>
      <c r="AY44" s="70">
        <v>0</v>
      </c>
      <c r="AZ44" s="70">
        <v>0</v>
      </c>
      <c r="BA44" s="70">
        <f t="shared" ref="BA44:BA49" si="73">SUM(BC44:BF44)</f>
        <v>0</v>
      </c>
      <c r="BB44" s="67">
        <f t="shared" si="24"/>
        <v>0</v>
      </c>
      <c r="BC44" s="70">
        <v>0</v>
      </c>
      <c r="BD44" s="70">
        <v>0</v>
      </c>
      <c r="BE44" s="70">
        <v>0</v>
      </c>
      <c r="BF44" s="70">
        <v>0</v>
      </c>
      <c r="BG44" s="133">
        <f t="shared" ref="BG44:BG49" si="74">SUM(BH44:BJ44)</f>
        <v>0</v>
      </c>
      <c r="BH44" s="133">
        <v>0</v>
      </c>
      <c r="BI44" s="133">
        <v>0</v>
      </c>
      <c r="BJ44" s="133">
        <f t="shared" ref="BJ44:BJ49" si="75">SUM(BK44:BN44)</f>
        <v>0</v>
      </c>
      <c r="BK44" s="133">
        <v>0</v>
      </c>
      <c r="BL44" s="133">
        <v>0</v>
      </c>
      <c r="BM44" s="133">
        <v>0</v>
      </c>
      <c r="BN44" s="133">
        <v>0</v>
      </c>
      <c r="BO44" s="133">
        <f t="shared" ref="BO44:BO49" si="76">SUM(BP44:BR44)</f>
        <v>0</v>
      </c>
      <c r="BP44" s="133">
        <v>0</v>
      </c>
      <c r="BQ44" s="133">
        <v>0</v>
      </c>
      <c r="BR44" s="133">
        <v>0</v>
      </c>
      <c r="BS44" s="133">
        <f t="shared" ref="BS44:BS50" si="77">SUM(BT44:BV44)</f>
        <v>0</v>
      </c>
      <c r="BT44" s="133">
        <v>0</v>
      </c>
      <c r="BU44" s="133">
        <v>0</v>
      </c>
      <c r="BV44" s="133">
        <v>0</v>
      </c>
      <c r="BW44" s="133"/>
      <c r="BX44" s="133"/>
      <c r="BY44" s="133"/>
      <c r="BZ44" s="133"/>
      <c r="CA44" s="133"/>
      <c r="CB44" s="133"/>
      <c r="CC44" s="434"/>
    </row>
    <row r="45" spans="1:81" ht="52.5" customHeight="1" outlineLevel="1">
      <c r="A45" s="433">
        <v>10</v>
      </c>
      <c r="B45" s="549" t="s">
        <v>2183</v>
      </c>
      <c r="C45" s="420" t="s">
        <v>2116</v>
      </c>
      <c r="D45" s="420" t="s">
        <v>2117</v>
      </c>
      <c r="E45" s="420" t="s">
        <v>49</v>
      </c>
      <c r="F45" s="431" t="s">
        <v>48</v>
      </c>
      <c r="G45" s="422"/>
      <c r="H45" s="420" t="s">
        <v>2118</v>
      </c>
      <c r="I45" s="420" t="s">
        <v>52</v>
      </c>
      <c r="J45" s="422">
        <v>2022</v>
      </c>
      <c r="K45" s="420" t="s">
        <v>2184</v>
      </c>
      <c r="L45" s="420" t="s">
        <v>2185</v>
      </c>
      <c r="M45" s="169">
        <f t="shared" si="64"/>
        <v>384</v>
      </c>
      <c r="N45" s="169">
        <v>0</v>
      </c>
      <c r="O45" s="169">
        <v>0</v>
      </c>
      <c r="P45" s="169">
        <v>384</v>
      </c>
      <c r="Q45" s="70" t="s">
        <v>2171</v>
      </c>
      <c r="R45" s="70" t="s">
        <v>2118</v>
      </c>
      <c r="S45" s="70" t="s">
        <v>2122</v>
      </c>
      <c r="T45" s="169" t="s">
        <v>2117</v>
      </c>
      <c r="U45" s="70">
        <f t="shared" si="65"/>
        <v>0</v>
      </c>
      <c r="V45" s="70">
        <v>0</v>
      </c>
      <c r="W45" s="70">
        <v>0</v>
      </c>
      <c r="X45" s="70">
        <v>0</v>
      </c>
      <c r="Y45" s="70">
        <f t="shared" si="66"/>
        <v>372</v>
      </c>
      <c r="Z45" s="70">
        <v>0</v>
      </c>
      <c r="AA45" s="70">
        <v>0</v>
      </c>
      <c r="AB45" s="70">
        <f t="shared" si="67"/>
        <v>372</v>
      </c>
      <c r="AC45" s="67">
        <f t="shared" si="8"/>
        <v>0</v>
      </c>
      <c r="AD45" s="70">
        <v>0</v>
      </c>
      <c r="AE45" s="70">
        <v>0</v>
      </c>
      <c r="AF45" s="70">
        <v>372</v>
      </c>
      <c r="AG45" s="70">
        <v>0</v>
      </c>
      <c r="AH45" s="70">
        <f t="shared" si="68"/>
        <v>372</v>
      </c>
      <c r="AI45" s="70">
        <v>0</v>
      </c>
      <c r="AJ45" s="70">
        <v>0</v>
      </c>
      <c r="AK45" s="70">
        <f t="shared" si="69"/>
        <v>372</v>
      </c>
      <c r="AL45" s="70">
        <v>0</v>
      </c>
      <c r="AM45" s="70">
        <v>0</v>
      </c>
      <c r="AN45" s="70">
        <v>372</v>
      </c>
      <c r="AO45" s="70">
        <v>0</v>
      </c>
      <c r="AP45" s="70">
        <f t="shared" si="70"/>
        <v>372</v>
      </c>
      <c r="AQ45" s="70">
        <v>0</v>
      </c>
      <c r="AR45" s="70">
        <v>0</v>
      </c>
      <c r="AS45" s="70">
        <f t="shared" si="71"/>
        <v>372</v>
      </c>
      <c r="AT45" s="70">
        <v>0</v>
      </c>
      <c r="AU45" s="70">
        <v>0</v>
      </c>
      <c r="AV45" s="70">
        <v>372</v>
      </c>
      <c r="AW45" s="70">
        <v>0</v>
      </c>
      <c r="AX45" s="70">
        <f t="shared" si="72"/>
        <v>0</v>
      </c>
      <c r="AY45" s="70">
        <v>0</v>
      </c>
      <c r="AZ45" s="70">
        <v>0</v>
      </c>
      <c r="BA45" s="70">
        <f t="shared" si="73"/>
        <v>0</v>
      </c>
      <c r="BB45" s="67">
        <f t="shared" si="24"/>
        <v>0</v>
      </c>
      <c r="BC45" s="70">
        <v>0</v>
      </c>
      <c r="BD45" s="70">
        <v>0</v>
      </c>
      <c r="BE45" s="70">
        <v>0</v>
      </c>
      <c r="BF45" s="70">
        <v>0</v>
      </c>
      <c r="BG45" s="133">
        <f t="shared" si="74"/>
        <v>0</v>
      </c>
      <c r="BH45" s="133">
        <v>0</v>
      </c>
      <c r="BI45" s="133">
        <v>0</v>
      </c>
      <c r="BJ45" s="133">
        <f t="shared" si="75"/>
        <v>0</v>
      </c>
      <c r="BK45" s="133">
        <v>0</v>
      </c>
      <c r="BL45" s="133">
        <v>0</v>
      </c>
      <c r="BM45" s="133">
        <v>0</v>
      </c>
      <c r="BN45" s="133">
        <v>0</v>
      </c>
      <c r="BO45" s="133">
        <f t="shared" si="76"/>
        <v>0</v>
      </c>
      <c r="BP45" s="133">
        <v>0</v>
      </c>
      <c r="BQ45" s="133">
        <v>0</v>
      </c>
      <c r="BR45" s="133">
        <v>0</v>
      </c>
      <c r="BS45" s="133">
        <f t="shared" si="77"/>
        <v>0</v>
      </c>
      <c r="BT45" s="133">
        <v>0</v>
      </c>
      <c r="BU45" s="133">
        <v>0</v>
      </c>
      <c r="BV45" s="133">
        <v>0</v>
      </c>
      <c r="BW45" s="133"/>
      <c r="BX45" s="133"/>
      <c r="BY45" s="133"/>
      <c r="BZ45" s="133"/>
      <c r="CA45" s="133"/>
      <c r="CB45" s="133"/>
      <c r="CC45" s="434"/>
    </row>
    <row r="46" spans="1:81" ht="46.15" outlineLevel="1">
      <c r="A46" s="433">
        <v>11</v>
      </c>
      <c r="B46" s="549" t="s">
        <v>2186</v>
      </c>
      <c r="C46" s="420" t="s">
        <v>2162</v>
      </c>
      <c r="D46" s="420" t="s">
        <v>2117</v>
      </c>
      <c r="E46" s="420" t="s">
        <v>49</v>
      </c>
      <c r="F46" s="431" t="s">
        <v>48</v>
      </c>
      <c r="G46" s="422">
        <v>8012486</v>
      </c>
      <c r="H46" s="420" t="s">
        <v>2137</v>
      </c>
      <c r="I46" s="420" t="s">
        <v>52</v>
      </c>
      <c r="J46" s="422">
        <v>2023</v>
      </c>
      <c r="K46" s="420" t="s">
        <v>2187</v>
      </c>
      <c r="L46" s="420" t="s">
        <v>2188</v>
      </c>
      <c r="M46" s="169">
        <f t="shared" si="64"/>
        <v>1990</v>
      </c>
      <c r="N46" s="169">
        <v>0</v>
      </c>
      <c r="O46" s="169">
        <v>0</v>
      </c>
      <c r="P46" s="169">
        <v>1990</v>
      </c>
      <c r="Q46" s="70" t="s">
        <v>2189</v>
      </c>
      <c r="R46" s="70" t="s">
        <v>2137</v>
      </c>
      <c r="S46" s="70" t="s">
        <v>2122</v>
      </c>
      <c r="T46" s="169" t="s">
        <v>2117</v>
      </c>
      <c r="U46" s="70">
        <f t="shared" si="65"/>
        <v>0</v>
      </c>
      <c r="V46" s="70">
        <v>0</v>
      </c>
      <c r="W46" s="70">
        <v>0</v>
      </c>
      <c r="X46" s="70">
        <v>0</v>
      </c>
      <c r="Y46" s="70">
        <f t="shared" si="66"/>
        <v>1950</v>
      </c>
      <c r="Z46" s="70">
        <v>0</v>
      </c>
      <c r="AA46" s="70">
        <v>0</v>
      </c>
      <c r="AB46" s="70">
        <f t="shared" si="67"/>
        <v>1950</v>
      </c>
      <c r="AC46" s="67">
        <f t="shared" si="8"/>
        <v>0</v>
      </c>
      <c r="AD46" s="70">
        <v>0</v>
      </c>
      <c r="AE46" s="70">
        <v>0</v>
      </c>
      <c r="AF46" s="70">
        <v>0</v>
      </c>
      <c r="AG46" s="70">
        <v>1950</v>
      </c>
      <c r="AH46" s="70">
        <f t="shared" si="68"/>
        <v>1951.001</v>
      </c>
      <c r="AI46" s="70">
        <v>0</v>
      </c>
      <c r="AJ46" s="70">
        <v>0</v>
      </c>
      <c r="AK46" s="70">
        <f t="shared" si="69"/>
        <v>1951.001</v>
      </c>
      <c r="AL46" s="70">
        <v>0</v>
      </c>
      <c r="AM46" s="70">
        <v>0</v>
      </c>
      <c r="AN46" s="70">
        <v>1.0009999999999999</v>
      </c>
      <c r="AO46" s="70">
        <v>1950</v>
      </c>
      <c r="AP46" s="70">
        <f t="shared" si="70"/>
        <v>1951.001</v>
      </c>
      <c r="AQ46" s="70">
        <v>0</v>
      </c>
      <c r="AR46" s="70">
        <v>0</v>
      </c>
      <c r="AS46" s="70">
        <f t="shared" si="71"/>
        <v>1951.001</v>
      </c>
      <c r="AT46" s="70">
        <v>0</v>
      </c>
      <c r="AU46" s="70">
        <v>0</v>
      </c>
      <c r="AV46" s="70">
        <v>1.0009999999999999</v>
      </c>
      <c r="AW46" s="70">
        <v>1950</v>
      </c>
      <c r="AX46" s="70">
        <f t="shared" si="72"/>
        <v>0</v>
      </c>
      <c r="AY46" s="70">
        <v>0</v>
      </c>
      <c r="AZ46" s="70">
        <v>0</v>
      </c>
      <c r="BA46" s="70">
        <f t="shared" si="73"/>
        <v>0</v>
      </c>
      <c r="BB46" s="67">
        <f t="shared" si="24"/>
        <v>0</v>
      </c>
      <c r="BC46" s="70">
        <v>0</v>
      </c>
      <c r="BD46" s="70">
        <v>0</v>
      </c>
      <c r="BE46" s="70">
        <v>0</v>
      </c>
      <c r="BF46" s="70">
        <v>0</v>
      </c>
      <c r="BG46" s="133">
        <f t="shared" si="74"/>
        <v>0</v>
      </c>
      <c r="BH46" s="133">
        <v>0</v>
      </c>
      <c r="BI46" s="133">
        <v>0</v>
      </c>
      <c r="BJ46" s="133">
        <f t="shared" si="75"/>
        <v>0</v>
      </c>
      <c r="BK46" s="133">
        <v>0</v>
      </c>
      <c r="BL46" s="133">
        <v>0</v>
      </c>
      <c r="BM46" s="133">
        <v>0</v>
      </c>
      <c r="BN46" s="133">
        <v>0</v>
      </c>
      <c r="BO46" s="133">
        <f t="shared" si="76"/>
        <v>0</v>
      </c>
      <c r="BP46" s="133">
        <v>0</v>
      </c>
      <c r="BQ46" s="133">
        <v>0</v>
      </c>
      <c r="BR46" s="133">
        <v>0</v>
      </c>
      <c r="BS46" s="133">
        <f t="shared" si="77"/>
        <v>0</v>
      </c>
      <c r="BT46" s="133">
        <v>0</v>
      </c>
      <c r="BU46" s="133">
        <v>0</v>
      </c>
      <c r="BV46" s="133">
        <v>0</v>
      </c>
      <c r="BW46" s="133"/>
      <c r="BX46" s="133"/>
      <c r="BY46" s="133"/>
      <c r="BZ46" s="133"/>
      <c r="CA46" s="133"/>
      <c r="CB46" s="133"/>
      <c r="CC46" s="434"/>
    </row>
    <row r="47" spans="1:81" ht="57.75" customHeight="1" outlineLevel="1">
      <c r="A47" s="433">
        <v>12</v>
      </c>
      <c r="B47" s="549" t="s">
        <v>2155</v>
      </c>
      <c r="C47" s="420" t="s">
        <v>2116</v>
      </c>
      <c r="D47" s="420" t="s">
        <v>2117</v>
      </c>
      <c r="E47" s="420" t="s">
        <v>49</v>
      </c>
      <c r="F47" s="431" t="s">
        <v>82</v>
      </c>
      <c r="G47" s="422">
        <v>8109476</v>
      </c>
      <c r="H47" s="420" t="s">
        <v>2118</v>
      </c>
      <c r="I47" s="420" t="s">
        <v>84</v>
      </c>
      <c r="J47" s="422">
        <v>2024</v>
      </c>
      <c r="K47" s="420"/>
      <c r="L47" s="420" t="s">
        <v>2156</v>
      </c>
      <c r="M47" s="169">
        <f t="shared" si="64"/>
        <v>1600</v>
      </c>
      <c r="N47" s="169">
        <v>0</v>
      </c>
      <c r="O47" s="169">
        <v>0</v>
      </c>
      <c r="P47" s="169">
        <v>1600</v>
      </c>
      <c r="Q47" s="70" t="s">
        <v>2157</v>
      </c>
      <c r="R47" s="70" t="s">
        <v>2118</v>
      </c>
      <c r="S47" s="70" t="s">
        <v>2122</v>
      </c>
      <c r="T47" s="169" t="s">
        <v>2117</v>
      </c>
      <c r="U47" s="70">
        <f t="shared" si="65"/>
        <v>0</v>
      </c>
      <c r="V47" s="70">
        <v>0</v>
      </c>
      <c r="W47" s="70">
        <v>0</v>
      </c>
      <c r="X47" s="70">
        <v>0</v>
      </c>
      <c r="Y47" s="70">
        <f t="shared" si="66"/>
        <v>1600</v>
      </c>
      <c r="Z47" s="70">
        <v>0</v>
      </c>
      <c r="AA47" s="70">
        <v>0</v>
      </c>
      <c r="AB47" s="70">
        <f t="shared" si="67"/>
        <v>1600</v>
      </c>
      <c r="AC47" s="67">
        <f t="shared" si="8"/>
        <v>0</v>
      </c>
      <c r="AD47" s="70">
        <v>0</v>
      </c>
      <c r="AE47" s="70">
        <v>0</v>
      </c>
      <c r="AF47" s="70">
        <v>1600</v>
      </c>
      <c r="AG47" s="70">
        <v>0</v>
      </c>
      <c r="AH47" s="70">
        <f t="shared" si="68"/>
        <v>1000</v>
      </c>
      <c r="AI47" s="70">
        <v>0</v>
      </c>
      <c r="AJ47" s="70">
        <v>0</v>
      </c>
      <c r="AK47" s="70">
        <f t="shared" si="69"/>
        <v>1000</v>
      </c>
      <c r="AL47" s="70">
        <v>0</v>
      </c>
      <c r="AM47" s="70">
        <v>0</v>
      </c>
      <c r="AN47" s="70">
        <v>1000</v>
      </c>
      <c r="AO47" s="70">
        <v>0</v>
      </c>
      <c r="AP47" s="70">
        <f t="shared" si="70"/>
        <v>1000</v>
      </c>
      <c r="AQ47" s="70">
        <v>0</v>
      </c>
      <c r="AR47" s="70">
        <v>0</v>
      </c>
      <c r="AS47" s="70">
        <f t="shared" si="71"/>
        <v>1000</v>
      </c>
      <c r="AT47" s="70">
        <v>0</v>
      </c>
      <c r="AU47" s="70">
        <v>0</v>
      </c>
      <c r="AV47" s="70">
        <v>1000</v>
      </c>
      <c r="AW47" s="70">
        <v>0</v>
      </c>
      <c r="AX47" s="70">
        <f t="shared" si="72"/>
        <v>600</v>
      </c>
      <c r="AY47" s="70">
        <v>0</v>
      </c>
      <c r="AZ47" s="70">
        <v>0</v>
      </c>
      <c r="BA47" s="70">
        <f t="shared" si="73"/>
        <v>600</v>
      </c>
      <c r="BB47" s="67">
        <f t="shared" si="24"/>
        <v>0</v>
      </c>
      <c r="BC47" s="70">
        <v>0</v>
      </c>
      <c r="BD47" s="70">
        <v>0</v>
      </c>
      <c r="BE47" s="70">
        <f>592.892+7.108</f>
        <v>600</v>
      </c>
      <c r="BF47" s="70">
        <v>0</v>
      </c>
      <c r="BG47" s="133">
        <f t="shared" si="74"/>
        <v>600</v>
      </c>
      <c r="BH47" s="133">
        <v>0</v>
      </c>
      <c r="BI47" s="133">
        <v>0</v>
      </c>
      <c r="BJ47" s="133">
        <f t="shared" si="75"/>
        <v>600</v>
      </c>
      <c r="BK47" s="133">
        <v>0</v>
      </c>
      <c r="BL47" s="133">
        <v>0</v>
      </c>
      <c r="BM47" s="133">
        <f>592.892+7.108</f>
        <v>600</v>
      </c>
      <c r="BN47" s="133">
        <v>0</v>
      </c>
      <c r="BO47" s="133">
        <f t="shared" si="76"/>
        <v>0</v>
      </c>
      <c r="BP47" s="133">
        <v>0</v>
      </c>
      <c r="BQ47" s="133">
        <v>0</v>
      </c>
      <c r="BR47" s="133">
        <v>0</v>
      </c>
      <c r="BS47" s="133">
        <f t="shared" si="77"/>
        <v>0</v>
      </c>
      <c r="BT47" s="133">
        <v>0</v>
      </c>
      <c r="BU47" s="133">
        <v>0</v>
      </c>
      <c r="BV47" s="133">
        <v>0</v>
      </c>
      <c r="BW47" s="133"/>
      <c r="BX47" s="133"/>
      <c r="BY47" s="133"/>
      <c r="BZ47" s="133"/>
      <c r="CA47" s="133"/>
      <c r="CB47" s="133"/>
      <c r="CC47" s="434"/>
    </row>
    <row r="48" spans="1:81" ht="30.75" outlineLevel="1">
      <c r="A48" s="433">
        <v>13</v>
      </c>
      <c r="B48" s="549" t="s">
        <v>2158</v>
      </c>
      <c r="C48" s="420" t="s">
        <v>2116</v>
      </c>
      <c r="D48" s="420" t="s">
        <v>2117</v>
      </c>
      <c r="E48" s="420" t="s">
        <v>49</v>
      </c>
      <c r="F48" s="431" t="s">
        <v>82</v>
      </c>
      <c r="G48" s="422">
        <v>8122534</v>
      </c>
      <c r="H48" s="420" t="s">
        <v>2118</v>
      </c>
      <c r="I48" s="420" t="s">
        <v>84</v>
      </c>
      <c r="J48" s="422">
        <v>2024</v>
      </c>
      <c r="K48" s="420"/>
      <c r="L48" s="420" t="s">
        <v>2159</v>
      </c>
      <c r="M48" s="169">
        <f t="shared" si="64"/>
        <v>700</v>
      </c>
      <c r="N48" s="169">
        <v>0</v>
      </c>
      <c r="O48" s="169">
        <v>0</v>
      </c>
      <c r="P48" s="169">
        <v>700</v>
      </c>
      <c r="Q48" s="70" t="s">
        <v>2160</v>
      </c>
      <c r="R48" s="70" t="s">
        <v>2118</v>
      </c>
      <c r="S48" s="70" t="s">
        <v>2122</v>
      </c>
      <c r="T48" s="169" t="s">
        <v>2117</v>
      </c>
      <c r="U48" s="70">
        <f t="shared" si="65"/>
        <v>0</v>
      </c>
      <c r="V48" s="70">
        <v>0</v>
      </c>
      <c r="W48" s="70">
        <v>0</v>
      </c>
      <c r="X48" s="70">
        <v>0</v>
      </c>
      <c r="Y48" s="70">
        <f t="shared" si="66"/>
        <v>618</v>
      </c>
      <c r="Z48" s="70">
        <v>0</v>
      </c>
      <c r="AA48" s="70">
        <v>0</v>
      </c>
      <c r="AB48" s="70">
        <f t="shared" si="67"/>
        <v>618</v>
      </c>
      <c r="AC48" s="67">
        <f t="shared" si="8"/>
        <v>0</v>
      </c>
      <c r="AD48" s="70">
        <v>0</v>
      </c>
      <c r="AE48" s="70">
        <v>0</v>
      </c>
      <c r="AF48" s="70">
        <v>618</v>
      </c>
      <c r="AG48" s="70">
        <v>0</v>
      </c>
      <c r="AH48" s="70">
        <f t="shared" si="68"/>
        <v>200</v>
      </c>
      <c r="AI48" s="70">
        <v>0</v>
      </c>
      <c r="AJ48" s="70">
        <v>0</v>
      </c>
      <c r="AK48" s="70">
        <f t="shared" si="69"/>
        <v>200</v>
      </c>
      <c r="AL48" s="70">
        <v>0</v>
      </c>
      <c r="AM48" s="70">
        <v>0</v>
      </c>
      <c r="AN48" s="70">
        <v>200</v>
      </c>
      <c r="AO48" s="70">
        <v>0</v>
      </c>
      <c r="AP48" s="70">
        <f t="shared" si="70"/>
        <v>200</v>
      </c>
      <c r="AQ48" s="70">
        <v>0</v>
      </c>
      <c r="AR48" s="70">
        <v>0</v>
      </c>
      <c r="AS48" s="70">
        <f t="shared" si="71"/>
        <v>200</v>
      </c>
      <c r="AT48" s="70">
        <v>0</v>
      </c>
      <c r="AU48" s="70">
        <v>0</v>
      </c>
      <c r="AV48" s="70">
        <v>200</v>
      </c>
      <c r="AW48" s="70">
        <v>0</v>
      </c>
      <c r="AX48" s="70">
        <f t="shared" si="72"/>
        <v>500</v>
      </c>
      <c r="AY48" s="70">
        <v>0</v>
      </c>
      <c r="AZ48" s="70">
        <v>0</v>
      </c>
      <c r="BA48" s="70">
        <f t="shared" si="73"/>
        <v>500</v>
      </c>
      <c r="BB48" s="67">
        <f t="shared" si="24"/>
        <v>0</v>
      </c>
      <c r="BC48" s="70">
        <v>0</v>
      </c>
      <c r="BD48" s="70">
        <v>0</v>
      </c>
      <c r="BE48" s="70">
        <v>500</v>
      </c>
      <c r="BF48" s="70">
        <v>0</v>
      </c>
      <c r="BG48" s="133">
        <f t="shared" si="74"/>
        <v>421.32599999999996</v>
      </c>
      <c r="BH48" s="133">
        <v>0</v>
      </c>
      <c r="BI48" s="133">
        <v>0</v>
      </c>
      <c r="BJ48" s="133">
        <f t="shared" si="75"/>
        <v>421.32599999999996</v>
      </c>
      <c r="BK48" s="133">
        <v>0</v>
      </c>
      <c r="BL48" s="133">
        <v>0</v>
      </c>
      <c r="BM48" s="133">
        <f>417.7+3.626</f>
        <v>421.32599999999996</v>
      </c>
      <c r="BN48" s="133">
        <v>0</v>
      </c>
      <c r="BO48" s="133">
        <f t="shared" si="76"/>
        <v>0</v>
      </c>
      <c r="BP48" s="133">
        <v>0</v>
      </c>
      <c r="BQ48" s="133">
        <v>0</v>
      </c>
      <c r="BR48" s="133">
        <v>0</v>
      </c>
      <c r="BS48" s="133">
        <f t="shared" si="77"/>
        <v>0</v>
      </c>
      <c r="BT48" s="133">
        <v>0</v>
      </c>
      <c r="BU48" s="133">
        <v>0</v>
      </c>
      <c r="BV48" s="133">
        <v>0</v>
      </c>
      <c r="BW48" s="133"/>
      <c r="BX48" s="133"/>
      <c r="BY48" s="133"/>
      <c r="BZ48" s="133"/>
      <c r="CA48" s="133"/>
      <c r="CB48" s="133"/>
      <c r="CC48" s="434"/>
    </row>
    <row r="49" spans="1:81" ht="46.15" outlineLevel="1">
      <c r="A49" s="433">
        <v>14</v>
      </c>
      <c r="B49" s="549" t="s">
        <v>2161</v>
      </c>
      <c r="C49" s="420" t="s">
        <v>2162</v>
      </c>
      <c r="D49" s="420" t="s">
        <v>2117</v>
      </c>
      <c r="E49" s="420" t="s">
        <v>49</v>
      </c>
      <c r="F49" s="431" t="s">
        <v>82</v>
      </c>
      <c r="G49" s="422">
        <v>8057091</v>
      </c>
      <c r="H49" s="420" t="s">
        <v>2137</v>
      </c>
      <c r="I49" s="420" t="s">
        <v>54</v>
      </c>
      <c r="J49" s="422">
        <v>2023</v>
      </c>
      <c r="K49" s="420" t="s">
        <v>2163</v>
      </c>
      <c r="L49" s="420" t="s">
        <v>2164</v>
      </c>
      <c r="M49" s="169">
        <f t="shared" si="64"/>
        <v>1500</v>
      </c>
      <c r="N49" s="169">
        <v>0</v>
      </c>
      <c r="O49" s="169">
        <v>0</v>
      </c>
      <c r="P49" s="169">
        <v>1500</v>
      </c>
      <c r="Q49" s="70" t="s">
        <v>2165</v>
      </c>
      <c r="R49" s="70" t="s">
        <v>2137</v>
      </c>
      <c r="S49" s="70" t="s">
        <v>2122</v>
      </c>
      <c r="T49" s="169" t="s">
        <v>2117</v>
      </c>
      <c r="U49" s="70">
        <f t="shared" si="65"/>
        <v>0</v>
      </c>
      <c r="V49" s="70">
        <v>0</v>
      </c>
      <c r="W49" s="70">
        <v>0</v>
      </c>
      <c r="X49" s="70">
        <v>0</v>
      </c>
      <c r="Y49" s="70">
        <f t="shared" si="66"/>
        <v>1454.5150000000001</v>
      </c>
      <c r="Z49" s="70">
        <v>0</v>
      </c>
      <c r="AA49" s="70">
        <v>0</v>
      </c>
      <c r="AB49" s="70">
        <f t="shared" si="67"/>
        <v>1454.5150000000001</v>
      </c>
      <c r="AC49" s="67">
        <f t="shared" si="8"/>
        <v>0</v>
      </c>
      <c r="AD49" s="70">
        <v>0</v>
      </c>
      <c r="AE49" s="70">
        <v>0</v>
      </c>
      <c r="AF49" s="70"/>
      <c r="AG49" s="70">
        <v>1454.5150000000001</v>
      </c>
      <c r="AH49" s="70">
        <f t="shared" si="68"/>
        <v>1460.1980000000001</v>
      </c>
      <c r="AI49" s="70">
        <v>0</v>
      </c>
      <c r="AJ49" s="70">
        <v>0</v>
      </c>
      <c r="AK49" s="70">
        <f t="shared" si="69"/>
        <v>1460.1980000000001</v>
      </c>
      <c r="AL49" s="70">
        <v>0</v>
      </c>
      <c r="AM49" s="70">
        <v>0</v>
      </c>
      <c r="AN49" s="70">
        <v>5.6829999999999927</v>
      </c>
      <c r="AO49" s="70">
        <v>1454.5150000000001</v>
      </c>
      <c r="AP49" s="70">
        <f t="shared" si="70"/>
        <v>1460.1980000000001</v>
      </c>
      <c r="AQ49" s="70">
        <v>0</v>
      </c>
      <c r="AR49" s="70">
        <v>0</v>
      </c>
      <c r="AS49" s="70">
        <f t="shared" si="71"/>
        <v>1460.1980000000001</v>
      </c>
      <c r="AT49" s="70">
        <v>0</v>
      </c>
      <c r="AU49" s="70">
        <v>0</v>
      </c>
      <c r="AV49" s="70">
        <v>5.6829999999999927</v>
      </c>
      <c r="AW49" s="70">
        <v>1454.5150000000001</v>
      </c>
      <c r="AX49" s="70">
        <f t="shared" si="72"/>
        <v>0</v>
      </c>
      <c r="AY49" s="70">
        <v>0</v>
      </c>
      <c r="AZ49" s="70">
        <v>0</v>
      </c>
      <c r="BA49" s="70">
        <f t="shared" si="73"/>
        <v>0</v>
      </c>
      <c r="BB49" s="67">
        <f t="shared" si="24"/>
        <v>0</v>
      </c>
      <c r="BC49" s="70">
        <v>0</v>
      </c>
      <c r="BD49" s="70">
        <v>0</v>
      </c>
      <c r="BE49" s="70">
        <v>0</v>
      </c>
      <c r="BF49" s="70">
        <v>0</v>
      </c>
      <c r="BG49" s="133">
        <f t="shared" si="74"/>
        <v>0</v>
      </c>
      <c r="BH49" s="133">
        <v>0</v>
      </c>
      <c r="BI49" s="133">
        <v>0</v>
      </c>
      <c r="BJ49" s="133">
        <f t="shared" si="75"/>
        <v>0</v>
      </c>
      <c r="BK49" s="133">
        <v>0</v>
      </c>
      <c r="BL49" s="133">
        <v>0</v>
      </c>
      <c r="BM49" s="133">
        <v>0</v>
      </c>
      <c r="BN49" s="133">
        <v>0</v>
      </c>
      <c r="BO49" s="133">
        <f t="shared" si="76"/>
        <v>0</v>
      </c>
      <c r="BP49" s="133">
        <v>0</v>
      </c>
      <c r="BQ49" s="133">
        <v>0</v>
      </c>
      <c r="BR49" s="133">
        <v>0</v>
      </c>
      <c r="BS49" s="133">
        <f t="shared" si="77"/>
        <v>0</v>
      </c>
      <c r="BT49" s="133">
        <v>0</v>
      </c>
      <c r="BU49" s="133">
        <v>0</v>
      </c>
      <c r="BV49" s="133">
        <v>0</v>
      </c>
      <c r="BW49" s="133"/>
      <c r="BX49" s="133"/>
      <c r="BY49" s="133"/>
      <c r="BZ49" s="133"/>
      <c r="CA49" s="133"/>
      <c r="CB49" s="133"/>
      <c r="CC49" s="434"/>
    </row>
    <row r="50" spans="1:81" ht="92.25" outlineLevel="1">
      <c r="A50" s="433">
        <v>15</v>
      </c>
      <c r="B50" s="549" t="s">
        <v>2190</v>
      </c>
      <c r="C50" s="420" t="s">
        <v>77</v>
      </c>
      <c r="D50" s="420" t="s">
        <v>2117</v>
      </c>
      <c r="E50" s="420" t="s">
        <v>49</v>
      </c>
      <c r="F50" s="557"/>
      <c r="G50" s="551"/>
      <c r="H50" s="420" t="s">
        <v>2191</v>
      </c>
      <c r="I50" s="420" t="s">
        <v>2192</v>
      </c>
      <c r="J50" s="551"/>
      <c r="K50" s="418"/>
      <c r="L50" s="420" t="s">
        <v>2193</v>
      </c>
      <c r="M50" s="169">
        <v>21385.563999999998</v>
      </c>
      <c r="N50" s="169">
        <v>208.18</v>
      </c>
      <c r="O50" s="169">
        <v>1618.2</v>
      </c>
      <c r="P50" s="169">
        <f>1089.0201+282.829</f>
        <v>1371.8490999999999</v>
      </c>
      <c r="Q50" s="209"/>
      <c r="R50" s="67"/>
      <c r="S50" s="104"/>
      <c r="T50" s="67"/>
      <c r="U50" s="169"/>
      <c r="V50" s="169"/>
      <c r="W50" s="169"/>
      <c r="X50" s="169"/>
      <c r="Y50" s="70">
        <f>SUM(Z50:AB50)</f>
        <v>3198.2291</v>
      </c>
      <c r="Z50" s="70">
        <v>208.18</v>
      </c>
      <c r="AA50" s="70">
        <v>1618.2</v>
      </c>
      <c r="AB50" s="70">
        <f>SUM(AD50:AG50)</f>
        <v>1371.8490999999999</v>
      </c>
      <c r="AC50" s="67">
        <f t="shared" si="8"/>
        <v>0</v>
      </c>
      <c r="AD50" s="70"/>
      <c r="AE50" s="70">
        <v>0</v>
      </c>
      <c r="AF50" s="70">
        <v>1371.8490999999999</v>
      </c>
      <c r="AG50" s="70">
        <v>0</v>
      </c>
      <c r="AH50" s="70">
        <f t="shared" ref="AH50" si="78">SUM(AI50:AK50)</f>
        <v>3198.2291</v>
      </c>
      <c r="AI50" s="70">
        <v>208.18</v>
      </c>
      <c r="AJ50" s="70">
        <v>1618.2</v>
      </c>
      <c r="AK50" s="70">
        <f t="shared" ref="AK50" si="79">SUM(AL50:AO50)</f>
        <v>1371.8490999999999</v>
      </c>
      <c r="AL50" s="70"/>
      <c r="AM50" s="70">
        <v>0</v>
      </c>
      <c r="AN50" s="70">
        <v>1371.8490999999999</v>
      </c>
      <c r="AO50" s="70">
        <v>0</v>
      </c>
      <c r="AP50" s="70">
        <f t="shared" ref="AP50" si="80">SUM(AQ50:AS50)</f>
        <v>3198.2291</v>
      </c>
      <c r="AQ50" s="70">
        <v>208.18</v>
      </c>
      <c r="AR50" s="70">
        <v>1618.2</v>
      </c>
      <c r="AS50" s="70">
        <f t="shared" ref="AS50" si="81">SUM(AT50:AW50)</f>
        <v>1371.8490999999999</v>
      </c>
      <c r="AT50" s="70"/>
      <c r="AU50" s="70">
        <v>0</v>
      </c>
      <c r="AV50" s="70">
        <v>1371.8490999999999</v>
      </c>
      <c r="AW50" s="70">
        <v>0</v>
      </c>
      <c r="AX50" s="70">
        <f t="shared" ref="AX50" si="82">SUM(AY50:BA50)</f>
        <v>0</v>
      </c>
      <c r="AY50" s="70">
        <v>0</v>
      </c>
      <c r="AZ50" s="70">
        <v>0</v>
      </c>
      <c r="BA50" s="70">
        <f t="shared" ref="BA50" si="83">SUM(BC50:BF50)</f>
        <v>0</v>
      </c>
      <c r="BB50" s="67">
        <f t="shared" si="24"/>
        <v>0</v>
      </c>
      <c r="BC50" s="70">
        <v>0</v>
      </c>
      <c r="BD50" s="70">
        <v>0</v>
      </c>
      <c r="BE50" s="70">
        <v>0</v>
      </c>
      <c r="BF50" s="70">
        <v>0</v>
      </c>
      <c r="BG50" s="133">
        <f t="shared" ref="BG50" si="84">SUM(BH50:BJ50)</f>
        <v>0</v>
      </c>
      <c r="BH50" s="133">
        <v>0</v>
      </c>
      <c r="BI50" s="133">
        <v>0</v>
      </c>
      <c r="BJ50" s="133">
        <f t="shared" ref="BJ50" si="85">SUM(BK50:BN50)</f>
        <v>0</v>
      </c>
      <c r="BK50" s="133">
        <v>0</v>
      </c>
      <c r="BL50" s="133">
        <v>0</v>
      </c>
      <c r="BM50" s="133">
        <v>0</v>
      </c>
      <c r="BN50" s="133">
        <v>0</v>
      </c>
      <c r="BO50" s="133">
        <f t="shared" ref="BO50" si="86">SUM(BP50:BR50)</f>
        <v>0</v>
      </c>
      <c r="BP50" s="133">
        <v>0</v>
      </c>
      <c r="BQ50" s="133">
        <v>0</v>
      </c>
      <c r="BR50" s="133">
        <v>0</v>
      </c>
      <c r="BS50" s="133">
        <f t="shared" si="77"/>
        <v>0</v>
      </c>
      <c r="BT50" s="133">
        <v>0</v>
      </c>
      <c r="BU50" s="133">
        <v>0</v>
      </c>
      <c r="BV50" s="133">
        <v>0</v>
      </c>
      <c r="BW50" s="133">
        <f t="shared" ref="BW50" si="87">SUM(BX50:BZ50)</f>
        <v>0</v>
      </c>
      <c r="BX50" s="133">
        <v>0</v>
      </c>
      <c r="BY50" s="133">
        <v>0</v>
      </c>
      <c r="BZ50" s="133">
        <v>0</v>
      </c>
      <c r="CA50" s="133"/>
      <c r="CB50" s="133"/>
      <c r="CC50" s="434"/>
    </row>
    <row r="51" spans="1:81" ht="30" customHeight="1">
      <c r="A51" s="551" t="s">
        <v>13</v>
      </c>
      <c r="B51" s="551" t="s">
        <v>2194</v>
      </c>
      <c r="C51" s="552"/>
      <c r="D51" s="485"/>
      <c r="E51" s="552"/>
      <c r="F51" s="552"/>
      <c r="G51" s="552"/>
      <c r="H51" s="552"/>
      <c r="I51" s="552"/>
      <c r="J51" s="552"/>
      <c r="K51" s="552"/>
      <c r="L51" s="552"/>
      <c r="M51" s="209">
        <f>M52+M58+M72</f>
        <v>88727.562000000005</v>
      </c>
      <c r="N51" s="209">
        <f t="shared" ref="N51:BZ51" si="88">N52+N58+N72</f>
        <v>1650</v>
      </c>
      <c r="O51" s="209">
        <f t="shared" si="88"/>
        <v>0</v>
      </c>
      <c r="P51" s="209">
        <f t="shared" si="88"/>
        <v>87077.562000000005</v>
      </c>
      <c r="Q51" s="209">
        <f t="shared" si="88"/>
        <v>0</v>
      </c>
      <c r="R51" s="209">
        <f t="shared" si="88"/>
        <v>0</v>
      </c>
      <c r="S51" s="209">
        <f t="shared" si="88"/>
        <v>0</v>
      </c>
      <c r="T51" s="209">
        <f t="shared" si="88"/>
        <v>0</v>
      </c>
      <c r="U51" s="209">
        <f t="shared" si="88"/>
        <v>0</v>
      </c>
      <c r="V51" s="209">
        <f t="shared" si="88"/>
        <v>0</v>
      </c>
      <c r="W51" s="209">
        <f t="shared" si="88"/>
        <v>0</v>
      </c>
      <c r="X51" s="209">
        <f t="shared" si="88"/>
        <v>0</v>
      </c>
      <c r="Y51" s="209">
        <f t="shared" si="88"/>
        <v>43968.236139999994</v>
      </c>
      <c r="Z51" s="209">
        <f t="shared" si="88"/>
        <v>2450</v>
      </c>
      <c r="AA51" s="209">
        <f t="shared" si="88"/>
        <v>3000</v>
      </c>
      <c r="AB51" s="209">
        <f t="shared" si="88"/>
        <v>38518.236140000001</v>
      </c>
      <c r="AC51" s="209">
        <f t="shared" si="8"/>
        <v>19474.445573000001</v>
      </c>
      <c r="AD51" s="209">
        <f t="shared" si="88"/>
        <v>19474.445573000001</v>
      </c>
      <c r="AE51" s="209">
        <f t="shared" si="88"/>
        <v>0</v>
      </c>
      <c r="AF51" s="209">
        <f t="shared" si="88"/>
        <v>11085.431</v>
      </c>
      <c r="AG51" s="209">
        <f t="shared" si="88"/>
        <v>7958.3595669999995</v>
      </c>
      <c r="AH51" s="209">
        <f t="shared" si="88"/>
        <v>37249.324567000003</v>
      </c>
      <c r="AI51" s="209">
        <f t="shared" si="88"/>
        <v>800</v>
      </c>
      <c r="AJ51" s="209">
        <f t="shared" si="88"/>
        <v>3000</v>
      </c>
      <c r="AK51" s="209">
        <f t="shared" si="88"/>
        <v>33649.324567000003</v>
      </c>
      <c r="AL51" s="209">
        <f t="shared" si="88"/>
        <v>14647</v>
      </c>
      <c r="AM51" s="209">
        <f t="shared" si="88"/>
        <v>0</v>
      </c>
      <c r="AN51" s="209">
        <f t="shared" si="88"/>
        <v>11043.965</v>
      </c>
      <c r="AO51" s="209">
        <f t="shared" si="88"/>
        <v>7958.3595669999995</v>
      </c>
      <c r="AP51" s="209">
        <f t="shared" si="88"/>
        <v>37237.800189000001</v>
      </c>
      <c r="AQ51" s="209">
        <f t="shared" si="88"/>
        <v>800</v>
      </c>
      <c r="AR51" s="209">
        <f t="shared" si="88"/>
        <v>3000</v>
      </c>
      <c r="AS51" s="209">
        <f t="shared" si="88"/>
        <v>33637.800189000001</v>
      </c>
      <c r="AT51" s="209">
        <f t="shared" si="88"/>
        <v>14635.475622</v>
      </c>
      <c r="AU51" s="209">
        <f t="shared" si="88"/>
        <v>0</v>
      </c>
      <c r="AV51" s="209">
        <f t="shared" si="88"/>
        <v>11043.965</v>
      </c>
      <c r="AW51" s="209">
        <f t="shared" si="88"/>
        <v>7958.3595669999995</v>
      </c>
      <c r="AX51" s="209">
        <f t="shared" si="88"/>
        <v>6769.7730000000001</v>
      </c>
      <c r="AY51" s="209">
        <f t="shared" si="88"/>
        <v>1650</v>
      </c>
      <c r="AZ51" s="209">
        <f t="shared" si="88"/>
        <v>0</v>
      </c>
      <c r="BA51" s="209">
        <f t="shared" si="88"/>
        <v>5119.7730000000001</v>
      </c>
      <c r="BB51" s="209">
        <f t="shared" si="24"/>
        <v>4076</v>
      </c>
      <c r="BC51" s="209">
        <f t="shared" si="88"/>
        <v>4076</v>
      </c>
      <c r="BD51" s="209">
        <f t="shared" si="88"/>
        <v>0</v>
      </c>
      <c r="BE51" s="209">
        <f t="shared" si="88"/>
        <v>1043.7729999999999</v>
      </c>
      <c r="BF51" s="209">
        <f t="shared" si="88"/>
        <v>0</v>
      </c>
      <c r="BG51" s="209">
        <f t="shared" si="88"/>
        <v>5545.0289999999995</v>
      </c>
      <c r="BH51" s="209">
        <f t="shared" si="88"/>
        <v>1650</v>
      </c>
      <c r="BI51" s="209">
        <f t="shared" si="88"/>
        <v>0</v>
      </c>
      <c r="BJ51" s="209">
        <f t="shared" si="88"/>
        <v>3895.029</v>
      </c>
      <c r="BK51" s="209">
        <f t="shared" si="88"/>
        <v>3807.4830000000002</v>
      </c>
      <c r="BL51" s="209">
        <f t="shared" si="88"/>
        <v>0</v>
      </c>
      <c r="BM51" s="209">
        <f t="shared" si="88"/>
        <v>87.546000000000006</v>
      </c>
      <c r="BN51" s="209">
        <f t="shared" si="88"/>
        <v>0</v>
      </c>
      <c r="BO51" s="209">
        <f t="shared" si="88"/>
        <v>11.52437800000002</v>
      </c>
      <c r="BP51" s="209">
        <f t="shared" si="88"/>
        <v>0</v>
      </c>
      <c r="BQ51" s="209">
        <f t="shared" si="88"/>
        <v>0</v>
      </c>
      <c r="BR51" s="209">
        <f t="shared" si="88"/>
        <v>11.52437800000002</v>
      </c>
      <c r="BS51" s="209">
        <f t="shared" si="88"/>
        <v>0</v>
      </c>
      <c r="BT51" s="209">
        <f t="shared" si="88"/>
        <v>0</v>
      </c>
      <c r="BU51" s="209">
        <f t="shared" si="88"/>
        <v>0</v>
      </c>
      <c r="BV51" s="209">
        <f t="shared" si="88"/>
        <v>0</v>
      </c>
      <c r="BW51" s="209">
        <f t="shared" si="88"/>
        <v>1135</v>
      </c>
      <c r="BX51" s="209">
        <f t="shared" si="88"/>
        <v>0</v>
      </c>
      <c r="BY51" s="209">
        <f t="shared" si="88"/>
        <v>0</v>
      </c>
      <c r="BZ51" s="209">
        <f t="shared" si="88"/>
        <v>1135</v>
      </c>
      <c r="CA51" s="209">
        <f t="shared" ref="CA51:CB51" si="89">CA52+CA58+CA72</f>
        <v>0</v>
      </c>
      <c r="CB51" s="209">
        <f t="shared" si="89"/>
        <v>11.564378000000019</v>
      </c>
      <c r="CC51" s="552"/>
    </row>
    <row r="52" spans="1:81" ht="20.100000000000001" customHeight="1" outlineLevel="1">
      <c r="A52" s="553" t="s">
        <v>45</v>
      </c>
      <c r="B52" s="551" t="s">
        <v>46</v>
      </c>
      <c r="C52" s="552"/>
      <c r="D52" s="485"/>
      <c r="E52" s="552"/>
      <c r="F52" s="552"/>
      <c r="G52" s="552"/>
      <c r="H52" s="552"/>
      <c r="I52" s="552"/>
      <c r="J52" s="552"/>
      <c r="K52" s="552"/>
      <c r="L52" s="552"/>
      <c r="M52" s="209">
        <f>SUM(M53:M57)</f>
        <v>29391.280999999999</v>
      </c>
      <c r="N52" s="209">
        <f t="shared" ref="N52:BZ52" si="90">SUM(N53:N57)</f>
        <v>0</v>
      </c>
      <c r="O52" s="209">
        <f t="shared" si="90"/>
        <v>0</v>
      </c>
      <c r="P52" s="209">
        <f t="shared" si="90"/>
        <v>29391.280999999999</v>
      </c>
      <c r="Q52" s="209">
        <f t="shared" si="90"/>
        <v>0</v>
      </c>
      <c r="R52" s="209">
        <f t="shared" si="90"/>
        <v>0</v>
      </c>
      <c r="S52" s="209">
        <f t="shared" si="90"/>
        <v>0</v>
      </c>
      <c r="T52" s="209">
        <f t="shared" si="90"/>
        <v>0</v>
      </c>
      <c r="U52" s="209">
        <f t="shared" si="90"/>
        <v>0</v>
      </c>
      <c r="V52" s="209">
        <f t="shared" si="90"/>
        <v>0</v>
      </c>
      <c r="W52" s="209">
        <f t="shared" si="90"/>
        <v>0</v>
      </c>
      <c r="X52" s="209">
        <f t="shared" si="90"/>
        <v>0</v>
      </c>
      <c r="Y52" s="209">
        <f t="shared" si="90"/>
        <v>918.43099999999993</v>
      </c>
      <c r="Z52" s="209">
        <f t="shared" si="90"/>
        <v>0</v>
      </c>
      <c r="AA52" s="209">
        <f t="shared" si="90"/>
        <v>0</v>
      </c>
      <c r="AB52" s="209">
        <f t="shared" si="90"/>
        <v>918.43099999999993</v>
      </c>
      <c r="AC52" s="67">
        <f t="shared" si="8"/>
        <v>0</v>
      </c>
      <c r="AD52" s="209">
        <f t="shared" si="90"/>
        <v>0</v>
      </c>
      <c r="AE52" s="209">
        <f t="shared" si="90"/>
        <v>0</v>
      </c>
      <c r="AF52" s="209">
        <f t="shared" si="90"/>
        <v>918.43099999999993</v>
      </c>
      <c r="AG52" s="209">
        <f t="shared" si="90"/>
        <v>0</v>
      </c>
      <c r="AH52" s="209">
        <f t="shared" si="90"/>
        <v>874.65800000000002</v>
      </c>
      <c r="AI52" s="209">
        <f t="shared" si="90"/>
        <v>0</v>
      </c>
      <c r="AJ52" s="209">
        <f t="shared" si="90"/>
        <v>0</v>
      </c>
      <c r="AK52" s="209">
        <f t="shared" si="90"/>
        <v>874.65800000000002</v>
      </c>
      <c r="AL52" s="209">
        <f t="shared" si="90"/>
        <v>0</v>
      </c>
      <c r="AM52" s="209">
        <f t="shared" si="90"/>
        <v>0</v>
      </c>
      <c r="AN52" s="209">
        <f t="shared" si="90"/>
        <v>874.65800000000002</v>
      </c>
      <c r="AO52" s="209">
        <f t="shared" si="90"/>
        <v>0</v>
      </c>
      <c r="AP52" s="209">
        <f t="shared" si="90"/>
        <v>874.65800000000002</v>
      </c>
      <c r="AQ52" s="209">
        <f t="shared" si="90"/>
        <v>0</v>
      </c>
      <c r="AR52" s="209">
        <f t="shared" si="90"/>
        <v>0</v>
      </c>
      <c r="AS52" s="209">
        <f t="shared" si="90"/>
        <v>874.65800000000002</v>
      </c>
      <c r="AT52" s="209">
        <f t="shared" si="90"/>
        <v>0</v>
      </c>
      <c r="AU52" s="209">
        <f t="shared" si="90"/>
        <v>0</v>
      </c>
      <c r="AV52" s="209">
        <f t="shared" si="90"/>
        <v>874.65800000000002</v>
      </c>
      <c r="AW52" s="209">
        <f t="shared" si="90"/>
        <v>0</v>
      </c>
      <c r="AX52" s="209">
        <f t="shared" si="90"/>
        <v>43.773000000000003</v>
      </c>
      <c r="AY52" s="209">
        <f t="shared" si="90"/>
        <v>0</v>
      </c>
      <c r="AZ52" s="209">
        <f t="shared" si="90"/>
        <v>0</v>
      </c>
      <c r="BA52" s="209">
        <f t="shared" si="90"/>
        <v>43.773000000000003</v>
      </c>
      <c r="BB52" s="67">
        <f t="shared" si="24"/>
        <v>0</v>
      </c>
      <c r="BC52" s="209">
        <f t="shared" si="90"/>
        <v>0</v>
      </c>
      <c r="BD52" s="209">
        <f t="shared" si="90"/>
        <v>0</v>
      </c>
      <c r="BE52" s="209">
        <f t="shared" si="90"/>
        <v>43.773000000000003</v>
      </c>
      <c r="BF52" s="209">
        <f t="shared" si="90"/>
        <v>0</v>
      </c>
      <c r="BG52" s="209">
        <f t="shared" si="90"/>
        <v>43.773000000000003</v>
      </c>
      <c r="BH52" s="209">
        <f t="shared" si="90"/>
        <v>0</v>
      </c>
      <c r="BI52" s="209">
        <f t="shared" si="90"/>
        <v>0</v>
      </c>
      <c r="BJ52" s="209">
        <f t="shared" si="90"/>
        <v>43.773000000000003</v>
      </c>
      <c r="BK52" s="209">
        <f t="shared" si="90"/>
        <v>0</v>
      </c>
      <c r="BL52" s="209">
        <f t="shared" si="90"/>
        <v>0</v>
      </c>
      <c r="BM52" s="209">
        <f t="shared" si="90"/>
        <v>43.773000000000003</v>
      </c>
      <c r="BN52" s="209">
        <f t="shared" si="90"/>
        <v>0</v>
      </c>
      <c r="BO52" s="209">
        <f t="shared" si="90"/>
        <v>0</v>
      </c>
      <c r="BP52" s="209">
        <f t="shared" si="90"/>
        <v>0</v>
      </c>
      <c r="BQ52" s="209">
        <f t="shared" si="90"/>
        <v>0</v>
      </c>
      <c r="BR52" s="209">
        <f t="shared" si="90"/>
        <v>0</v>
      </c>
      <c r="BS52" s="209">
        <f t="shared" si="90"/>
        <v>0</v>
      </c>
      <c r="BT52" s="209">
        <f t="shared" si="90"/>
        <v>0</v>
      </c>
      <c r="BU52" s="209">
        <f t="shared" si="90"/>
        <v>0</v>
      </c>
      <c r="BV52" s="209">
        <f t="shared" si="90"/>
        <v>0</v>
      </c>
      <c r="BW52" s="209">
        <f t="shared" si="90"/>
        <v>0</v>
      </c>
      <c r="BX52" s="209">
        <f t="shared" si="90"/>
        <v>0</v>
      </c>
      <c r="BY52" s="209">
        <f t="shared" si="90"/>
        <v>0</v>
      </c>
      <c r="BZ52" s="209">
        <f t="shared" si="90"/>
        <v>0</v>
      </c>
      <c r="CA52" s="209">
        <f t="shared" ref="CA52:CB52" si="91">SUM(CA53:CA57)</f>
        <v>0</v>
      </c>
      <c r="CB52" s="209">
        <f t="shared" si="91"/>
        <v>0</v>
      </c>
      <c r="CC52" s="552"/>
    </row>
    <row r="53" spans="1:81" ht="46.15" outlineLevel="1">
      <c r="A53" s="433">
        <v>1</v>
      </c>
      <c r="B53" s="549" t="s">
        <v>2195</v>
      </c>
      <c r="C53" s="420" t="s">
        <v>2116</v>
      </c>
      <c r="D53" s="420" t="s">
        <v>2196</v>
      </c>
      <c r="E53" s="420" t="s">
        <v>49</v>
      </c>
      <c r="F53" s="431" t="s">
        <v>105</v>
      </c>
      <c r="G53" s="422">
        <v>7877268</v>
      </c>
      <c r="H53" s="420" t="s">
        <v>2197</v>
      </c>
      <c r="I53" s="420" t="s">
        <v>71</v>
      </c>
      <c r="J53" s="422">
        <v>2021</v>
      </c>
      <c r="K53" s="420" t="s">
        <v>2198</v>
      </c>
      <c r="L53" s="420" t="s">
        <v>3601</v>
      </c>
      <c r="M53" s="169">
        <f t="shared" ref="M53:M57" si="92">SUM(N53:P53)</f>
        <v>7500</v>
      </c>
      <c r="N53" s="169">
        <v>0</v>
      </c>
      <c r="O53" s="169">
        <v>0</v>
      </c>
      <c r="P53" s="169">
        <v>7500</v>
      </c>
      <c r="Q53" s="70" t="s">
        <v>2199</v>
      </c>
      <c r="R53" s="70" t="s">
        <v>2197</v>
      </c>
      <c r="S53" s="169" t="s">
        <v>2194</v>
      </c>
      <c r="T53" s="70" t="s">
        <v>2196</v>
      </c>
      <c r="U53" s="70">
        <f t="shared" ref="U53:U57" si="93">SUM(V53:X53)</f>
        <v>0</v>
      </c>
      <c r="V53" s="70">
        <v>0</v>
      </c>
      <c r="W53" s="70">
        <v>0</v>
      </c>
      <c r="X53" s="70">
        <v>0</v>
      </c>
      <c r="Y53" s="70">
        <f t="shared" ref="Y53:Y57" si="94">SUM(Z53:AB53)</f>
        <v>529.28</v>
      </c>
      <c r="Z53" s="70">
        <v>0</v>
      </c>
      <c r="AA53" s="70">
        <v>0</v>
      </c>
      <c r="AB53" s="70">
        <f t="shared" ref="AB53:AB57" si="95">SUM(AD53:AG53)</f>
        <v>529.28</v>
      </c>
      <c r="AC53" s="67">
        <f t="shared" si="8"/>
        <v>0</v>
      </c>
      <c r="AD53" s="70">
        <v>0</v>
      </c>
      <c r="AE53" s="70">
        <v>0</v>
      </c>
      <c r="AF53" s="70">
        <v>529.28</v>
      </c>
      <c r="AG53" s="70">
        <v>0</v>
      </c>
      <c r="AH53" s="70">
        <f t="shared" ref="AH53:AH57" si="96">SUM(AI53:AK53)</f>
        <v>529.28</v>
      </c>
      <c r="AI53" s="70">
        <v>0</v>
      </c>
      <c r="AJ53" s="70">
        <v>0</v>
      </c>
      <c r="AK53" s="70">
        <f t="shared" ref="AK53:AK57" si="97">SUM(AL53:AO53)</f>
        <v>529.28</v>
      </c>
      <c r="AL53" s="70">
        <v>0</v>
      </c>
      <c r="AM53" s="70">
        <v>0</v>
      </c>
      <c r="AN53" s="70">
        <v>529.28</v>
      </c>
      <c r="AO53" s="70">
        <v>0</v>
      </c>
      <c r="AP53" s="70">
        <f t="shared" ref="AP53:AP57" si="98">SUM(AQ53:AS53)</f>
        <v>529.28</v>
      </c>
      <c r="AQ53" s="70">
        <v>0</v>
      </c>
      <c r="AR53" s="70">
        <v>0</v>
      </c>
      <c r="AS53" s="70">
        <f t="shared" ref="AS53:AS57" si="99">SUM(AT53:AW53)</f>
        <v>529.28</v>
      </c>
      <c r="AT53" s="70">
        <v>0</v>
      </c>
      <c r="AU53" s="70">
        <v>0</v>
      </c>
      <c r="AV53" s="70">
        <v>529.28</v>
      </c>
      <c r="AW53" s="70">
        <v>0</v>
      </c>
      <c r="AX53" s="70">
        <f t="shared" ref="AX53:AX57" si="100">SUM(AY53:BA53)</f>
        <v>0</v>
      </c>
      <c r="AY53" s="70">
        <v>0</v>
      </c>
      <c r="AZ53" s="70">
        <v>0</v>
      </c>
      <c r="BA53" s="70">
        <f t="shared" ref="BA53:BA57" si="101">SUM(BC53:BF53)</f>
        <v>0</v>
      </c>
      <c r="BB53" s="67">
        <f t="shared" si="24"/>
        <v>0</v>
      </c>
      <c r="BC53" s="70">
        <v>0</v>
      </c>
      <c r="BD53" s="70">
        <v>0</v>
      </c>
      <c r="BE53" s="70">
        <v>0</v>
      </c>
      <c r="BF53" s="70">
        <v>0</v>
      </c>
      <c r="BG53" s="133">
        <f t="shared" ref="BG53:BG57" si="102">SUM(BH53:BJ53)</f>
        <v>0</v>
      </c>
      <c r="BH53" s="133">
        <v>0</v>
      </c>
      <c r="BI53" s="133">
        <v>0</v>
      </c>
      <c r="BJ53" s="133">
        <f t="shared" ref="BJ53:BJ57" si="103">SUM(BK53:BN53)</f>
        <v>0</v>
      </c>
      <c r="BK53" s="133">
        <v>0</v>
      </c>
      <c r="BL53" s="133">
        <v>0</v>
      </c>
      <c r="BM53" s="133">
        <v>0</v>
      </c>
      <c r="BN53" s="133">
        <v>0</v>
      </c>
      <c r="BO53" s="133">
        <f t="shared" ref="BO53:BO57" si="104">SUM(BP53:BR53)</f>
        <v>0</v>
      </c>
      <c r="BP53" s="133">
        <v>0</v>
      </c>
      <c r="BQ53" s="133">
        <v>0</v>
      </c>
      <c r="BR53" s="133">
        <v>0</v>
      </c>
      <c r="BS53" s="133">
        <f t="shared" ref="BS53:BS57" si="105">SUM(BT53:BV53)</f>
        <v>0</v>
      </c>
      <c r="BT53" s="133">
        <v>0</v>
      </c>
      <c r="BU53" s="133">
        <v>0</v>
      </c>
      <c r="BV53" s="133">
        <v>0</v>
      </c>
      <c r="BW53" s="133">
        <f t="shared" ref="BW53:BW57" si="106">SUM(BX53:BZ53)</f>
        <v>0</v>
      </c>
      <c r="BX53" s="133">
        <v>0</v>
      </c>
      <c r="BY53" s="133">
        <v>0</v>
      </c>
      <c r="BZ53" s="133">
        <v>0</v>
      </c>
      <c r="CA53" s="133"/>
      <c r="CB53" s="133"/>
      <c r="CC53" s="555"/>
    </row>
    <row r="54" spans="1:81" ht="46.15" outlineLevel="1">
      <c r="A54" s="433">
        <v>2</v>
      </c>
      <c r="B54" s="549" t="s">
        <v>2200</v>
      </c>
      <c r="C54" s="420" t="s">
        <v>2116</v>
      </c>
      <c r="D54" s="420" t="s">
        <v>2196</v>
      </c>
      <c r="E54" s="420" t="s">
        <v>49</v>
      </c>
      <c r="F54" s="431" t="s">
        <v>105</v>
      </c>
      <c r="G54" s="422">
        <v>8018780</v>
      </c>
      <c r="H54" s="420" t="s">
        <v>2201</v>
      </c>
      <c r="I54" s="420" t="s">
        <v>54</v>
      </c>
      <c r="J54" s="422">
        <v>2023</v>
      </c>
      <c r="K54" s="420" t="s">
        <v>2202</v>
      </c>
      <c r="L54" s="420" t="s">
        <v>3602</v>
      </c>
      <c r="M54" s="169">
        <f t="shared" si="92"/>
        <v>7500</v>
      </c>
      <c r="N54" s="169">
        <v>0</v>
      </c>
      <c r="O54" s="169">
        <v>0</v>
      </c>
      <c r="P54" s="169">
        <v>7500</v>
      </c>
      <c r="Q54" s="70" t="s">
        <v>2203</v>
      </c>
      <c r="R54" s="70" t="s">
        <v>2201</v>
      </c>
      <c r="S54" s="169" t="s">
        <v>2194</v>
      </c>
      <c r="T54" s="70" t="s">
        <v>2196</v>
      </c>
      <c r="U54" s="70">
        <f t="shared" si="93"/>
        <v>0</v>
      </c>
      <c r="V54" s="70">
        <v>0</v>
      </c>
      <c r="W54" s="70">
        <v>0</v>
      </c>
      <c r="X54" s="70">
        <v>0</v>
      </c>
      <c r="Y54" s="70">
        <f t="shared" si="94"/>
        <v>34.704000000000001</v>
      </c>
      <c r="Z54" s="70">
        <v>0</v>
      </c>
      <c r="AA54" s="70">
        <v>0</v>
      </c>
      <c r="AB54" s="70">
        <f t="shared" si="95"/>
        <v>34.704000000000001</v>
      </c>
      <c r="AC54" s="67">
        <f t="shared" si="8"/>
        <v>0</v>
      </c>
      <c r="AD54" s="70">
        <v>0</v>
      </c>
      <c r="AE54" s="70">
        <v>0</v>
      </c>
      <c r="AF54" s="70">
        <v>34.704000000000001</v>
      </c>
      <c r="AG54" s="70">
        <v>0</v>
      </c>
      <c r="AH54" s="70">
        <f t="shared" si="96"/>
        <v>0</v>
      </c>
      <c r="AI54" s="70">
        <v>0</v>
      </c>
      <c r="AJ54" s="70">
        <v>0</v>
      </c>
      <c r="AK54" s="70">
        <f t="shared" si="97"/>
        <v>0</v>
      </c>
      <c r="AL54" s="70">
        <v>0</v>
      </c>
      <c r="AM54" s="70">
        <v>0</v>
      </c>
      <c r="AN54" s="70">
        <v>0</v>
      </c>
      <c r="AO54" s="70">
        <v>0</v>
      </c>
      <c r="AP54" s="70">
        <f t="shared" si="98"/>
        <v>0</v>
      </c>
      <c r="AQ54" s="70">
        <v>0</v>
      </c>
      <c r="AR54" s="70">
        <v>0</v>
      </c>
      <c r="AS54" s="70">
        <f t="shared" si="99"/>
        <v>0</v>
      </c>
      <c r="AT54" s="70">
        <v>0</v>
      </c>
      <c r="AU54" s="70">
        <v>0</v>
      </c>
      <c r="AV54" s="70">
        <v>0</v>
      </c>
      <c r="AW54" s="70">
        <v>0</v>
      </c>
      <c r="AX54" s="70">
        <f t="shared" si="100"/>
        <v>34.704000000000001</v>
      </c>
      <c r="AY54" s="70">
        <v>0</v>
      </c>
      <c r="AZ54" s="70">
        <v>0</v>
      </c>
      <c r="BA54" s="70">
        <f t="shared" si="101"/>
        <v>34.704000000000001</v>
      </c>
      <c r="BB54" s="67">
        <f t="shared" si="24"/>
        <v>0</v>
      </c>
      <c r="BC54" s="70">
        <v>0</v>
      </c>
      <c r="BD54" s="70">
        <v>0</v>
      </c>
      <c r="BE54" s="70">
        <v>34.704000000000001</v>
      </c>
      <c r="BF54" s="70">
        <v>0</v>
      </c>
      <c r="BG54" s="133">
        <f t="shared" si="102"/>
        <v>34.704000000000001</v>
      </c>
      <c r="BH54" s="133">
        <v>0</v>
      </c>
      <c r="BI54" s="133">
        <v>0</v>
      </c>
      <c r="BJ54" s="133">
        <f t="shared" si="103"/>
        <v>34.704000000000001</v>
      </c>
      <c r="BK54" s="133">
        <v>0</v>
      </c>
      <c r="BL54" s="133">
        <v>0</v>
      </c>
      <c r="BM54" s="133">
        <v>34.704000000000001</v>
      </c>
      <c r="BN54" s="133">
        <v>0</v>
      </c>
      <c r="BO54" s="133">
        <f t="shared" si="104"/>
        <v>0</v>
      </c>
      <c r="BP54" s="133">
        <v>0</v>
      </c>
      <c r="BQ54" s="133">
        <v>0</v>
      </c>
      <c r="BR54" s="133">
        <v>0</v>
      </c>
      <c r="BS54" s="133">
        <f t="shared" si="105"/>
        <v>0</v>
      </c>
      <c r="BT54" s="133">
        <v>0</v>
      </c>
      <c r="BU54" s="133">
        <v>0</v>
      </c>
      <c r="BV54" s="133">
        <v>0</v>
      </c>
      <c r="BW54" s="133">
        <f t="shared" si="106"/>
        <v>0</v>
      </c>
      <c r="BX54" s="133">
        <v>0</v>
      </c>
      <c r="BY54" s="133">
        <v>0</v>
      </c>
      <c r="BZ54" s="133">
        <v>0</v>
      </c>
      <c r="CA54" s="133"/>
      <c r="CB54" s="133"/>
      <c r="CC54" s="555"/>
    </row>
    <row r="55" spans="1:81" ht="79.5" customHeight="1" outlineLevel="1">
      <c r="A55" s="433">
        <v>3</v>
      </c>
      <c r="B55" s="549" t="s">
        <v>2204</v>
      </c>
      <c r="C55" s="420" t="s">
        <v>2205</v>
      </c>
      <c r="D55" s="420" t="s">
        <v>2196</v>
      </c>
      <c r="E55" s="420" t="s">
        <v>49</v>
      </c>
      <c r="F55" s="431" t="s">
        <v>48</v>
      </c>
      <c r="G55" s="422">
        <v>7889368</v>
      </c>
      <c r="H55" s="420" t="s">
        <v>2197</v>
      </c>
      <c r="I55" s="420" t="s">
        <v>73</v>
      </c>
      <c r="J55" s="422">
        <v>2021</v>
      </c>
      <c r="K55" s="420" t="s">
        <v>2206</v>
      </c>
      <c r="L55" s="420" t="s">
        <v>3603</v>
      </c>
      <c r="M55" s="169">
        <f t="shared" si="92"/>
        <v>5000</v>
      </c>
      <c r="N55" s="169">
        <v>0</v>
      </c>
      <c r="O55" s="169">
        <v>0</v>
      </c>
      <c r="P55" s="169">
        <v>5000</v>
      </c>
      <c r="Q55" s="70" t="s">
        <v>2207</v>
      </c>
      <c r="R55" s="70" t="s">
        <v>2197</v>
      </c>
      <c r="S55" s="70" t="s">
        <v>2194</v>
      </c>
      <c r="T55" s="70" t="s">
        <v>2196</v>
      </c>
      <c r="U55" s="70">
        <f t="shared" si="93"/>
        <v>0</v>
      </c>
      <c r="V55" s="70">
        <v>0</v>
      </c>
      <c r="W55" s="70">
        <v>0</v>
      </c>
      <c r="X55" s="70">
        <v>0</v>
      </c>
      <c r="Y55" s="70">
        <f t="shared" si="94"/>
        <v>321.49</v>
      </c>
      <c r="Z55" s="70">
        <v>0</v>
      </c>
      <c r="AA55" s="70">
        <v>0</v>
      </c>
      <c r="AB55" s="70">
        <f t="shared" si="95"/>
        <v>321.49</v>
      </c>
      <c r="AC55" s="67">
        <f t="shared" si="8"/>
        <v>0</v>
      </c>
      <c r="AD55" s="70">
        <v>0</v>
      </c>
      <c r="AE55" s="70">
        <v>0</v>
      </c>
      <c r="AF55" s="70">
        <f>321.49</f>
        <v>321.49</v>
      </c>
      <c r="AG55" s="70">
        <v>0</v>
      </c>
      <c r="AH55" s="70">
        <f t="shared" si="96"/>
        <v>321.49</v>
      </c>
      <c r="AI55" s="70">
        <v>0</v>
      </c>
      <c r="AJ55" s="70">
        <v>0</v>
      </c>
      <c r="AK55" s="70">
        <f t="shared" si="97"/>
        <v>321.49</v>
      </c>
      <c r="AL55" s="70">
        <v>0</v>
      </c>
      <c r="AM55" s="70">
        <v>0</v>
      </c>
      <c r="AN55" s="70">
        <f>321.49</f>
        <v>321.49</v>
      </c>
      <c r="AO55" s="70">
        <v>0</v>
      </c>
      <c r="AP55" s="70">
        <f t="shared" si="98"/>
        <v>321.49</v>
      </c>
      <c r="AQ55" s="70">
        <v>0</v>
      </c>
      <c r="AR55" s="70">
        <v>0</v>
      </c>
      <c r="AS55" s="70">
        <f t="shared" si="99"/>
        <v>321.49</v>
      </c>
      <c r="AT55" s="70">
        <v>0</v>
      </c>
      <c r="AU55" s="70">
        <v>0</v>
      </c>
      <c r="AV55" s="70">
        <f>321.49</f>
        <v>321.49</v>
      </c>
      <c r="AW55" s="70">
        <v>0</v>
      </c>
      <c r="AX55" s="70">
        <f t="shared" si="100"/>
        <v>0</v>
      </c>
      <c r="AY55" s="70">
        <v>0</v>
      </c>
      <c r="AZ55" s="70">
        <v>0</v>
      </c>
      <c r="BA55" s="70">
        <f t="shared" si="101"/>
        <v>0</v>
      </c>
      <c r="BB55" s="67">
        <f t="shared" si="24"/>
        <v>0</v>
      </c>
      <c r="BC55" s="70">
        <v>0</v>
      </c>
      <c r="BD55" s="70">
        <v>0</v>
      </c>
      <c r="BE55" s="70">
        <v>0</v>
      </c>
      <c r="BF55" s="70">
        <v>0</v>
      </c>
      <c r="BG55" s="133">
        <f t="shared" si="102"/>
        <v>0</v>
      </c>
      <c r="BH55" s="133">
        <v>0</v>
      </c>
      <c r="BI55" s="133">
        <v>0</v>
      </c>
      <c r="BJ55" s="133">
        <f t="shared" si="103"/>
        <v>0</v>
      </c>
      <c r="BK55" s="133">
        <v>0</v>
      </c>
      <c r="BL55" s="133">
        <v>0</v>
      </c>
      <c r="BM55" s="133">
        <v>0</v>
      </c>
      <c r="BN55" s="133">
        <v>0</v>
      </c>
      <c r="BO55" s="133">
        <f t="shared" si="104"/>
        <v>0</v>
      </c>
      <c r="BP55" s="133">
        <v>0</v>
      </c>
      <c r="BQ55" s="133">
        <v>0</v>
      </c>
      <c r="BR55" s="133">
        <v>0</v>
      </c>
      <c r="BS55" s="133">
        <f t="shared" si="105"/>
        <v>0</v>
      </c>
      <c r="BT55" s="133">
        <v>0</v>
      </c>
      <c r="BU55" s="133">
        <v>0</v>
      </c>
      <c r="BV55" s="133">
        <v>0</v>
      </c>
      <c r="BW55" s="133">
        <f t="shared" si="106"/>
        <v>0</v>
      </c>
      <c r="BX55" s="133">
        <v>0</v>
      </c>
      <c r="BY55" s="133">
        <v>0</v>
      </c>
      <c r="BZ55" s="133">
        <v>0</v>
      </c>
      <c r="CA55" s="133"/>
      <c r="CB55" s="133"/>
      <c r="CC55" s="555"/>
    </row>
    <row r="56" spans="1:81" ht="46.15" outlineLevel="1">
      <c r="A56" s="433">
        <v>4</v>
      </c>
      <c r="B56" s="549" t="s">
        <v>2208</v>
      </c>
      <c r="C56" s="420" t="s">
        <v>2205</v>
      </c>
      <c r="D56" s="420" t="s">
        <v>2196</v>
      </c>
      <c r="E56" s="420" t="s">
        <v>49</v>
      </c>
      <c r="F56" s="431" t="s">
        <v>48</v>
      </c>
      <c r="G56" s="422">
        <v>7889369</v>
      </c>
      <c r="H56" s="420" t="s">
        <v>2197</v>
      </c>
      <c r="I56" s="420" t="s">
        <v>73</v>
      </c>
      <c r="J56" s="422">
        <v>2021</v>
      </c>
      <c r="K56" s="420" t="s">
        <v>2206</v>
      </c>
      <c r="L56" s="420" t="s">
        <v>3604</v>
      </c>
      <c r="M56" s="169">
        <f t="shared" si="92"/>
        <v>4401.2809999999999</v>
      </c>
      <c r="N56" s="169">
        <v>0</v>
      </c>
      <c r="O56" s="169">
        <v>0</v>
      </c>
      <c r="P56" s="169">
        <v>4401.2809999999999</v>
      </c>
      <c r="Q56" s="70" t="s">
        <v>2209</v>
      </c>
      <c r="R56" s="70" t="s">
        <v>2197</v>
      </c>
      <c r="S56" s="70" t="s">
        <v>2194</v>
      </c>
      <c r="T56" s="70" t="s">
        <v>2196</v>
      </c>
      <c r="U56" s="70">
        <f t="shared" si="93"/>
        <v>0</v>
      </c>
      <c r="V56" s="70">
        <v>0</v>
      </c>
      <c r="W56" s="70">
        <v>0</v>
      </c>
      <c r="X56" s="70">
        <v>0</v>
      </c>
      <c r="Y56" s="70">
        <f t="shared" si="94"/>
        <v>23.888000000000002</v>
      </c>
      <c r="Z56" s="70">
        <v>0</v>
      </c>
      <c r="AA56" s="70">
        <v>0</v>
      </c>
      <c r="AB56" s="70">
        <f t="shared" si="95"/>
        <v>23.888000000000002</v>
      </c>
      <c r="AC56" s="67">
        <f t="shared" si="8"/>
        <v>0</v>
      </c>
      <c r="AD56" s="70">
        <v>0</v>
      </c>
      <c r="AE56" s="70">
        <v>0</v>
      </c>
      <c r="AF56" s="70">
        <v>23.888000000000002</v>
      </c>
      <c r="AG56" s="70">
        <v>0</v>
      </c>
      <c r="AH56" s="70">
        <f t="shared" si="96"/>
        <v>23.888000000000002</v>
      </c>
      <c r="AI56" s="70">
        <v>0</v>
      </c>
      <c r="AJ56" s="70">
        <v>0</v>
      </c>
      <c r="AK56" s="70">
        <f t="shared" si="97"/>
        <v>23.888000000000002</v>
      </c>
      <c r="AL56" s="70">
        <v>0</v>
      </c>
      <c r="AM56" s="70">
        <v>0</v>
      </c>
      <c r="AN56" s="70">
        <f>23.888</f>
        <v>23.888000000000002</v>
      </c>
      <c r="AO56" s="70">
        <v>0</v>
      </c>
      <c r="AP56" s="70">
        <f t="shared" si="98"/>
        <v>23.888000000000002</v>
      </c>
      <c r="AQ56" s="70">
        <v>0</v>
      </c>
      <c r="AR56" s="70">
        <v>0</v>
      </c>
      <c r="AS56" s="70">
        <f t="shared" si="99"/>
        <v>23.888000000000002</v>
      </c>
      <c r="AT56" s="70">
        <v>0</v>
      </c>
      <c r="AU56" s="70">
        <v>0</v>
      </c>
      <c r="AV56" s="70">
        <f>23.888</f>
        <v>23.888000000000002</v>
      </c>
      <c r="AW56" s="70">
        <v>0</v>
      </c>
      <c r="AX56" s="70">
        <f t="shared" si="100"/>
        <v>0</v>
      </c>
      <c r="AY56" s="70">
        <v>0</v>
      </c>
      <c r="AZ56" s="70">
        <v>0</v>
      </c>
      <c r="BA56" s="70">
        <f t="shared" si="101"/>
        <v>0</v>
      </c>
      <c r="BB56" s="67">
        <f t="shared" si="24"/>
        <v>0</v>
      </c>
      <c r="BC56" s="70">
        <v>0</v>
      </c>
      <c r="BD56" s="70">
        <v>0</v>
      </c>
      <c r="BE56" s="70">
        <v>0</v>
      </c>
      <c r="BF56" s="70">
        <v>0</v>
      </c>
      <c r="BG56" s="133">
        <f t="shared" si="102"/>
        <v>0</v>
      </c>
      <c r="BH56" s="133">
        <v>0</v>
      </c>
      <c r="BI56" s="133">
        <v>0</v>
      </c>
      <c r="BJ56" s="133">
        <f t="shared" si="103"/>
        <v>0</v>
      </c>
      <c r="BK56" s="133">
        <v>0</v>
      </c>
      <c r="BL56" s="133">
        <v>0</v>
      </c>
      <c r="BM56" s="133">
        <v>0</v>
      </c>
      <c r="BN56" s="133">
        <v>0</v>
      </c>
      <c r="BO56" s="133">
        <f t="shared" si="104"/>
        <v>0</v>
      </c>
      <c r="BP56" s="133">
        <v>0</v>
      </c>
      <c r="BQ56" s="133">
        <v>0</v>
      </c>
      <c r="BR56" s="133">
        <v>0</v>
      </c>
      <c r="BS56" s="133">
        <f t="shared" si="105"/>
        <v>0</v>
      </c>
      <c r="BT56" s="133">
        <v>0</v>
      </c>
      <c r="BU56" s="133">
        <v>0</v>
      </c>
      <c r="BV56" s="133">
        <v>0</v>
      </c>
      <c r="BW56" s="133">
        <f t="shared" si="106"/>
        <v>0</v>
      </c>
      <c r="BX56" s="133">
        <v>0</v>
      </c>
      <c r="BY56" s="133">
        <v>0</v>
      </c>
      <c r="BZ56" s="133">
        <v>0</v>
      </c>
      <c r="CA56" s="133"/>
      <c r="CB56" s="133"/>
      <c r="CC56" s="555"/>
    </row>
    <row r="57" spans="1:81" ht="46.15" outlineLevel="1">
      <c r="A57" s="433">
        <v>5</v>
      </c>
      <c r="B57" s="549" t="s">
        <v>2210</v>
      </c>
      <c r="C57" s="420" t="s">
        <v>2116</v>
      </c>
      <c r="D57" s="420" t="s">
        <v>2196</v>
      </c>
      <c r="E57" s="420" t="s">
        <v>49</v>
      </c>
      <c r="F57" s="431" t="s">
        <v>48</v>
      </c>
      <c r="G57" s="422">
        <v>8055508</v>
      </c>
      <c r="H57" s="420" t="s">
        <v>2211</v>
      </c>
      <c r="I57" s="420" t="s">
        <v>54</v>
      </c>
      <c r="J57" s="422">
        <v>2023</v>
      </c>
      <c r="K57" s="420" t="s">
        <v>2212</v>
      </c>
      <c r="L57" s="420" t="s">
        <v>3605</v>
      </c>
      <c r="M57" s="169">
        <f t="shared" si="92"/>
        <v>4990</v>
      </c>
      <c r="N57" s="169">
        <v>0</v>
      </c>
      <c r="O57" s="169">
        <v>0</v>
      </c>
      <c r="P57" s="169">
        <v>4990</v>
      </c>
      <c r="Q57" s="70" t="s">
        <v>2213</v>
      </c>
      <c r="R57" s="70" t="s">
        <v>2211</v>
      </c>
      <c r="S57" s="70" t="s">
        <v>2194</v>
      </c>
      <c r="T57" s="70" t="s">
        <v>2196</v>
      </c>
      <c r="U57" s="70">
        <f t="shared" si="93"/>
        <v>0</v>
      </c>
      <c r="V57" s="70">
        <v>0</v>
      </c>
      <c r="W57" s="70">
        <v>0</v>
      </c>
      <c r="X57" s="70">
        <v>0</v>
      </c>
      <c r="Y57" s="70">
        <f t="shared" si="94"/>
        <v>9.0690000000000008</v>
      </c>
      <c r="Z57" s="70">
        <v>0</v>
      </c>
      <c r="AA57" s="70">
        <v>0</v>
      </c>
      <c r="AB57" s="70">
        <f t="shared" si="95"/>
        <v>9.0690000000000008</v>
      </c>
      <c r="AC57" s="67">
        <f t="shared" si="8"/>
        <v>0</v>
      </c>
      <c r="AD57" s="70">
        <v>0</v>
      </c>
      <c r="AE57" s="70">
        <v>0</v>
      </c>
      <c r="AF57" s="70">
        <v>9.0690000000000008</v>
      </c>
      <c r="AG57" s="70">
        <v>0</v>
      </c>
      <c r="AH57" s="70">
        <f t="shared" si="96"/>
        <v>0</v>
      </c>
      <c r="AI57" s="70">
        <v>0</v>
      </c>
      <c r="AJ57" s="70">
        <v>0</v>
      </c>
      <c r="AK57" s="70">
        <f t="shared" si="97"/>
        <v>0</v>
      </c>
      <c r="AL57" s="70">
        <v>0</v>
      </c>
      <c r="AM57" s="70">
        <v>0</v>
      </c>
      <c r="AN57" s="70">
        <v>0</v>
      </c>
      <c r="AO57" s="70">
        <v>0</v>
      </c>
      <c r="AP57" s="70">
        <f t="shared" si="98"/>
        <v>0</v>
      </c>
      <c r="AQ57" s="70">
        <v>0</v>
      </c>
      <c r="AR57" s="70">
        <v>0</v>
      </c>
      <c r="AS57" s="70">
        <f t="shared" si="99"/>
        <v>0</v>
      </c>
      <c r="AT57" s="70">
        <v>0</v>
      </c>
      <c r="AU57" s="70">
        <v>0</v>
      </c>
      <c r="AV57" s="70">
        <v>0</v>
      </c>
      <c r="AW57" s="70">
        <v>0</v>
      </c>
      <c r="AX57" s="70">
        <f t="shared" si="100"/>
        <v>9.0690000000000008</v>
      </c>
      <c r="AY57" s="70">
        <v>0</v>
      </c>
      <c r="AZ57" s="70">
        <v>0</v>
      </c>
      <c r="BA57" s="70">
        <f t="shared" si="101"/>
        <v>9.0690000000000008</v>
      </c>
      <c r="BB57" s="67">
        <f t="shared" si="24"/>
        <v>0</v>
      </c>
      <c r="BC57" s="70">
        <v>0</v>
      </c>
      <c r="BD57" s="70">
        <v>0</v>
      </c>
      <c r="BE57" s="70">
        <v>9.0690000000000008</v>
      </c>
      <c r="BF57" s="70">
        <v>0</v>
      </c>
      <c r="BG57" s="133">
        <f t="shared" si="102"/>
        <v>9.0690000000000008</v>
      </c>
      <c r="BH57" s="133">
        <v>0</v>
      </c>
      <c r="BI57" s="133">
        <v>0</v>
      </c>
      <c r="BJ57" s="133">
        <f t="shared" si="103"/>
        <v>9.0690000000000008</v>
      </c>
      <c r="BK57" s="133">
        <v>0</v>
      </c>
      <c r="BL57" s="133">
        <v>0</v>
      </c>
      <c r="BM57" s="133">
        <v>9.0690000000000008</v>
      </c>
      <c r="BN57" s="133">
        <v>0</v>
      </c>
      <c r="BO57" s="133">
        <f t="shared" si="104"/>
        <v>0</v>
      </c>
      <c r="BP57" s="133">
        <v>0</v>
      </c>
      <c r="BQ57" s="133">
        <v>0</v>
      </c>
      <c r="BR57" s="133">
        <v>0</v>
      </c>
      <c r="BS57" s="133">
        <f t="shared" si="105"/>
        <v>0</v>
      </c>
      <c r="BT57" s="133">
        <v>0</v>
      </c>
      <c r="BU57" s="133">
        <v>0</v>
      </c>
      <c r="BV57" s="133">
        <v>0</v>
      </c>
      <c r="BW57" s="133">
        <f t="shared" si="106"/>
        <v>0</v>
      </c>
      <c r="BX57" s="133">
        <v>0</v>
      </c>
      <c r="BY57" s="133">
        <v>0</v>
      </c>
      <c r="BZ57" s="133">
        <v>0</v>
      </c>
      <c r="CA57" s="133"/>
      <c r="CB57" s="133"/>
      <c r="CC57" s="555"/>
    </row>
    <row r="58" spans="1:81" ht="26.25" customHeight="1" outlineLevel="1">
      <c r="A58" s="553" t="s">
        <v>45</v>
      </c>
      <c r="B58" s="418" t="s">
        <v>51</v>
      </c>
      <c r="C58" s="552"/>
      <c r="D58" s="485"/>
      <c r="E58" s="552"/>
      <c r="F58" s="552"/>
      <c r="G58" s="552"/>
      <c r="H58" s="552"/>
      <c r="I58" s="552"/>
      <c r="J58" s="552"/>
      <c r="K58" s="552"/>
      <c r="L58" s="552"/>
      <c r="M58" s="209">
        <f>SUM(M59:M71)</f>
        <v>51136.281000000003</v>
      </c>
      <c r="N58" s="209">
        <f t="shared" ref="N58:BZ58" si="107">SUM(N59:N71)</f>
        <v>1650</v>
      </c>
      <c r="O58" s="209">
        <f t="shared" si="107"/>
        <v>0</v>
      </c>
      <c r="P58" s="209">
        <f t="shared" si="107"/>
        <v>49486.281000000003</v>
      </c>
      <c r="Q58" s="209">
        <f t="shared" si="107"/>
        <v>0</v>
      </c>
      <c r="R58" s="209">
        <f t="shared" si="107"/>
        <v>0</v>
      </c>
      <c r="S58" s="209">
        <f t="shared" si="107"/>
        <v>0</v>
      </c>
      <c r="T58" s="209">
        <f t="shared" si="107"/>
        <v>0</v>
      </c>
      <c r="U58" s="209">
        <f t="shared" si="107"/>
        <v>0</v>
      </c>
      <c r="V58" s="209">
        <f t="shared" si="107"/>
        <v>0</v>
      </c>
      <c r="W58" s="209">
        <f t="shared" si="107"/>
        <v>0</v>
      </c>
      <c r="X58" s="209">
        <f t="shared" si="107"/>
        <v>0</v>
      </c>
      <c r="Y58" s="209">
        <f t="shared" si="107"/>
        <v>42849.805139999997</v>
      </c>
      <c r="Z58" s="209">
        <f t="shared" si="107"/>
        <v>2450</v>
      </c>
      <c r="AA58" s="209">
        <f t="shared" si="107"/>
        <v>3000</v>
      </c>
      <c r="AB58" s="209">
        <f t="shared" si="107"/>
        <v>37399.805140000004</v>
      </c>
      <c r="AC58" s="67">
        <f t="shared" si="8"/>
        <v>19474.445573000001</v>
      </c>
      <c r="AD58" s="209">
        <f t="shared" si="107"/>
        <v>19474.445573000001</v>
      </c>
      <c r="AE58" s="209">
        <f t="shared" si="107"/>
        <v>0</v>
      </c>
      <c r="AF58" s="209">
        <f t="shared" si="107"/>
        <v>9967</v>
      </c>
      <c r="AG58" s="209">
        <f t="shared" si="107"/>
        <v>7958.3595669999995</v>
      </c>
      <c r="AH58" s="209">
        <f t="shared" si="107"/>
        <v>36374.666567</v>
      </c>
      <c r="AI58" s="209">
        <f t="shared" si="107"/>
        <v>800</v>
      </c>
      <c r="AJ58" s="209">
        <f t="shared" si="107"/>
        <v>3000</v>
      </c>
      <c r="AK58" s="209">
        <f t="shared" si="107"/>
        <v>32574.666567</v>
      </c>
      <c r="AL58" s="209">
        <f t="shared" si="107"/>
        <v>14647</v>
      </c>
      <c r="AM58" s="209">
        <f t="shared" si="107"/>
        <v>0</v>
      </c>
      <c r="AN58" s="209">
        <f t="shared" si="107"/>
        <v>9969.3070000000007</v>
      </c>
      <c r="AO58" s="209">
        <f t="shared" si="107"/>
        <v>7958.3595669999995</v>
      </c>
      <c r="AP58" s="209">
        <f t="shared" si="107"/>
        <v>36363.142188999998</v>
      </c>
      <c r="AQ58" s="209">
        <f t="shared" si="107"/>
        <v>800</v>
      </c>
      <c r="AR58" s="209">
        <f t="shared" si="107"/>
        <v>3000</v>
      </c>
      <c r="AS58" s="209">
        <f t="shared" si="107"/>
        <v>32563.142188999998</v>
      </c>
      <c r="AT58" s="209">
        <f t="shared" si="107"/>
        <v>14635.475622</v>
      </c>
      <c r="AU58" s="209">
        <f t="shared" si="107"/>
        <v>0</v>
      </c>
      <c r="AV58" s="209">
        <f t="shared" si="107"/>
        <v>9969.3070000000007</v>
      </c>
      <c r="AW58" s="209">
        <f t="shared" si="107"/>
        <v>7958.3595669999995</v>
      </c>
      <c r="AX58" s="209">
        <f t="shared" si="107"/>
        <v>6726</v>
      </c>
      <c r="AY58" s="209">
        <f t="shared" si="107"/>
        <v>1650</v>
      </c>
      <c r="AZ58" s="209">
        <f t="shared" si="107"/>
        <v>0</v>
      </c>
      <c r="BA58" s="209">
        <f t="shared" si="107"/>
        <v>5076</v>
      </c>
      <c r="BB58" s="67">
        <f t="shared" si="24"/>
        <v>4076</v>
      </c>
      <c r="BC58" s="209">
        <f t="shared" si="107"/>
        <v>4076</v>
      </c>
      <c r="BD58" s="209">
        <f t="shared" si="107"/>
        <v>0</v>
      </c>
      <c r="BE58" s="209">
        <f t="shared" si="107"/>
        <v>1000</v>
      </c>
      <c r="BF58" s="209">
        <f t="shared" si="107"/>
        <v>0</v>
      </c>
      <c r="BG58" s="209">
        <f t="shared" si="107"/>
        <v>5501.2559999999994</v>
      </c>
      <c r="BH58" s="209">
        <f t="shared" si="107"/>
        <v>1650</v>
      </c>
      <c r="BI58" s="209">
        <f t="shared" si="107"/>
        <v>0</v>
      </c>
      <c r="BJ58" s="209">
        <f t="shared" si="107"/>
        <v>3851.2559999999999</v>
      </c>
      <c r="BK58" s="209">
        <f t="shared" si="107"/>
        <v>3807.4830000000002</v>
      </c>
      <c r="BL58" s="209">
        <f t="shared" si="107"/>
        <v>0</v>
      </c>
      <c r="BM58" s="209">
        <f t="shared" si="107"/>
        <v>43.773000000000003</v>
      </c>
      <c r="BN58" s="209">
        <f t="shared" si="107"/>
        <v>0</v>
      </c>
      <c r="BO58" s="209">
        <f t="shared" si="107"/>
        <v>11.52437800000002</v>
      </c>
      <c r="BP58" s="209">
        <f t="shared" si="107"/>
        <v>0</v>
      </c>
      <c r="BQ58" s="209">
        <f t="shared" si="107"/>
        <v>0</v>
      </c>
      <c r="BR58" s="209">
        <f t="shared" si="107"/>
        <v>11.52437800000002</v>
      </c>
      <c r="BS58" s="209">
        <f t="shared" si="107"/>
        <v>0</v>
      </c>
      <c r="BT58" s="209">
        <f t="shared" si="107"/>
        <v>0</v>
      </c>
      <c r="BU58" s="209">
        <f t="shared" si="107"/>
        <v>0</v>
      </c>
      <c r="BV58" s="209">
        <f t="shared" si="107"/>
        <v>0</v>
      </c>
      <c r="BW58" s="209">
        <f t="shared" si="107"/>
        <v>1135</v>
      </c>
      <c r="BX58" s="209">
        <f t="shared" si="107"/>
        <v>0</v>
      </c>
      <c r="BY58" s="209">
        <f t="shared" si="107"/>
        <v>0</v>
      </c>
      <c r="BZ58" s="209">
        <f t="shared" si="107"/>
        <v>1135</v>
      </c>
      <c r="CA58" s="209">
        <f t="shared" ref="CA58:CB58" si="108">SUM(CA59:CA71)</f>
        <v>0</v>
      </c>
      <c r="CB58" s="209">
        <f t="shared" si="108"/>
        <v>11.564378000000019</v>
      </c>
      <c r="CC58" s="552"/>
    </row>
    <row r="59" spans="1:81" ht="46.15" outlineLevel="1">
      <c r="A59" s="433">
        <v>1</v>
      </c>
      <c r="B59" s="549" t="s">
        <v>2195</v>
      </c>
      <c r="C59" s="420" t="s">
        <v>2116</v>
      </c>
      <c r="D59" s="420" t="s">
        <v>2196</v>
      </c>
      <c r="E59" s="420" t="s">
        <v>49</v>
      </c>
      <c r="F59" s="431" t="s">
        <v>105</v>
      </c>
      <c r="G59" s="422">
        <v>7877268</v>
      </c>
      <c r="H59" s="420" t="s">
        <v>2197</v>
      </c>
      <c r="I59" s="420" t="s">
        <v>71</v>
      </c>
      <c r="J59" s="422">
        <v>2021</v>
      </c>
      <c r="K59" s="420" t="s">
        <v>2198</v>
      </c>
      <c r="L59" s="420" t="s">
        <v>3601</v>
      </c>
      <c r="M59" s="169">
        <f t="shared" ref="M59:M71" si="109">SUM(N59:P59)</f>
        <v>7500</v>
      </c>
      <c r="N59" s="169">
        <v>0</v>
      </c>
      <c r="O59" s="169">
        <v>0</v>
      </c>
      <c r="P59" s="169">
        <v>7500</v>
      </c>
      <c r="Q59" s="70" t="s">
        <v>2199</v>
      </c>
      <c r="R59" s="70" t="s">
        <v>2197</v>
      </c>
      <c r="S59" s="169" t="s">
        <v>2194</v>
      </c>
      <c r="T59" s="70" t="s">
        <v>2196</v>
      </c>
      <c r="U59" s="70">
        <f t="shared" ref="U59:U71" si="110">SUM(V59:X59)</f>
        <v>0</v>
      </c>
      <c r="V59" s="70">
        <v>0</v>
      </c>
      <c r="W59" s="70">
        <v>0</v>
      </c>
      <c r="X59" s="70">
        <v>0</v>
      </c>
      <c r="Y59" s="70">
        <f t="shared" ref="Y59:Y71" si="111">SUM(Z59:AB59)</f>
        <v>6750</v>
      </c>
      <c r="Z59" s="70">
        <v>0</v>
      </c>
      <c r="AA59" s="70">
        <v>0</v>
      </c>
      <c r="AB59" s="70">
        <f t="shared" ref="AB59:AB71" si="112">SUM(AD59:AG59)</f>
        <v>6750</v>
      </c>
      <c r="AC59" s="70">
        <f t="shared" si="8"/>
        <v>6750</v>
      </c>
      <c r="AD59" s="70">
        <v>6750</v>
      </c>
      <c r="AE59" s="70">
        <v>0</v>
      </c>
      <c r="AF59" s="70"/>
      <c r="AG59" s="70">
        <v>0</v>
      </c>
      <c r="AH59" s="70">
        <f t="shared" ref="AH59:AH61" si="113">SUM(AI59:AK59)</f>
        <v>7279.28</v>
      </c>
      <c r="AI59" s="70">
        <v>0</v>
      </c>
      <c r="AJ59" s="70">
        <v>0</v>
      </c>
      <c r="AK59" s="70">
        <f t="shared" ref="AK59:AK61" si="114">SUM(AL59:AO59)</f>
        <v>7279.28</v>
      </c>
      <c r="AL59" s="70">
        <v>6750</v>
      </c>
      <c r="AM59" s="70">
        <v>0</v>
      </c>
      <c r="AN59" s="70">
        <v>529.28</v>
      </c>
      <c r="AO59" s="70">
        <v>0</v>
      </c>
      <c r="AP59" s="70">
        <f t="shared" ref="AP59:AP61" si="115">SUM(AQ59:AS59)</f>
        <v>7279.28</v>
      </c>
      <c r="AQ59" s="70">
        <v>0</v>
      </c>
      <c r="AR59" s="70">
        <v>0</v>
      </c>
      <c r="AS59" s="70">
        <f t="shared" ref="AS59:AS61" si="116">SUM(AT59:AW59)</f>
        <v>7279.28</v>
      </c>
      <c r="AT59" s="70">
        <v>6750</v>
      </c>
      <c r="AU59" s="70">
        <v>0</v>
      </c>
      <c r="AV59" s="70">
        <v>529.28</v>
      </c>
      <c r="AW59" s="70">
        <v>0</v>
      </c>
      <c r="AX59" s="70">
        <f t="shared" ref="AX59:AX71" si="117">SUM(AY59:BA59)</f>
        <v>0</v>
      </c>
      <c r="AY59" s="70">
        <v>0</v>
      </c>
      <c r="AZ59" s="70">
        <v>0</v>
      </c>
      <c r="BA59" s="70">
        <f t="shared" ref="BA59:BA71" si="118">SUM(BC59:BF59)</f>
        <v>0</v>
      </c>
      <c r="BB59" s="67">
        <f t="shared" si="24"/>
        <v>0</v>
      </c>
      <c r="BC59" s="70">
        <v>0</v>
      </c>
      <c r="BD59" s="70">
        <v>0</v>
      </c>
      <c r="BE59" s="70">
        <v>0</v>
      </c>
      <c r="BF59" s="70">
        <v>0</v>
      </c>
      <c r="BG59" s="133">
        <f t="shared" ref="BG59:BG71" si="119">SUM(BH59:BJ59)</f>
        <v>0</v>
      </c>
      <c r="BH59" s="133">
        <v>0</v>
      </c>
      <c r="BI59" s="133">
        <v>0</v>
      </c>
      <c r="BJ59" s="133">
        <f t="shared" ref="BJ59:BJ71" si="120">SUM(BK59:BN59)</f>
        <v>0</v>
      </c>
      <c r="BK59" s="133">
        <v>0</v>
      </c>
      <c r="BL59" s="133">
        <v>0</v>
      </c>
      <c r="BM59" s="133">
        <v>0</v>
      </c>
      <c r="BN59" s="133">
        <v>0</v>
      </c>
      <c r="BO59" s="133">
        <f t="shared" ref="BO59:BO71" si="121">SUM(BP59:BR59)</f>
        <v>0</v>
      </c>
      <c r="BP59" s="133">
        <v>0</v>
      </c>
      <c r="BQ59" s="133">
        <v>0</v>
      </c>
      <c r="BR59" s="133">
        <v>0</v>
      </c>
      <c r="BS59" s="133">
        <f t="shared" ref="BS59:BS67" si="122">SUM(BT59:BV59)</f>
        <v>0</v>
      </c>
      <c r="BT59" s="133">
        <v>0</v>
      </c>
      <c r="BU59" s="133">
        <v>0</v>
      </c>
      <c r="BV59" s="133">
        <v>0</v>
      </c>
      <c r="BW59" s="133"/>
      <c r="BX59" s="133"/>
      <c r="BY59" s="133"/>
      <c r="BZ59" s="133"/>
      <c r="CA59" s="133"/>
      <c r="CB59" s="133"/>
      <c r="CC59" s="440"/>
    </row>
    <row r="60" spans="1:81" ht="46.15" outlineLevel="1">
      <c r="A60" s="433">
        <v>2</v>
      </c>
      <c r="B60" s="549" t="s">
        <v>2200</v>
      </c>
      <c r="C60" s="420" t="s">
        <v>2116</v>
      </c>
      <c r="D60" s="420" t="s">
        <v>2196</v>
      </c>
      <c r="E60" s="420" t="s">
        <v>49</v>
      </c>
      <c r="F60" s="431" t="s">
        <v>105</v>
      </c>
      <c r="G60" s="422">
        <v>8018780</v>
      </c>
      <c r="H60" s="420" t="s">
        <v>2201</v>
      </c>
      <c r="I60" s="420" t="s">
        <v>54</v>
      </c>
      <c r="J60" s="422">
        <v>2023</v>
      </c>
      <c r="K60" s="420" t="s">
        <v>2202</v>
      </c>
      <c r="L60" s="420" t="s">
        <v>3606</v>
      </c>
      <c r="M60" s="169">
        <f t="shared" si="109"/>
        <v>7500</v>
      </c>
      <c r="N60" s="169">
        <v>0</v>
      </c>
      <c r="O60" s="169">
        <v>0</v>
      </c>
      <c r="P60" s="169">
        <v>7500</v>
      </c>
      <c r="Q60" s="70" t="s">
        <v>2203</v>
      </c>
      <c r="R60" s="70" t="s">
        <v>2201</v>
      </c>
      <c r="S60" s="169" t="s">
        <v>2194</v>
      </c>
      <c r="T60" s="70" t="s">
        <v>2196</v>
      </c>
      <c r="U60" s="70">
        <f t="shared" si="110"/>
        <v>0</v>
      </c>
      <c r="V60" s="70">
        <v>0</v>
      </c>
      <c r="W60" s="70">
        <v>0</v>
      </c>
      <c r="X60" s="70">
        <v>0</v>
      </c>
      <c r="Y60" s="70">
        <f t="shared" si="111"/>
        <v>6805.8856670000005</v>
      </c>
      <c r="Z60" s="70">
        <v>0</v>
      </c>
      <c r="AA60" s="70">
        <v>0</v>
      </c>
      <c r="AB60" s="70">
        <f t="shared" si="112"/>
        <v>6805.8856670000005</v>
      </c>
      <c r="AC60" s="70">
        <v>3712</v>
      </c>
      <c r="AD60" s="70">
        <v>3712</v>
      </c>
      <c r="AE60" s="70">
        <v>0</v>
      </c>
      <c r="AF60" s="70">
        <v>1500</v>
      </c>
      <c r="AG60" s="70">
        <v>1593.885667</v>
      </c>
      <c r="AH60" s="70">
        <f t="shared" si="113"/>
        <v>5225.1696670000001</v>
      </c>
      <c r="AI60" s="70">
        <v>0</v>
      </c>
      <c r="AJ60" s="70">
        <v>0</v>
      </c>
      <c r="AK60" s="70">
        <f t="shared" si="114"/>
        <v>5225.1696670000001</v>
      </c>
      <c r="AL60" s="70">
        <f>2000</f>
        <v>2000</v>
      </c>
      <c r="AM60" s="70">
        <v>0</v>
      </c>
      <c r="AN60" s="70">
        <f>136.5+1500-5.216</f>
        <v>1631.2840000000001</v>
      </c>
      <c r="AO60" s="70">
        <v>1593.885667</v>
      </c>
      <c r="AP60" s="70">
        <f t="shared" si="115"/>
        <v>5225.1696670000001</v>
      </c>
      <c r="AQ60" s="70">
        <v>0</v>
      </c>
      <c r="AR60" s="70">
        <v>0</v>
      </c>
      <c r="AS60" s="70">
        <f t="shared" si="116"/>
        <v>5225.1696670000001</v>
      </c>
      <c r="AT60" s="70">
        <f>2000</f>
        <v>2000</v>
      </c>
      <c r="AU60" s="70">
        <v>0</v>
      </c>
      <c r="AV60" s="70">
        <f>136.5+1500-5.216</f>
        <v>1631.2840000000001</v>
      </c>
      <c r="AW60" s="70">
        <v>1593.885667</v>
      </c>
      <c r="AX60" s="70">
        <f t="shared" si="117"/>
        <v>1711</v>
      </c>
      <c r="AY60" s="70">
        <v>0</v>
      </c>
      <c r="AZ60" s="70">
        <v>0</v>
      </c>
      <c r="BA60" s="70">
        <f t="shared" si="118"/>
        <v>1711</v>
      </c>
      <c r="BB60" s="70">
        <f t="shared" si="24"/>
        <v>1711</v>
      </c>
      <c r="BC60" s="70">
        <v>1711</v>
      </c>
      <c r="BD60" s="70">
        <v>0</v>
      </c>
      <c r="BE60" s="70"/>
      <c r="BF60" s="70">
        <v>0</v>
      </c>
      <c r="BG60" s="133">
        <f t="shared" si="119"/>
        <v>1746.68</v>
      </c>
      <c r="BH60" s="133">
        <v>0</v>
      </c>
      <c r="BI60" s="133">
        <v>0</v>
      </c>
      <c r="BJ60" s="133">
        <f t="shared" si="120"/>
        <v>1746.68</v>
      </c>
      <c r="BK60" s="133">
        <v>1711.9760000000001</v>
      </c>
      <c r="BL60" s="133">
        <v>0</v>
      </c>
      <c r="BM60" s="133">
        <v>34.704000000000001</v>
      </c>
      <c r="BN60" s="133">
        <v>0</v>
      </c>
      <c r="BO60" s="133">
        <f t="shared" si="121"/>
        <v>0</v>
      </c>
      <c r="BP60" s="133">
        <v>0</v>
      </c>
      <c r="BQ60" s="133">
        <v>0</v>
      </c>
      <c r="BR60" s="133">
        <v>0</v>
      </c>
      <c r="BS60" s="133">
        <f t="shared" si="122"/>
        <v>0</v>
      </c>
      <c r="BT60" s="133">
        <v>0</v>
      </c>
      <c r="BU60" s="133">
        <v>0</v>
      </c>
      <c r="BV60" s="133">
        <v>0</v>
      </c>
      <c r="BW60" s="133"/>
      <c r="BX60" s="133"/>
      <c r="BY60" s="133"/>
      <c r="BZ60" s="133"/>
      <c r="CA60" s="133"/>
      <c r="CB60" s="133"/>
      <c r="CC60" s="440"/>
    </row>
    <row r="61" spans="1:81" ht="63" customHeight="1" outlineLevel="1">
      <c r="A61" s="433">
        <v>3</v>
      </c>
      <c r="B61" s="549" t="s">
        <v>2214</v>
      </c>
      <c r="C61" s="420" t="s">
        <v>2215</v>
      </c>
      <c r="D61" s="420" t="s">
        <v>2196</v>
      </c>
      <c r="E61" s="420" t="s">
        <v>49</v>
      </c>
      <c r="F61" s="431" t="s">
        <v>105</v>
      </c>
      <c r="G61" s="422"/>
      <c r="H61" s="420" t="s">
        <v>2216</v>
      </c>
      <c r="I61" s="420" t="s">
        <v>73</v>
      </c>
      <c r="J61" s="422">
        <v>2021</v>
      </c>
      <c r="K61" s="420" t="s">
        <v>2217</v>
      </c>
      <c r="L61" s="420" t="s">
        <v>3607</v>
      </c>
      <c r="M61" s="169">
        <f t="shared" si="109"/>
        <v>2165</v>
      </c>
      <c r="N61" s="169">
        <v>0</v>
      </c>
      <c r="O61" s="169">
        <v>0</v>
      </c>
      <c r="P61" s="169">
        <v>2165</v>
      </c>
      <c r="Q61" s="70" t="s">
        <v>2171</v>
      </c>
      <c r="R61" s="70" t="s">
        <v>2216</v>
      </c>
      <c r="S61" s="169" t="s">
        <v>2194</v>
      </c>
      <c r="T61" s="70" t="s">
        <v>2196</v>
      </c>
      <c r="U61" s="70">
        <f t="shared" si="110"/>
        <v>0</v>
      </c>
      <c r="V61" s="70">
        <v>0</v>
      </c>
      <c r="W61" s="70">
        <v>0</v>
      </c>
      <c r="X61" s="70">
        <v>0</v>
      </c>
      <c r="Y61" s="70">
        <f t="shared" si="111"/>
        <v>2020</v>
      </c>
      <c r="Z61" s="70">
        <v>0</v>
      </c>
      <c r="AA61" s="70">
        <v>0</v>
      </c>
      <c r="AB61" s="70">
        <f t="shared" si="112"/>
        <v>2020</v>
      </c>
      <c r="AC61" s="70">
        <f t="shared" si="8"/>
        <v>2020</v>
      </c>
      <c r="AD61" s="70">
        <v>2020</v>
      </c>
      <c r="AE61" s="70">
        <v>0</v>
      </c>
      <c r="AF61" s="70">
        <v>0</v>
      </c>
      <c r="AG61" s="70">
        <v>0</v>
      </c>
      <c r="AH61" s="70">
        <f t="shared" si="113"/>
        <v>2020</v>
      </c>
      <c r="AI61" s="70">
        <v>0</v>
      </c>
      <c r="AJ61" s="70">
        <v>0</v>
      </c>
      <c r="AK61" s="70">
        <f t="shared" si="114"/>
        <v>2020</v>
      </c>
      <c r="AL61" s="70">
        <v>2020</v>
      </c>
      <c r="AM61" s="70">
        <v>0</v>
      </c>
      <c r="AN61" s="70">
        <v>0</v>
      </c>
      <c r="AO61" s="70">
        <v>0</v>
      </c>
      <c r="AP61" s="70">
        <f t="shared" si="115"/>
        <v>2020</v>
      </c>
      <c r="AQ61" s="70">
        <v>0</v>
      </c>
      <c r="AR61" s="70">
        <v>0</v>
      </c>
      <c r="AS61" s="70">
        <f t="shared" si="116"/>
        <v>2020</v>
      </c>
      <c r="AT61" s="70">
        <v>2020</v>
      </c>
      <c r="AU61" s="70">
        <v>0</v>
      </c>
      <c r="AV61" s="70">
        <v>0</v>
      </c>
      <c r="AW61" s="70">
        <v>0</v>
      </c>
      <c r="AX61" s="70">
        <f t="shared" si="117"/>
        <v>0</v>
      </c>
      <c r="AY61" s="70">
        <v>0</v>
      </c>
      <c r="AZ61" s="70">
        <v>0</v>
      </c>
      <c r="BA61" s="70">
        <f t="shared" si="118"/>
        <v>0</v>
      </c>
      <c r="BB61" s="67">
        <f t="shared" si="24"/>
        <v>0</v>
      </c>
      <c r="BC61" s="70">
        <v>0</v>
      </c>
      <c r="BD61" s="70">
        <v>0</v>
      </c>
      <c r="BE61" s="70">
        <v>0</v>
      </c>
      <c r="BF61" s="70">
        <v>0</v>
      </c>
      <c r="BG61" s="133">
        <f t="shared" si="119"/>
        <v>0</v>
      </c>
      <c r="BH61" s="133">
        <v>0</v>
      </c>
      <c r="BI61" s="133">
        <v>0</v>
      </c>
      <c r="BJ61" s="133">
        <f t="shared" si="120"/>
        <v>0</v>
      </c>
      <c r="BK61" s="133">
        <v>0</v>
      </c>
      <c r="BL61" s="133">
        <v>0</v>
      </c>
      <c r="BM61" s="133">
        <v>0</v>
      </c>
      <c r="BN61" s="133">
        <v>0</v>
      </c>
      <c r="BO61" s="133">
        <f t="shared" si="121"/>
        <v>0</v>
      </c>
      <c r="BP61" s="133">
        <v>0</v>
      </c>
      <c r="BQ61" s="133">
        <v>0</v>
      </c>
      <c r="BR61" s="133">
        <v>0</v>
      </c>
      <c r="BS61" s="133">
        <f t="shared" si="122"/>
        <v>0</v>
      </c>
      <c r="BT61" s="133">
        <v>0</v>
      </c>
      <c r="BU61" s="133">
        <v>0</v>
      </c>
      <c r="BV61" s="133">
        <v>0</v>
      </c>
      <c r="BW61" s="133"/>
      <c r="BX61" s="133"/>
      <c r="BY61" s="133"/>
      <c r="BZ61" s="133"/>
      <c r="CA61" s="133"/>
      <c r="CB61" s="133"/>
      <c r="CC61" s="433"/>
    </row>
    <row r="62" spans="1:81" ht="46.15" outlineLevel="1">
      <c r="A62" s="433">
        <v>4</v>
      </c>
      <c r="B62" s="549" t="s">
        <v>2218</v>
      </c>
      <c r="C62" s="420" t="s">
        <v>2215</v>
      </c>
      <c r="D62" s="420" t="s">
        <v>2196</v>
      </c>
      <c r="E62" s="420" t="s">
        <v>49</v>
      </c>
      <c r="F62" s="431" t="s">
        <v>48</v>
      </c>
      <c r="G62" s="422"/>
      <c r="H62" s="420" t="s">
        <v>2216</v>
      </c>
      <c r="I62" s="420" t="s">
        <v>52</v>
      </c>
      <c r="J62" s="422">
        <v>2021</v>
      </c>
      <c r="K62" s="420" t="s">
        <v>2219</v>
      </c>
      <c r="L62" s="420" t="s">
        <v>3608</v>
      </c>
      <c r="M62" s="169">
        <f t="shared" si="109"/>
        <v>4100</v>
      </c>
      <c r="N62" s="169">
        <v>0</v>
      </c>
      <c r="O62" s="169">
        <v>0</v>
      </c>
      <c r="P62" s="169">
        <v>4100</v>
      </c>
      <c r="Q62" s="70" t="s">
        <v>2171</v>
      </c>
      <c r="R62" s="70" t="s">
        <v>2216</v>
      </c>
      <c r="S62" s="169" t="s">
        <v>2194</v>
      </c>
      <c r="T62" s="70" t="s">
        <v>2196</v>
      </c>
      <c r="U62" s="70">
        <f t="shared" si="110"/>
        <v>0</v>
      </c>
      <c r="V62" s="70">
        <v>0</v>
      </c>
      <c r="W62" s="70">
        <v>0</v>
      </c>
      <c r="X62" s="70">
        <v>0</v>
      </c>
      <c r="Y62" s="70">
        <f t="shared" si="111"/>
        <v>3779</v>
      </c>
      <c r="Z62" s="70">
        <v>800</v>
      </c>
      <c r="AA62" s="70">
        <v>0</v>
      </c>
      <c r="AB62" s="70">
        <f t="shared" si="112"/>
        <v>2979</v>
      </c>
      <c r="AC62" s="70">
        <f t="shared" si="8"/>
        <v>2979</v>
      </c>
      <c r="AD62" s="70">
        <v>2979</v>
      </c>
      <c r="AE62" s="70">
        <v>0</v>
      </c>
      <c r="AF62" s="70">
        <v>0</v>
      </c>
      <c r="AG62" s="70">
        <v>0</v>
      </c>
      <c r="AH62" s="70">
        <v>2979</v>
      </c>
      <c r="AI62" s="70">
        <v>800</v>
      </c>
      <c r="AJ62" s="70">
        <v>0</v>
      </c>
      <c r="AK62" s="70">
        <v>2179</v>
      </c>
      <c r="AL62" s="70">
        <v>2179</v>
      </c>
      <c r="AM62" s="70">
        <v>0</v>
      </c>
      <c r="AN62" s="70">
        <v>0</v>
      </c>
      <c r="AO62" s="70">
        <v>0</v>
      </c>
      <c r="AP62" s="70">
        <v>2979</v>
      </c>
      <c r="AQ62" s="70">
        <v>800</v>
      </c>
      <c r="AR62" s="70">
        <v>0</v>
      </c>
      <c r="AS62" s="70">
        <v>2179</v>
      </c>
      <c r="AT62" s="70">
        <v>2179</v>
      </c>
      <c r="AU62" s="70">
        <v>0</v>
      </c>
      <c r="AV62" s="70">
        <v>0</v>
      </c>
      <c r="AW62" s="70">
        <v>0</v>
      </c>
      <c r="AX62" s="70">
        <f t="shared" si="117"/>
        <v>0</v>
      </c>
      <c r="AY62" s="70">
        <v>0</v>
      </c>
      <c r="AZ62" s="70">
        <v>0</v>
      </c>
      <c r="BA62" s="70">
        <f t="shared" si="118"/>
        <v>0</v>
      </c>
      <c r="BB62" s="67">
        <f t="shared" si="24"/>
        <v>0</v>
      </c>
      <c r="BC62" s="70">
        <v>0</v>
      </c>
      <c r="BD62" s="70">
        <v>0</v>
      </c>
      <c r="BE62" s="70">
        <v>0</v>
      </c>
      <c r="BF62" s="70">
        <v>0</v>
      </c>
      <c r="BG62" s="133">
        <f t="shared" si="119"/>
        <v>0</v>
      </c>
      <c r="BH62" s="133">
        <v>0</v>
      </c>
      <c r="BI62" s="133">
        <v>0</v>
      </c>
      <c r="BJ62" s="133">
        <f t="shared" si="120"/>
        <v>0</v>
      </c>
      <c r="BK62" s="133">
        <v>0</v>
      </c>
      <c r="BL62" s="133">
        <v>0</v>
      </c>
      <c r="BM62" s="133">
        <v>0</v>
      </c>
      <c r="BN62" s="133">
        <v>0</v>
      </c>
      <c r="BO62" s="133">
        <f t="shared" si="121"/>
        <v>0</v>
      </c>
      <c r="BP62" s="133">
        <v>0</v>
      </c>
      <c r="BQ62" s="133">
        <v>0</v>
      </c>
      <c r="BR62" s="133">
        <v>0</v>
      </c>
      <c r="BS62" s="133">
        <f t="shared" si="122"/>
        <v>0</v>
      </c>
      <c r="BT62" s="133">
        <v>0</v>
      </c>
      <c r="BU62" s="133">
        <v>0</v>
      </c>
      <c r="BV62" s="133">
        <v>0</v>
      </c>
      <c r="BW62" s="133"/>
      <c r="BX62" s="133"/>
      <c r="BY62" s="133"/>
      <c r="BZ62" s="133"/>
      <c r="CA62" s="133"/>
      <c r="CB62" s="133"/>
      <c r="CC62" s="431"/>
    </row>
    <row r="63" spans="1:81" ht="46.15" outlineLevel="1">
      <c r="A63" s="433">
        <v>5</v>
      </c>
      <c r="B63" s="549" t="s">
        <v>2220</v>
      </c>
      <c r="C63" s="420" t="s">
        <v>2221</v>
      </c>
      <c r="D63" s="420" t="s">
        <v>2196</v>
      </c>
      <c r="E63" s="420" t="s">
        <v>49</v>
      </c>
      <c r="F63" s="431" t="s">
        <v>48</v>
      </c>
      <c r="G63" s="422"/>
      <c r="H63" s="420" t="s">
        <v>2201</v>
      </c>
      <c r="I63" s="420" t="s">
        <v>54</v>
      </c>
      <c r="J63" s="422">
        <v>2023</v>
      </c>
      <c r="K63" s="420" t="s">
        <v>2222</v>
      </c>
      <c r="L63" s="420" t="s">
        <v>3609</v>
      </c>
      <c r="M63" s="169">
        <f t="shared" si="109"/>
        <v>1030</v>
      </c>
      <c r="N63" s="169">
        <v>0</v>
      </c>
      <c r="O63" s="169">
        <v>0</v>
      </c>
      <c r="P63" s="169">
        <v>1030</v>
      </c>
      <c r="Q63" s="70" t="s">
        <v>2171</v>
      </c>
      <c r="R63" s="70" t="s">
        <v>2201</v>
      </c>
      <c r="S63" s="70" t="s">
        <v>2194</v>
      </c>
      <c r="T63" s="70" t="s">
        <v>2196</v>
      </c>
      <c r="U63" s="70">
        <f t="shared" si="110"/>
        <v>0</v>
      </c>
      <c r="V63" s="70">
        <v>0</v>
      </c>
      <c r="W63" s="70">
        <v>0</v>
      </c>
      <c r="X63" s="70">
        <v>0</v>
      </c>
      <c r="Y63" s="70">
        <f t="shared" si="111"/>
        <v>998</v>
      </c>
      <c r="Z63" s="70">
        <v>0</v>
      </c>
      <c r="AA63" s="70">
        <v>0</v>
      </c>
      <c r="AB63" s="70">
        <f t="shared" si="112"/>
        <v>998</v>
      </c>
      <c r="AC63" s="70">
        <f t="shared" si="8"/>
        <v>998</v>
      </c>
      <c r="AD63" s="70">
        <v>998</v>
      </c>
      <c r="AE63" s="70">
        <v>0</v>
      </c>
      <c r="AF63" s="70"/>
      <c r="AG63" s="70">
        <v>0</v>
      </c>
      <c r="AH63" s="70">
        <f t="shared" ref="AH63:AH71" si="123">SUM(AI63:AK63)</f>
        <v>998</v>
      </c>
      <c r="AI63" s="70">
        <v>0</v>
      </c>
      <c r="AJ63" s="70">
        <v>0</v>
      </c>
      <c r="AK63" s="70">
        <f t="shared" ref="AK63:AK71" si="124">SUM(AL63:AO63)</f>
        <v>998</v>
      </c>
      <c r="AL63" s="70">
        <v>998</v>
      </c>
      <c r="AM63" s="70">
        <v>0</v>
      </c>
      <c r="AN63" s="70">
        <v>0</v>
      </c>
      <c r="AO63" s="70">
        <v>0</v>
      </c>
      <c r="AP63" s="70">
        <f t="shared" ref="AP63:AP71" si="125">SUM(AQ63:AS63)</f>
        <v>991.99599999999998</v>
      </c>
      <c r="AQ63" s="70">
        <v>0</v>
      </c>
      <c r="AR63" s="70">
        <v>0</v>
      </c>
      <c r="AS63" s="70">
        <f t="shared" ref="AS63:AS71" si="126">SUM(AT63:AW63)</f>
        <v>991.99599999999998</v>
      </c>
      <c r="AT63" s="70">
        <v>991.99599999999998</v>
      </c>
      <c r="AU63" s="70">
        <v>0</v>
      </c>
      <c r="AV63" s="70">
        <v>0</v>
      </c>
      <c r="AW63" s="70">
        <v>0</v>
      </c>
      <c r="AX63" s="70">
        <f t="shared" si="117"/>
        <v>0</v>
      </c>
      <c r="AY63" s="70">
        <v>0</v>
      </c>
      <c r="AZ63" s="70">
        <v>0</v>
      </c>
      <c r="BA63" s="70">
        <f t="shared" si="118"/>
        <v>0</v>
      </c>
      <c r="BB63" s="67">
        <f t="shared" si="24"/>
        <v>0</v>
      </c>
      <c r="BC63" s="70">
        <v>0</v>
      </c>
      <c r="BD63" s="70">
        <v>0</v>
      </c>
      <c r="BE63" s="70">
        <v>0</v>
      </c>
      <c r="BF63" s="70">
        <v>0</v>
      </c>
      <c r="BG63" s="133">
        <f t="shared" si="119"/>
        <v>0</v>
      </c>
      <c r="BH63" s="133">
        <v>0</v>
      </c>
      <c r="BI63" s="133">
        <v>0</v>
      </c>
      <c r="BJ63" s="133">
        <f t="shared" si="120"/>
        <v>0</v>
      </c>
      <c r="BK63" s="133">
        <v>0</v>
      </c>
      <c r="BL63" s="133">
        <v>0</v>
      </c>
      <c r="BM63" s="133">
        <v>0</v>
      </c>
      <c r="BN63" s="133">
        <v>0</v>
      </c>
      <c r="BO63" s="133">
        <f t="shared" si="121"/>
        <v>6.0040000000000191</v>
      </c>
      <c r="BP63" s="133">
        <v>0</v>
      </c>
      <c r="BQ63" s="133">
        <v>0</v>
      </c>
      <c r="BR63" s="133">
        <v>6.0040000000000191</v>
      </c>
      <c r="BS63" s="133">
        <f t="shared" si="122"/>
        <v>0</v>
      </c>
      <c r="BT63" s="133">
        <v>0</v>
      </c>
      <c r="BU63" s="133">
        <v>0</v>
      </c>
      <c r="BV63" s="133">
        <v>0</v>
      </c>
      <c r="BW63" s="133"/>
      <c r="BX63" s="133"/>
      <c r="BY63" s="133"/>
      <c r="BZ63" s="133"/>
      <c r="CA63" s="133"/>
      <c r="CB63" s="233">
        <v>6.04400000000002</v>
      </c>
      <c r="CC63" s="434"/>
    </row>
    <row r="64" spans="1:81" ht="51.75" customHeight="1" outlineLevel="1">
      <c r="A64" s="433">
        <v>6</v>
      </c>
      <c r="B64" s="549" t="s">
        <v>2223</v>
      </c>
      <c r="C64" s="420" t="s">
        <v>2116</v>
      </c>
      <c r="D64" s="420" t="s">
        <v>2196</v>
      </c>
      <c r="E64" s="420" t="s">
        <v>49</v>
      </c>
      <c r="F64" s="431" t="s">
        <v>105</v>
      </c>
      <c r="G64" s="422"/>
      <c r="H64" s="420" t="s">
        <v>2201</v>
      </c>
      <c r="I64" s="420" t="s">
        <v>84</v>
      </c>
      <c r="J64" s="422">
        <v>2025</v>
      </c>
      <c r="K64" s="420" t="s">
        <v>2224</v>
      </c>
      <c r="L64" s="420" t="s">
        <v>3610</v>
      </c>
      <c r="M64" s="169">
        <f t="shared" si="109"/>
        <v>3500</v>
      </c>
      <c r="N64" s="169">
        <v>0</v>
      </c>
      <c r="O64" s="169">
        <v>0</v>
      </c>
      <c r="P64" s="169">
        <v>3500</v>
      </c>
      <c r="Q64" s="70" t="s">
        <v>2225</v>
      </c>
      <c r="R64" s="70" t="s">
        <v>2201</v>
      </c>
      <c r="S64" s="70" t="s">
        <v>2194</v>
      </c>
      <c r="T64" s="70" t="s">
        <v>2196</v>
      </c>
      <c r="U64" s="70">
        <f t="shared" si="110"/>
        <v>0</v>
      </c>
      <c r="V64" s="70">
        <v>0</v>
      </c>
      <c r="W64" s="70">
        <v>0</v>
      </c>
      <c r="X64" s="70">
        <v>0</v>
      </c>
      <c r="Y64" s="70">
        <f t="shared" si="111"/>
        <v>3365.445573</v>
      </c>
      <c r="Z64" s="70">
        <v>0</v>
      </c>
      <c r="AA64" s="70">
        <v>0</v>
      </c>
      <c r="AB64" s="70">
        <f t="shared" si="112"/>
        <v>3365.445573</v>
      </c>
      <c r="AC64" s="70">
        <f t="shared" si="8"/>
        <v>2365.445573</v>
      </c>
      <c r="AD64" s="70">
        <v>2365.445573</v>
      </c>
      <c r="AE64" s="70">
        <v>0</v>
      </c>
      <c r="AF64" s="70">
        <v>1000</v>
      </c>
      <c r="AG64" s="70">
        <v>0</v>
      </c>
      <c r="AH64" s="70">
        <f t="shared" si="123"/>
        <v>0</v>
      </c>
      <c r="AI64" s="70">
        <v>0</v>
      </c>
      <c r="AJ64" s="70">
        <v>0</v>
      </c>
      <c r="AK64" s="70">
        <f t="shared" si="124"/>
        <v>0</v>
      </c>
      <c r="AL64" s="70">
        <v>0</v>
      </c>
      <c r="AM64" s="70">
        <v>0</v>
      </c>
      <c r="AN64" s="70">
        <v>0</v>
      </c>
      <c r="AO64" s="70">
        <v>0</v>
      </c>
      <c r="AP64" s="70">
        <f t="shared" si="125"/>
        <v>0</v>
      </c>
      <c r="AQ64" s="70">
        <v>0</v>
      </c>
      <c r="AR64" s="70">
        <v>0</v>
      </c>
      <c r="AS64" s="70">
        <f t="shared" si="126"/>
        <v>0</v>
      </c>
      <c r="AT64" s="70">
        <v>0</v>
      </c>
      <c r="AU64" s="70">
        <v>0</v>
      </c>
      <c r="AV64" s="70">
        <v>0</v>
      </c>
      <c r="AW64" s="70">
        <v>0</v>
      </c>
      <c r="AX64" s="70">
        <f t="shared" si="117"/>
        <v>3365</v>
      </c>
      <c r="AY64" s="70">
        <v>0</v>
      </c>
      <c r="AZ64" s="70">
        <v>0</v>
      </c>
      <c r="BA64" s="70">
        <f t="shared" si="118"/>
        <v>3365</v>
      </c>
      <c r="BB64" s="70">
        <f t="shared" si="24"/>
        <v>2365</v>
      </c>
      <c r="BC64" s="70">
        <v>2365</v>
      </c>
      <c r="BD64" s="70">
        <v>0</v>
      </c>
      <c r="BE64" s="70">
        <v>1000</v>
      </c>
      <c r="BF64" s="70">
        <v>0</v>
      </c>
      <c r="BG64" s="133">
        <f t="shared" si="119"/>
        <v>2095.5070000000001</v>
      </c>
      <c r="BH64" s="133">
        <v>0</v>
      </c>
      <c r="BI64" s="133">
        <v>0</v>
      </c>
      <c r="BJ64" s="133">
        <f t="shared" si="120"/>
        <v>2095.5070000000001</v>
      </c>
      <c r="BK64" s="133">
        <v>2095.5070000000001</v>
      </c>
      <c r="BL64" s="133">
        <v>0</v>
      </c>
      <c r="BM64" s="133">
        <v>0</v>
      </c>
      <c r="BN64" s="133">
        <v>0</v>
      </c>
      <c r="BO64" s="133">
        <f t="shared" si="121"/>
        <v>0</v>
      </c>
      <c r="BP64" s="133">
        <v>0</v>
      </c>
      <c r="BQ64" s="133">
        <v>0</v>
      </c>
      <c r="BR64" s="133">
        <v>0</v>
      </c>
      <c r="BS64" s="133">
        <f t="shared" si="122"/>
        <v>0</v>
      </c>
      <c r="BT64" s="133">
        <v>0</v>
      </c>
      <c r="BU64" s="133">
        <v>0</v>
      </c>
      <c r="BV64" s="133">
        <v>0</v>
      </c>
      <c r="BW64" s="133">
        <f>SUM(BX64:BZ64)</f>
        <v>1135</v>
      </c>
      <c r="BX64" s="133"/>
      <c r="BY64" s="133"/>
      <c r="BZ64" s="133">
        <f>3500-2365</f>
        <v>1135</v>
      </c>
      <c r="CA64" s="133"/>
      <c r="CB64" s="133"/>
      <c r="CC64" s="434"/>
    </row>
    <row r="65" spans="1:81" ht="46.15" outlineLevel="1">
      <c r="A65" s="433">
        <v>7</v>
      </c>
      <c r="B65" s="549" t="s">
        <v>2226</v>
      </c>
      <c r="C65" s="420" t="s">
        <v>2215</v>
      </c>
      <c r="D65" s="420" t="s">
        <v>2196</v>
      </c>
      <c r="E65" s="420" t="s">
        <v>49</v>
      </c>
      <c r="F65" s="431" t="s">
        <v>105</v>
      </c>
      <c r="G65" s="422"/>
      <c r="H65" s="420" t="s">
        <v>2216</v>
      </c>
      <c r="I65" s="420">
        <v>2024</v>
      </c>
      <c r="J65" s="422">
        <v>2024</v>
      </c>
      <c r="K65" s="420" t="s">
        <v>2227</v>
      </c>
      <c r="L65" s="420" t="s">
        <v>3611</v>
      </c>
      <c r="M65" s="169">
        <f t="shared" si="109"/>
        <v>700</v>
      </c>
      <c r="N65" s="169">
        <v>0</v>
      </c>
      <c r="O65" s="169">
        <v>0</v>
      </c>
      <c r="P65" s="169">
        <v>700</v>
      </c>
      <c r="Q65" s="70" t="s">
        <v>2171</v>
      </c>
      <c r="R65" s="70" t="s">
        <v>2216</v>
      </c>
      <c r="S65" s="70" t="s">
        <v>2194</v>
      </c>
      <c r="T65" s="70" t="s">
        <v>2196</v>
      </c>
      <c r="U65" s="70">
        <f t="shared" si="110"/>
        <v>0</v>
      </c>
      <c r="V65" s="70">
        <v>0</v>
      </c>
      <c r="W65" s="70">
        <v>0</v>
      </c>
      <c r="X65" s="70">
        <v>0</v>
      </c>
      <c r="Y65" s="70">
        <f t="shared" si="111"/>
        <v>650</v>
      </c>
      <c r="Z65" s="70">
        <v>0</v>
      </c>
      <c r="AA65" s="70">
        <v>0</v>
      </c>
      <c r="AB65" s="70">
        <f t="shared" si="112"/>
        <v>650</v>
      </c>
      <c r="AC65" s="70">
        <f t="shared" si="8"/>
        <v>650</v>
      </c>
      <c r="AD65" s="70">
        <v>650</v>
      </c>
      <c r="AE65" s="70">
        <v>0</v>
      </c>
      <c r="AF65" s="70">
        <v>0</v>
      </c>
      <c r="AG65" s="70">
        <v>0</v>
      </c>
      <c r="AH65" s="70">
        <f t="shared" si="123"/>
        <v>700</v>
      </c>
      <c r="AI65" s="70">
        <v>0</v>
      </c>
      <c r="AJ65" s="70">
        <v>0</v>
      </c>
      <c r="AK65" s="70">
        <f t="shared" si="124"/>
        <v>700</v>
      </c>
      <c r="AL65" s="70">
        <v>700</v>
      </c>
      <c r="AM65" s="70">
        <v>0</v>
      </c>
      <c r="AN65" s="70">
        <v>0</v>
      </c>
      <c r="AO65" s="70">
        <v>0</v>
      </c>
      <c r="AP65" s="70">
        <f t="shared" si="125"/>
        <v>694.47962199999995</v>
      </c>
      <c r="AQ65" s="70">
        <v>0</v>
      </c>
      <c r="AR65" s="70">
        <v>0</v>
      </c>
      <c r="AS65" s="70">
        <f t="shared" si="126"/>
        <v>694.47962199999995</v>
      </c>
      <c r="AT65" s="70">
        <f>700-5.520378</f>
        <v>694.47962199999995</v>
      </c>
      <c r="AU65" s="70">
        <v>0</v>
      </c>
      <c r="AV65" s="70">
        <v>0</v>
      </c>
      <c r="AW65" s="70">
        <v>0</v>
      </c>
      <c r="AX65" s="70">
        <f t="shared" si="117"/>
        <v>0</v>
      </c>
      <c r="AY65" s="70">
        <v>0</v>
      </c>
      <c r="AZ65" s="70">
        <v>0</v>
      </c>
      <c r="BA65" s="70">
        <f t="shared" si="118"/>
        <v>0</v>
      </c>
      <c r="BB65" s="67">
        <f t="shared" si="24"/>
        <v>0</v>
      </c>
      <c r="BC65" s="70">
        <v>0</v>
      </c>
      <c r="BD65" s="70">
        <v>0</v>
      </c>
      <c r="BE65" s="70">
        <v>0</v>
      </c>
      <c r="BF65" s="70">
        <v>0</v>
      </c>
      <c r="BG65" s="133">
        <f t="shared" si="119"/>
        <v>0</v>
      </c>
      <c r="BH65" s="133">
        <v>0</v>
      </c>
      <c r="BI65" s="133">
        <v>0</v>
      </c>
      <c r="BJ65" s="133">
        <f t="shared" si="120"/>
        <v>0</v>
      </c>
      <c r="BK65" s="133">
        <v>0</v>
      </c>
      <c r="BL65" s="133">
        <v>0</v>
      </c>
      <c r="BM65" s="133">
        <v>0</v>
      </c>
      <c r="BN65" s="133">
        <v>0</v>
      </c>
      <c r="BO65" s="133">
        <f t="shared" si="121"/>
        <v>5.520378</v>
      </c>
      <c r="BP65" s="133">
        <v>0</v>
      </c>
      <c r="BQ65" s="133">
        <v>0</v>
      </c>
      <c r="BR65" s="133">
        <v>5.520378</v>
      </c>
      <c r="BS65" s="133">
        <f t="shared" si="122"/>
        <v>0</v>
      </c>
      <c r="BT65" s="133">
        <v>0</v>
      </c>
      <c r="BU65" s="133">
        <v>0</v>
      </c>
      <c r="BV65" s="133">
        <v>0</v>
      </c>
      <c r="BW65" s="133"/>
      <c r="BX65" s="133"/>
      <c r="BY65" s="133"/>
      <c r="BZ65" s="133"/>
      <c r="CA65" s="133"/>
      <c r="CB65" s="233">
        <v>5.520378</v>
      </c>
      <c r="CC65" s="434"/>
    </row>
    <row r="66" spans="1:81" ht="46.15" outlineLevel="1">
      <c r="A66" s="433">
        <v>8</v>
      </c>
      <c r="B66" s="549" t="s">
        <v>2204</v>
      </c>
      <c r="C66" s="420" t="s">
        <v>2205</v>
      </c>
      <c r="D66" s="420" t="s">
        <v>2196</v>
      </c>
      <c r="E66" s="420" t="s">
        <v>49</v>
      </c>
      <c r="F66" s="431" t="s">
        <v>48</v>
      </c>
      <c r="G66" s="422">
        <v>7889368</v>
      </c>
      <c r="H66" s="420" t="s">
        <v>2197</v>
      </c>
      <c r="I66" s="420" t="s">
        <v>73</v>
      </c>
      <c r="J66" s="422">
        <v>2021</v>
      </c>
      <c r="K66" s="420" t="s">
        <v>2206</v>
      </c>
      <c r="L66" s="420" t="s">
        <v>3603</v>
      </c>
      <c r="M66" s="169">
        <f t="shared" si="109"/>
        <v>5000</v>
      </c>
      <c r="N66" s="169">
        <v>0</v>
      </c>
      <c r="O66" s="169">
        <v>0</v>
      </c>
      <c r="P66" s="169">
        <v>5000</v>
      </c>
      <c r="Q66" s="70" t="s">
        <v>2207</v>
      </c>
      <c r="R66" s="70" t="s">
        <v>2197</v>
      </c>
      <c r="S66" s="70" t="s">
        <v>2194</v>
      </c>
      <c r="T66" s="70" t="s">
        <v>2196</v>
      </c>
      <c r="U66" s="70">
        <f t="shared" si="110"/>
        <v>0</v>
      </c>
      <c r="V66" s="70">
        <v>0</v>
      </c>
      <c r="W66" s="70">
        <v>0</v>
      </c>
      <c r="X66" s="70">
        <v>0</v>
      </c>
      <c r="Y66" s="70">
        <f t="shared" si="111"/>
        <v>4500</v>
      </c>
      <c r="Z66" s="70">
        <v>0</v>
      </c>
      <c r="AA66" s="70">
        <v>1500</v>
      </c>
      <c r="AB66" s="70">
        <f t="shared" si="112"/>
        <v>3000</v>
      </c>
      <c r="AC66" s="67">
        <f t="shared" si="8"/>
        <v>0</v>
      </c>
      <c r="AD66" s="70">
        <v>0</v>
      </c>
      <c r="AE66" s="70">
        <v>0</v>
      </c>
      <c r="AF66" s="70">
        <v>3000</v>
      </c>
      <c r="AG66" s="70">
        <v>0</v>
      </c>
      <c r="AH66" s="70">
        <f t="shared" si="123"/>
        <v>4817.8919999999998</v>
      </c>
      <c r="AI66" s="70">
        <v>0</v>
      </c>
      <c r="AJ66" s="70">
        <v>1500</v>
      </c>
      <c r="AK66" s="70">
        <f t="shared" si="124"/>
        <v>3317.8919999999998</v>
      </c>
      <c r="AL66" s="70">
        <v>0</v>
      </c>
      <c r="AM66" s="70">
        <v>0</v>
      </c>
      <c r="AN66" s="70">
        <f>2996.402+321.49</f>
        <v>3317.8919999999998</v>
      </c>
      <c r="AO66" s="70">
        <v>0</v>
      </c>
      <c r="AP66" s="70">
        <f t="shared" si="125"/>
        <v>4817.8919999999998</v>
      </c>
      <c r="AQ66" s="70">
        <v>0</v>
      </c>
      <c r="AR66" s="70">
        <v>1500</v>
      </c>
      <c r="AS66" s="70">
        <f t="shared" si="126"/>
        <v>3317.8919999999998</v>
      </c>
      <c r="AT66" s="70">
        <v>0</v>
      </c>
      <c r="AU66" s="70">
        <v>0</v>
      </c>
      <c r="AV66" s="70">
        <f>2996.402+321.49</f>
        <v>3317.8919999999998</v>
      </c>
      <c r="AW66" s="70">
        <v>0</v>
      </c>
      <c r="AX66" s="70">
        <f t="shared" si="117"/>
        <v>0</v>
      </c>
      <c r="AY66" s="70">
        <v>0</v>
      </c>
      <c r="AZ66" s="70">
        <v>0</v>
      </c>
      <c r="BA66" s="70">
        <f t="shared" si="118"/>
        <v>0</v>
      </c>
      <c r="BB66" s="67">
        <f t="shared" si="24"/>
        <v>0</v>
      </c>
      <c r="BC66" s="70">
        <v>0</v>
      </c>
      <c r="BD66" s="70">
        <v>0</v>
      </c>
      <c r="BE66" s="70">
        <v>0</v>
      </c>
      <c r="BF66" s="70">
        <v>0</v>
      </c>
      <c r="BG66" s="133">
        <f t="shared" si="119"/>
        <v>0</v>
      </c>
      <c r="BH66" s="133">
        <v>0</v>
      </c>
      <c r="BI66" s="133">
        <v>0</v>
      </c>
      <c r="BJ66" s="133">
        <f t="shared" si="120"/>
        <v>0</v>
      </c>
      <c r="BK66" s="133">
        <v>0</v>
      </c>
      <c r="BL66" s="133">
        <v>0</v>
      </c>
      <c r="BM66" s="133">
        <v>0</v>
      </c>
      <c r="BN66" s="133">
        <v>0</v>
      </c>
      <c r="BO66" s="133">
        <f t="shared" si="121"/>
        <v>0</v>
      </c>
      <c r="BP66" s="133">
        <v>0</v>
      </c>
      <c r="BQ66" s="133">
        <v>0</v>
      </c>
      <c r="BR66" s="133">
        <v>0</v>
      </c>
      <c r="BS66" s="133">
        <f t="shared" si="122"/>
        <v>0</v>
      </c>
      <c r="BT66" s="133">
        <v>0</v>
      </c>
      <c r="BU66" s="133">
        <v>0</v>
      </c>
      <c r="BV66" s="133">
        <v>0</v>
      </c>
      <c r="BW66" s="133"/>
      <c r="BX66" s="133"/>
      <c r="BY66" s="133"/>
      <c r="BZ66" s="133"/>
      <c r="CA66" s="133"/>
      <c r="CB66" s="133"/>
      <c r="CC66" s="434"/>
    </row>
    <row r="67" spans="1:81" ht="46.15" outlineLevel="1">
      <c r="A67" s="433">
        <v>9</v>
      </c>
      <c r="B67" s="549" t="s">
        <v>2208</v>
      </c>
      <c r="C67" s="420" t="s">
        <v>2205</v>
      </c>
      <c r="D67" s="420" t="s">
        <v>2196</v>
      </c>
      <c r="E67" s="420" t="s">
        <v>49</v>
      </c>
      <c r="F67" s="431" t="s">
        <v>48</v>
      </c>
      <c r="G67" s="422">
        <v>7889369</v>
      </c>
      <c r="H67" s="420" t="s">
        <v>2197</v>
      </c>
      <c r="I67" s="420" t="s">
        <v>73</v>
      </c>
      <c r="J67" s="422">
        <v>2021</v>
      </c>
      <c r="K67" s="420" t="s">
        <v>2206</v>
      </c>
      <c r="L67" s="420" t="s">
        <v>3612</v>
      </c>
      <c r="M67" s="169">
        <f t="shared" si="109"/>
        <v>4401.2809999999999</v>
      </c>
      <c r="N67" s="169">
        <v>0</v>
      </c>
      <c r="O67" s="169">
        <v>0</v>
      </c>
      <c r="P67" s="169">
        <v>4401.2809999999999</v>
      </c>
      <c r="Q67" s="70" t="s">
        <v>2209</v>
      </c>
      <c r="R67" s="70" t="s">
        <v>2197</v>
      </c>
      <c r="S67" s="70" t="s">
        <v>2194</v>
      </c>
      <c r="T67" s="70" t="s">
        <v>2196</v>
      </c>
      <c r="U67" s="70">
        <f t="shared" si="110"/>
        <v>0</v>
      </c>
      <c r="V67" s="70">
        <v>0</v>
      </c>
      <c r="W67" s="70">
        <v>0</v>
      </c>
      <c r="X67" s="70">
        <v>0</v>
      </c>
      <c r="Y67" s="70">
        <f t="shared" si="111"/>
        <v>4167</v>
      </c>
      <c r="Z67" s="70">
        <v>0</v>
      </c>
      <c r="AA67" s="70">
        <v>1500</v>
      </c>
      <c r="AB67" s="70">
        <f t="shared" si="112"/>
        <v>2667</v>
      </c>
      <c r="AC67" s="67">
        <f t="shared" si="8"/>
        <v>0</v>
      </c>
      <c r="AD67" s="70">
        <v>0</v>
      </c>
      <c r="AE67" s="70">
        <v>0</v>
      </c>
      <c r="AF67" s="70">
        <v>2667</v>
      </c>
      <c r="AG67" s="70">
        <v>0</v>
      </c>
      <c r="AH67" s="70">
        <f t="shared" si="123"/>
        <v>4190.8510000000006</v>
      </c>
      <c r="AI67" s="70">
        <v>0</v>
      </c>
      <c r="AJ67" s="70">
        <v>1500</v>
      </c>
      <c r="AK67" s="70">
        <f t="shared" si="124"/>
        <v>2690.8510000000001</v>
      </c>
      <c r="AL67" s="70">
        <v>0</v>
      </c>
      <c r="AM67" s="70">
        <v>0</v>
      </c>
      <c r="AN67" s="70">
        <f>2666.963+23.888</f>
        <v>2690.8510000000001</v>
      </c>
      <c r="AO67" s="70">
        <v>0</v>
      </c>
      <c r="AP67" s="70">
        <f t="shared" si="125"/>
        <v>4190.8510000000006</v>
      </c>
      <c r="AQ67" s="70">
        <v>0</v>
      </c>
      <c r="AR67" s="70">
        <v>1500</v>
      </c>
      <c r="AS67" s="70">
        <f t="shared" si="126"/>
        <v>2690.8510000000001</v>
      </c>
      <c r="AT67" s="70">
        <v>0</v>
      </c>
      <c r="AU67" s="70">
        <v>0</v>
      </c>
      <c r="AV67" s="70">
        <f>2666.963+23.888</f>
        <v>2690.8510000000001</v>
      </c>
      <c r="AW67" s="70">
        <v>0</v>
      </c>
      <c r="AX67" s="70">
        <f t="shared" si="117"/>
        <v>0</v>
      </c>
      <c r="AY67" s="70">
        <v>0</v>
      </c>
      <c r="AZ67" s="70">
        <v>0</v>
      </c>
      <c r="BA67" s="70">
        <f t="shared" si="118"/>
        <v>0</v>
      </c>
      <c r="BB67" s="67">
        <f t="shared" si="24"/>
        <v>0</v>
      </c>
      <c r="BC67" s="70">
        <v>0</v>
      </c>
      <c r="BD67" s="70">
        <v>0</v>
      </c>
      <c r="BE67" s="70">
        <v>0</v>
      </c>
      <c r="BF67" s="70">
        <v>0</v>
      </c>
      <c r="BG67" s="133">
        <f t="shared" si="119"/>
        <v>0</v>
      </c>
      <c r="BH67" s="133">
        <v>0</v>
      </c>
      <c r="BI67" s="133">
        <v>0</v>
      </c>
      <c r="BJ67" s="133">
        <f t="shared" si="120"/>
        <v>0</v>
      </c>
      <c r="BK67" s="133">
        <v>0</v>
      </c>
      <c r="BL67" s="133">
        <v>0</v>
      </c>
      <c r="BM67" s="133">
        <v>0</v>
      </c>
      <c r="BN67" s="133">
        <v>0</v>
      </c>
      <c r="BO67" s="133">
        <f t="shared" si="121"/>
        <v>0</v>
      </c>
      <c r="BP67" s="133">
        <v>0</v>
      </c>
      <c r="BQ67" s="133">
        <v>0</v>
      </c>
      <c r="BR67" s="133">
        <v>0</v>
      </c>
      <c r="BS67" s="133">
        <f t="shared" si="122"/>
        <v>0</v>
      </c>
      <c r="BT67" s="133">
        <v>0</v>
      </c>
      <c r="BU67" s="133">
        <v>0</v>
      </c>
      <c r="BV67" s="133">
        <v>0</v>
      </c>
      <c r="BW67" s="133"/>
      <c r="BX67" s="133"/>
      <c r="BY67" s="133"/>
      <c r="BZ67" s="133"/>
      <c r="CA67" s="133"/>
      <c r="CB67" s="133"/>
      <c r="CC67" s="434"/>
    </row>
    <row r="68" spans="1:81" ht="46.15" outlineLevel="1">
      <c r="A68" s="433">
        <v>10</v>
      </c>
      <c r="B68" s="549" t="s">
        <v>2228</v>
      </c>
      <c r="C68" s="420" t="s">
        <v>2116</v>
      </c>
      <c r="D68" s="420" t="s">
        <v>2196</v>
      </c>
      <c r="E68" s="420" t="s">
        <v>49</v>
      </c>
      <c r="F68" s="431" t="s">
        <v>82</v>
      </c>
      <c r="G68" s="422"/>
      <c r="H68" s="420" t="s">
        <v>2216</v>
      </c>
      <c r="I68" s="420" t="s">
        <v>76</v>
      </c>
      <c r="J68" s="422">
        <v>2022</v>
      </c>
      <c r="K68" s="420" t="s">
        <v>2229</v>
      </c>
      <c r="L68" s="420" t="s">
        <v>3613</v>
      </c>
      <c r="M68" s="169">
        <f t="shared" si="109"/>
        <v>2000</v>
      </c>
      <c r="N68" s="169">
        <v>0</v>
      </c>
      <c r="O68" s="169">
        <v>0</v>
      </c>
      <c r="P68" s="169">
        <v>2000</v>
      </c>
      <c r="Q68" s="70" t="s">
        <v>2171</v>
      </c>
      <c r="R68" s="70" t="s">
        <v>2216</v>
      </c>
      <c r="S68" s="70" t="s">
        <v>2194</v>
      </c>
      <c r="T68" s="70" t="s">
        <v>2196</v>
      </c>
      <c r="U68" s="70">
        <f t="shared" si="110"/>
        <v>0</v>
      </c>
      <c r="V68" s="70">
        <v>0</v>
      </c>
      <c r="W68" s="70">
        <v>0</v>
      </c>
      <c r="X68" s="70">
        <v>0</v>
      </c>
      <c r="Y68" s="70">
        <f t="shared" si="111"/>
        <v>1800</v>
      </c>
      <c r="Z68" s="70">
        <v>0</v>
      </c>
      <c r="AA68" s="70">
        <v>0</v>
      </c>
      <c r="AB68" s="70">
        <f t="shared" si="112"/>
        <v>1800</v>
      </c>
      <c r="AC68" s="67">
        <f t="shared" si="8"/>
        <v>0</v>
      </c>
      <c r="AD68" s="70">
        <v>0</v>
      </c>
      <c r="AE68" s="70">
        <v>0</v>
      </c>
      <c r="AF68" s="70">
        <v>1800</v>
      </c>
      <c r="AG68" s="70">
        <v>0</v>
      </c>
      <c r="AH68" s="70">
        <f t="shared" si="123"/>
        <v>1800</v>
      </c>
      <c r="AI68" s="70">
        <v>0</v>
      </c>
      <c r="AJ68" s="70">
        <v>0</v>
      </c>
      <c r="AK68" s="70">
        <f t="shared" si="124"/>
        <v>1800</v>
      </c>
      <c r="AL68" s="70">
        <v>0</v>
      </c>
      <c r="AM68" s="70">
        <v>0</v>
      </c>
      <c r="AN68" s="70">
        <v>1800</v>
      </c>
      <c r="AO68" s="70">
        <v>0</v>
      </c>
      <c r="AP68" s="70">
        <f t="shared" si="125"/>
        <v>1800</v>
      </c>
      <c r="AQ68" s="70">
        <v>0</v>
      </c>
      <c r="AR68" s="70">
        <v>0</v>
      </c>
      <c r="AS68" s="70">
        <f t="shared" si="126"/>
        <v>1800</v>
      </c>
      <c r="AT68" s="70">
        <v>0</v>
      </c>
      <c r="AU68" s="70">
        <v>0</v>
      </c>
      <c r="AV68" s="70">
        <v>1800</v>
      </c>
      <c r="AW68" s="70">
        <v>0</v>
      </c>
      <c r="AX68" s="70">
        <f t="shared" si="117"/>
        <v>0</v>
      </c>
      <c r="AY68" s="70">
        <v>0</v>
      </c>
      <c r="AZ68" s="70">
        <v>0</v>
      </c>
      <c r="BA68" s="70">
        <f t="shared" si="118"/>
        <v>0</v>
      </c>
      <c r="BB68" s="67">
        <f t="shared" si="24"/>
        <v>0</v>
      </c>
      <c r="BC68" s="70">
        <v>0</v>
      </c>
      <c r="BD68" s="70">
        <v>0</v>
      </c>
      <c r="BE68" s="70">
        <v>0</v>
      </c>
      <c r="BF68" s="70">
        <v>0</v>
      </c>
      <c r="BG68" s="133">
        <f t="shared" si="119"/>
        <v>0</v>
      </c>
      <c r="BH68" s="133">
        <v>0</v>
      </c>
      <c r="BI68" s="133">
        <v>0</v>
      </c>
      <c r="BJ68" s="133">
        <f t="shared" si="120"/>
        <v>0</v>
      </c>
      <c r="BK68" s="133">
        <v>0</v>
      </c>
      <c r="BL68" s="133">
        <v>0</v>
      </c>
      <c r="BM68" s="133">
        <v>0</v>
      </c>
      <c r="BN68" s="133">
        <v>0</v>
      </c>
      <c r="BO68" s="133">
        <f t="shared" si="121"/>
        <v>0</v>
      </c>
      <c r="BP68" s="133">
        <v>0</v>
      </c>
      <c r="BQ68" s="133">
        <v>0</v>
      </c>
      <c r="BR68" s="133">
        <v>0</v>
      </c>
      <c r="BS68" s="133">
        <f t="shared" ref="BS68:BS71" si="127">SUM(BT68:BV68)</f>
        <v>0</v>
      </c>
      <c r="BT68" s="133">
        <v>0</v>
      </c>
      <c r="BU68" s="133">
        <v>0</v>
      </c>
      <c r="BV68" s="133">
        <v>0</v>
      </c>
      <c r="BW68" s="133"/>
      <c r="BX68" s="133"/>
      <c r="BY68" s="133"/>
      <c r="BZ68" s="133"/>
      <c r="CA68" s="133"/>
      <c r="CB68" s="133"/>
      <c r="CC68" s="434"/>
    </row>
    <row r="69" spans="1:81" ht="46.15" outlineLevel="1">
      <c r="A69" s="433">
        <v>11</v>
      </c>
      <c r="B69" s="549" t="s">
        <v>2210</v>
      </c>
      <c r="C69" s="420" t="s">
        <v>2116</v>
      </c>
      <c r="D69" s="420" t="s">
        <v>2196</v>
      </c>
      <c r="E69" s="420" t="s">
        <v>49</v>
      </c>
      <c r="F69" s="431" t="s">
        <v>48</v>
      </c>
      <c r="G69" s="422">
        <v>8055508</v>
      </c>
      <c r="H69" s="420" t="s">
        <v>2211</v>
      </c>
      <c r="I69" s="420" t="s">
        <v>54</v>
      </c>
      <c r="J69" s="422">
        <v>2023</v>
      </c>
      <c r="K69" s="420" t="s">
        <v>2212</v>
      </c>
      <c r="L69" s="420" t="s">
        <v>3614</v>
      </c>
      <c r="M69" s="169">
        <f t="shared" si="109"/>
        <v>4990</v>
      </c>
      <c r="N69" s="169">
        <v>1650</v>
      </c>
      <c r="O69" s="169">
        <v>0</v>
      </c>
      <c r="P69" s="169">
        <f>4990-1650</f>
        <v>3340</v>
      </c>
      <c r="Q69" s="70" t="s">
        <v>2213</v>
      </c>
      <c r="R69" s="70" t="s">
        <v>2211</v>
      </c>
      <c r="S69" s="70" t="s">
        <v>2194</v>
      </c>
      <c r="T69" s="70" t="s">
        <v>2196</v>
      </c>
      <c r="U69" s="70">
        <f t="shared" si="110"/>
        <v>0</v>
      </c>
      <c r="V69" s="70">
        <v>0</v>
      </c>
      <c r="W69" s="70">
        <v>0</v>
      </c>
      <c r="X69" s="70">
        <v>0</v>
      </c>
      <c r="Y69" s="70">
        <f t="shared" si="111"/>
        <v>4541.9668999999994</v>
      </c>
      <c r="Z69" s="70">
        <v>1650</v>
      </c>
      <c r="AA69" s="70">
        <v>0</v>
      </c>
      <c r="AB69" s="70">
        <f t="shared" si="112"/>
        <v>2891.9668999999999</v>
      </c>
      <c r="AC69" s="67">
        <f t="shared" si="8"/>
        <v>0</v>
      </c>
      <c r="AD69" s="70">
        <v>0</v>
      </c>
      <c r="AE69" s="70">
        <v>0</v>
      </c>
      <c r="AF69" s="70">
        <v>0</v>
      </c>
      <c r="AG69" s="70">
        <v>2891.9668999999999</v>
      </c>
      <c r="AH69" s="70">
        <f t="shared" si="123"/>
        <v>2891.9668999999999</v>
      </c>
      <c r="AI69" s="70">
        <v>0</v>
      </c>
      <c r="AJ69" s="70">
        <v>0</v>
      </c>
      <c r="AK69" s="70">
        <f t="shared" si="124"/>
        <v>2891.9668999999999</v>
      </c>
      <c r="AL69" s="70">
        <v>0</v>
      </c>
      <c r="AM69" s="70">
        <v>0</v>
      </c>
      <c r="AN69" s="70">
        <v>0</v>
      </c>
      <c r="AO69" s="70">
        <v>2891.9668999999999</v>
      </c>
      <c r="AP69" s="70">
        <f t="shared" si="125"/>
        <v>2891.9668999999999</v>
      </c>
      <c r="AQ69" s="70">
        <v>0</v>
      </c>
      <c r="AR69" s="70">
        <v>0</v>
      </c>
      <c r="AS69" s="70">
        <f t="shared" si="126"/>
        <v>2891.9668999999999</v>
      </c>
      <c r="AT69" s="70">
        <v>0</v>
      </c>
      <c r="AU69" s="70">
        <v>0</v>
      </c>
      <c r="AV69" s="70">
        <v>0</v>
      </c>
      <c r="AW69" s="70">
        <v>2891.9668999999999</v>
      </c>
      <c r="AX69" s="70">
        <f t="shared" si="117"/>
        <v>1650</v>
      </c>
      <c r="AY69" s="70">
        <v>1650</v>
      </c>
      <c r="AZ69" s="70">
        <v>0</v>
      </c>
      <c r="BA69" s="70">
        <f t="shared" si="118"/>
        <v>0</v>
      </c>
      <c r="BB69" s="67">
        <f t="shared" si="24"/>
        <v>0</v>
      </c>
      <c r="BC69" s="70">
        <v>0</v>
      </c>
      <c r="BD69" s="70">
        <v>0</v>
      </c>
      <c r="BE69" s="70"/>
      <c r="BF69" s="70">
        <v>0</v>
      </c>
      <c r="BG69" s="133">
        <f t="shared" si="119"/>
        <v>1659.069</v>
      </c>
      <c r="BH69" s="133">
        <v>1650</v>
      </c>
      <c r="BI69" s="133">
        <v>0</v>
      </c>
      <c r="BJ69" s="133">
        <f t="shared" si="120"/>
        <v>9.0690000000000008</v>
      </c>
      <c r="BK69" s="133">
        <v>0</v>
      </c>
      <c r="BL69" s="133">
        <v>0</v>
      </c>
      <c r="BM69" s="133">
        <v>9.0690000000000008</v>
      </c>
      <c r="BN69" s="133">
        <v>0</v>
      </c>
      <c r="BO69" s="133">
        <f t="shared" si="121"/>
        <v>0</v>
      </c>
      <c r="BP69" s="133">
        <v>0</v>
      </c>
      <c r="BQ69" s="133">
        <v>0</v>
      </c>
      <c r="BR69" s="133">
        <v>0</v>
      </c>
      <c r="BS69" s="133">
        <f t="shared" si="127"/>
        <v>0</v>
      </c>
      <c r="BT69" s="133">
        <v>0</v>
      </c>
      <c r="BU69" s="133">
        <v>0</v>
      </c>
      <c r="BV69" s="133">
        <v>0</v>
      </c>
      <c r="BW69" s="133"/>
      <c r="BX69" s="133"/>
      <c r="BY69" s="133"/>
      <c r="BZ69" s="133"/>
      <c r="CA69" s="133"/>
      <c r="CB69" s="133"/>
      <c r="CC69" s="434"/>
    </row>
    <row r="70" spans="1:81" ht="46.15" outlineLevel="1">
      <c r="A70" s="433">
        <v>12</v>
      </c>
      <c r="B70" s="549" t="s">
        <v>2230</v>
      </c>
      <c r="C70" s="420" t="s">
        <v>2116</v>
      </c>
      <c r="D70" s="420" t="s">
        <v>2196</v>
      </c>
      <c r="E70" s="420" t="s">
        <v>49</v>
      </c>
      <c r="F70" s="431" t="s">
        <v>105</v>
      </c>
      <c r="G70" s="422">
        <v>7969950</v>
      </c>
      <c r="H70" s="420" t="s">
        <v>2201</v>
      </c>
      <c r="I70" s="420" t="s">
        <v>52</v>
      </c>
      <c r="J70" s="422">
        <v>2022</v>
      </c>
      <c r="K70" s="420" t="s">
        <v>2231</v>
      </c>
      <c r="L70" s="420" t="s">
        <v>3615</v>
      </c>
      <c r="M70" s="169">
        <f t="shared" si="109"/>
        <v>3500</v>
      </c>
      <c r="N70" s="169">
        <v>0</v>
      </c>
      <c r="O70" s="169">
        <v>0</v>
      </c>
      <c r="P70" s="169">
        <v>3500</v>
      </c>
      <c r="Q70" s="70" t="s">
        <v>2232</v>
      </c>
      <c r="R70" s="70" t="s">
        <v>2201</v>
      </c>
      <c r="S70" s="70" t="s">
        <v>2194</v>
      </c>
      <c r="T70" s="70" t="s">
        <v>2196</v>
      </c>
      <c r="U70" s="70">
        <f t="shared" si="110"/>
        <v>0</v>
      </c>
      <c r="V70" s="70">
        <v>0</v>
      </c>
      <c r="W70" s="70">
        <v>0</v>
      </c>
      <c r="X70" s="70">
        <v>0</v>
      </c>
      <c r="Y70" s="70">
        <f t="shared" si="111"/>
        <v>3260.5070000000001</v>
      </c>
      <c r="Z70" s="70">
        <v>0</v>
      </c>
      <c r="AA70" s="70">
        <v>0</v>
      </c>
      <c r="AB70" s="70">
        <f t="shared" si="112"/>
        <v>3260.5070000000001</v>
      </c>
      <c r="AC70" s="67">
        <f t="shared" si="8"/>
        <v>0</v>
      </c>
      <c r="AD70" s="70"/>
      <c r="AE70" s="70">
        <v>0</v>
      </c>
      <c r="AF70" s="70">
        <v>0</v>
      </c>
      <c r="AG70" s="70">
        <v>3260.5070000000001</v>
      </c>
      <c r="AH70" s="70">
        <f t="shared" si="123"/>
        <v>3260.5070000000001</v>
      </c>
      <c r="AI70" s="70">
        <v>0</v>
      </c>
      <c r="AJ70" s="70">
        <v>0</v>
      </c>
      <c r="AK70" s="70">
        <f t="shared" si="124"/>
        <v>3260.5070000000001</v>
      </c>
      <c r="AL70" s="70"/>
      <c r="AM70" s="70">
        <v>0</v>
      </c>
      <c r="AN70" s="70">
        <v>0</v>
      </c>
      <c r="AO70" s="70">
        <v>3260.5070000000001</v>
      </c>
      <c r="AP70" s="70">
        <f t="shared" si="125"/>
        <v>3260.5070000000001</v>
      </c>
      <c r="AQ70" s="70">
        <v>0</v>
      </c>
      <c r="AR70" s="70">
        <v>0</v>
      </c>
      <c r="AS70" s="70">
        <f t="shared" si="126"/>
        <v>3260.5070000000001</v>
      </c>
      <c r="AT70" s="70"/>
      <c r="AU70" s="70">
        <v>0</v>
      </c>
      <c r="AV70" s="70">
        <v>0</v>
      </c>
      <c r="AW70" s="70">
        <v>3260.5070000000001</v>
      </c>
      <c r="AX70" s="70">
        <f t="shared" si="117"/>
        <v>0</v>
      </c>
      <c r="AY70" s="70">
        <v>0</v>
      </c>
      <c r="AZ70" s="70">
        <v>0</v>
      </c>
      <c r="BA70" s="70">
        <f t="shared" si="118"/>
        <v>0</v>
      </c>
      <c r="BB70" s="67">
        <f t="shared" si="24"/>
        <v>0</v>
      </c>
      <c r="BC70" s="70">
        <v>0</v>
      </c>
      <c r="BD70" s="70">
        <v>0</v>
      </c>
      <c r="BE70" s="70">
        <v>0</v>
      </c>
      <c r="BF70" s="70">
        <v>0</v>
      </c>
      <c r="BG70" s="133">
        <f t="shared" si="119"/>
        <v>0</v>
      </c>
      <c r="BH70" s="133">
        <v>0</v>
      </c>
      <c r="BI70" s="133">
        <v>0</v>
      </c>
      <c r="BJ70" s="133">
        <f t="shared" si="120"/>
        <v>0</v>
      </c>
      <c r="BK70" s="133">
        <v>0</v>
      </c>
      <c r="BL70" s="133">
        <v>0</v>
      </c>
      <c r="BM70" s="133">
        <v>0</v>
      </c>
      <c r="BN70" s="133">
        <v>0</v>
      </c>
      <c r="BO70" s="133">
        <f t="shared" si="121"/>
        <v>0</v>
      </c>
      <c r="BP70" s="133">
        <v>0</v>
      </c>
      <c r="BQ70" s="133">
        <v>0</v>
      </c>
      <c r="BR70" s="133">
        <v>0</v>
      </c>
      <c r="BS70" s="133">
        <f t="shared" si="127"/>
        <v>0</v>
      </c>
      <c r="BT70" s="133">
        <v>0</v>
      </c>
      <c r="BU70" s="133">
        <v>0</v>
      </c>
      <c r="BV70" s="133">
        <v>0</v>
      </c>
      <c r="BW70" s="133"/>
      <c r="BX70" s="133"/>
      <c r="BY70" s="133"/>
      <c r="BZ70" s="133"/>
      <c r="CA70" s="133"/>
      <c r="CB70" s="133"/>
      <c r="CC70" s="434"/>
    </row>
    <row r="71" spans="1:81" ht="123" outlineLevel="1">
      <c r="A71" s="433">
        <v>13</v>
      </c>
      <c r="B71" s="549" t="s">
        <v>2233</v>
      </c>
      <c r="C71" s="420" t="s">
        <v>1660</v>
      </c>
      <c r="D71" s="420" t="s">
        <v>2196</v>
      </c>
      <c r="E71" s="420" t="s">
        <v>49</v>
      </c>
      <c r="F71" s="431" t="s">
        <v>105</v>
      </c>
      <c r="G71" s="422"/>
      <c r="H71" s="420" t="s">
        <v>2201</v>
      </c>
      <c r="I71" s="420" t="s">
        <v>2234</v>
      </c>
      <c r="J71" s="422">
        <v>2024</v>
      </c>
      <c r="K71" s="420" t="s">
        <v>2235</v>
      </c>
      <c r="L71" s="420" t="s">
        <v>3616</v>
      </c>
      <c r="M71" s="169">
        <f t="shared" si="109"/>
        <v>4750</v>
      </c>
      <c r="N71" s="169">
        <v>0</v>
      </c>
      <c r="O71" s="169">
        <v>0</v>
      </c>
      <c r="P71" s="169">
        <v>4750</v>
      </c>
      <c r="Q71" s="70" t="s">
        <v>2236</v>
      </c>
      <c r="R71" s="70" t="s">
        <v>2201</v>
      </c>
      <c r="S71" s="169" t="s">
        <v>2194</v>
      </c>
      <c r="T71" s="70" t="s">
        <v>2196</v>
      </c>
      <c r="U71" s="70">
        <f t="shared" si="110"/>
        <v>0</v>
      </c>
      <c r="V71" s="70">
        <v>0</v>
      </c>
      <c r="W71" s="70">
        <v>0</v>
      </c>
      <c r="X71" s="70">
        <v>0</v>
      </c>
      <c r="Y71" s="70">
        <f t="shared" si="111"/>
        <v>212</v>
      </c>
      <c r="Z71" s="70">
        <v>0</v>
      </c>
      <c r="AA71" s="70">
        <v>0</v>
      </c>
      <c r="AB71" s="70">
        <f t="shared" si="112"/>
        <v>212</v>
      </c>
      <c r="AC71" s="67">
        <f t="shared" si="8"/>
        <v>0</v>
      </c>
      <c r="AD71" s="70"/>
      <c r="AE71" s="70">
        <v>0</v>
      </c>
      <c r="AF71" s="70">
        <v>0</v>
      </c>
      <c r="AG71" s="70">
        <v>212</v>
      </c>
      <c r="AH71" s="70">
        <f t="shared" si="123"/>
        <v>212</v>
      </c>
      <c r="AI71" s="70">
        <v>0</v>
      </c>
      <c r="AJ71" s="70">
        <v>0</v>
      </c>
      <c r="AK71" s="70">
        <f t="shared" si="124"/>
        <v>212</v>
      </c>
      <c r="AL71" s="70"/>
      <c r="AM71" s="70">
        <v>0</v>
      </c>
      <c r="AN71" s="70">
        <v>0</v>
      </c>
      <c r="AO71" s="70">
        <v>212</v>
      </c>
      <c r="AP71" s="70">
        <f t="shared" si="125"/>
        <v>212</v>
      </c>
      <c r="AQ71" s="70">
        <v>0</v>
      </c>
      <c r="AR71" s="70">
        <v>0</v>
      </c>
      <c r="AS71" s="70">
        <f t="shared" si="126"/>
        <v>212</v>
      </c>
      <c r="AT71" s="70"/>
      <c r="AU71" s="70">
        <v>0</v>
      </c>
      <c r="AV71" s="70">
        <v>0</v>
      </c>
      <c r="AW71" s="70">
        <v>212</v>
      </c>
      <c r="AX71" s="70">
        <f t="shared" si="117"/>
        <v>0</v>
      </c>
      <c r="AY71" s="70">
        <v>0</v>
      </c>
      <c r="AZ71" s="70">
        <v>0</v>
      </c>
      <c r="BA71" s="70">
        <f t="shared" si="118"/>
        <v>0</v>
      </c>
      <c r="BB71" s="67">
        <f t="shared" si="24"/>
        <v>0</v>
      </c>
      <c r="BC71" s="70">
        <v>0</v>
      </c>
      <c r="BD71" s="70">
        <v>0</v>
      </c>
      <c r="BE71" s="70">
        <v>0</v>
      </c>
      <c r="BF71" s="70">
        <v>0</v>
      </c>
      <c r="BG71" s="133">
        <f t="shared" si="119"/>
        <v>0</v>
      </c>
      <c r="BH71" s="133">
        <v>0</v>
      </c>
      <c r="BI71" s="133">
        <v>0</v>
      </c>
      <c r="BJ71" s="133">
        <f t="shared" si="120"/>
        <v>0</v>
      </c>
      <c r="BK71" s="133">
        <v>0</v>
      </c>
      <c r="BL71" s="133">
        <v>0</v>
      </c>
      <c r="BM71" s="133">
        <v>0</v>
      </c>
      <c r="BN71" s="133">
        <v>0</v>
      </c>
      <c r="BO71" s="133">
        <f t="shared" si="121"/>
        <v>0</v>
      </c>
      <c r="BP71" s="133">
        <v>0</v>
      </c>
      <c r="BQ71" s="133">
        <v>0</v>
      </c>
      <c r="BR71" s="133">
        <v>0</v>
      </c>
      <c r="BS71" s="133">
        <f t="shared" si="127"/>
        <v>0</v>
      </c>
      <c r="BT71" s="133">
        <v>0</v>
      </c>
      <c r="BU71" s="133">
        <v>0</v>
      </c>
      <c r="BV71" s="133">
        <v>0</v>
      </c>
      <c r="BW71" s="133"/>
      <c r="BX71" s="133"/>
      <c r="BY71" s="133"/>
      <c r="BZ71" s="133"/>
      <c r="CA71" s="133"/>
      <c r="CB71" s="133"/>
      <c r="CC71" s="434" t="s">
        <v>3649</v>
      </c>
    </row>
    <row r="72" spans="1:81" ht="20.100000000000001" customHeight="1" outlineLevel="1">
      <c r="A72" s="553" t="s">
        <v>45</v>
      </c>
      <c r="B72" s="489" t="s">
        <v>3668</v>
      </c>
      <c r="C72" s="420"/>
      <c r="D72" s="420"/>
      <c r="E72" s="420"/>
      <c r="F72" s="431"/>
      <c r="G72" s="422"/>
      <c r="H72" s="420"/>
      <c r="I72" s="420"/>
      <c r="J72" s="422"/>
      <c r="K72" s="420"/>
      <c r="L72" s="420"/>
      <c r="M72" s="169">
        <f>M73+M74</f>
        <v>8200</v>
      </c>
      <c r="N72" s="169">
        <f t="shared" ref="N72:BZ72" si="128">N73+N74</f>
        <v>0</v>
      </c>
      <c r="O72" s="169">
        <f t="shared" si="128"/>
        <v>0</v>
      </c>
      <c r="P72" s="169">
        <f t="shared" si="128"/>
        <v>8200</v>
      </c>
      <c r="Q72" s="169">
        <f t="shared" si="128"/>
        <v>0</v>
      </c>
      <c r="R72" s="169">
        <f t="shared" si="128"/>
        <v>0</v>
      </c>
      <c r="S72" s="169">
        <f t="shared" si="128"/>
        <v>0</v>
      </c>
      <c r="T72" s="169">
        <f t="shared" si="128"/>
        <v>0</v>
      </c>
      <c r="U72" s="169">
        <f t="shared" si="128"/>
        <v>0</v>
      </c>
      <c r="V72" s="169">
        <f t="shared" si="128"/>
        <v>0</v>
      </c>
      <c r="W72" s="169">
        <f t="shared" si="128"/>
        <v>0</v>
      </c>
      <c r="X72" s="169">
        <f t="shared" si="128"/>
        <v>0</v>
      </c>
      <c r="Y72" s="169">
        <f t="shared" si="128"/>
        <v>200</v>
      </c>
      <c r="Z72" s="169">
        <f t="shared" si="128"/>
        <v>0</v>
      </c>
      <c r="AA72" s="169">
        <f t="shared" si="128"/>
        <v>0</v>
      </c>
      <c r="AB72" s="169">
        <f t="shared" si="128"/>
        <v>200</v>
      </c>
      <c r="AC72" s="67">
        <f t="shared" si="8"/>
        <v>0</v>
      </c>
      <c r="AD72" s="169">
        <f t="shared" si="128"/>
        <v>0</v>
      </c>
      <c r="AE72" s="169">
        <f t="shared" si="128"/>
        <v>0</v>
      </c>
      <c r="AF72" s="169">
        <f t="shared" si="128"/>
        <v>200</v>
      </c>
      <c r="AG72" s="169">
        <f t="shared" si="128"/>
        <v>0</v>
      </c>
      <c r="AH72" s="169">
        <f t="shared" si="128"/>
        <v>0</v>
      </c>
      <c r="AI72" s="169">
        <f t="shared" si="128"/>
        <v>0</v>
      </c>
      <c r="AJ72" s="169">
        <f t="shared" si="128"/>
        <v>0</v>
      </c>
      <c r="AK72" s="169">
        <f t="shared" si="128"/>
        <v>200</v>
      </c>
      <c r="AL72" s="169">
        <f t="shared" si="128"/>
        <v>0</v>
      </c>
      <c r="AM72" s="169">
        <f t="shared" si="128"/>
        <v>0</v>
      </c>
      <c r="AN72" s="169">
        <f t="shared" si="128"/>
        <v>200</v>
      </c>
      <c r="AO72" s="169">
        <f t="shared" si="128"/>
        <v>0</v>
      </c>
      <c r="AP72" s="169">
        <f t="shared" si="128"/>
        <v>0</v>
      </c>
      <c r="AQ72" s="169">
        <f t="shared" si="128"/>
        <v>0</v>
      </c>
      <c r="AR72" s="169">
        <f t="shared" si="128"/>
        <v>0</v>
      </c>
      <c r="AS72" s="169">
        <f t="shared" si="128"/>
        <v>200</v>
      </c>
      <c r="AT72" s="169">
        <f t="shared" si="128"/>
        <v>0</v>
      </c>
      <c r="AU72" s="169">
        <f t="shared" si="128"/>
        <v>0</v>
      </c>
      <c r="AV72" s="169">
        <f t="shared" si="128"/>
        <v>200</v>
      </c>
      <c r="AW72" s="169">
        <f t="shared" si="128"/>
        <v>0</v>
      </c>
      <c r="AX72" s="169">
        <f t="shared" si="128"/>
        <v>0</v>
      </c>
      <c r="AY72" s="169">
        <f t="shared" si="128"/>
        <v>0</v>
      </c>
      <c r="AZ72" s="169">
        <f t="shared" si="128"/>
        <v>0</v>
      </c>
      <c r="BA72" s="169">
        <f t="shared" si="128"/>
        <v>0</v>
      </c>
      <c r="BB72" s="67">
        <f t="shared" si="24"/>
        <v>0</v>
      </c>
      <c r="BC72" s="169">
        <f t="shared" si="128"/>
        <v>0</v>
      </c>
      <c r="BD72" s="169">
        <f t="shared" si="128"/>
        <v>0</v>
      </c>
      <c r="BE72" s="169">
        <f t="shared" si="128"/>
        <v>0</v>
      </c>
      <c r="BF72" s="169">
        <f t="shared" si="128"/>
        <v>0</v>
      </c>
      <c r="BG72" s="206">
        <f t="shared" si="128"/>
        <v>0</v>
      </c>
      <c r="BH72" s="206">
        <f t="shared" si="128"/>
        <v>0</v>
      </c>
      <c r="BI72" s="206">
        <f t="shared" si="128"/>
        <v>0</v>
      </c>
      <c r="BJ72" s="206">
        <f t="shared" si="128"/>
        <v>0</v>
      </c>
      <c r="BK72" s="206">
        <f t="shared" si="128"/>
        <v>0</v>
      </c>
      <c r="BL72" s="206">
        <f t="shared" si="128"/>
        <v>0</v>
      </c>
      <c r="BM72" s="206">
        <f t="shared" si="128"/>
        <v>0</v>
      </c>
      <c r="BN72" s="206">
        <f t="shared" si="128"/>
        <v>0</v>
      </c>
      <c r="BO72" s="206">
        <f t="shared" si="128"/>
        <v>0</v>
      </c>
      <c r="BP72" s="206">
        <f t="shared" si="128"/>
        <v>0</v>
      </c>
      <c r="BQ72" s="206">
        <f t="shared" si="128"/>
        <v>0</v>
      </c>
      <c r="BR72" s="206">
        <f t="shared" si="128"/>
        <v>0</v>
      </c>
      <c r="BS72" s="206">
        <f t="shared" si="128"/>
        <v>0</v>
      </c>
      <c r="BT72" s="206">
        <f t="shared" si="128"/>
        <v>0</v>
      </c>
      <c r="BU72" s="206">
        <f t="shared" si="128"/>
        <v>0</v>
      </c>
      <c r="BV72" s="206">
        <f t="shared" si="128"/>
        <v>0</v>
      </c>
      <c r="BW72" s="206">
        <f t="shared" si="128"/>
        <v>0</v>
      </c>
      <c r="BX72" s="206">
        <f t="shared" si="128"/>
        <v>0</v>
      </c>
      <c r="BY72" s="206">
        <f t="shared" si="128"/>
        <v>0</v>
      </c>
      <c r="BZ72" s="206">
        <f t="shared" si="128"/>
        <v>0</v>
      </c>
      <c r="CA72" s="133"/>
      <c r="CB72" s="133"/>
      <c r="CC72" s="433"/>
    </row>
    <row r="73" spans="1:81" ht="30.75" outlineLevel="1">
      <c r="A73" s="433">
        <v>1</v>
      </c>
      <c r="B73" s="549" t="s">
        <v>2237</v>
      </c>
      <c r="C73" s="420" t="s">
        <v>2238</v>
      </c>
      <c r="D73" s="420" t="s">
        <v>2196</v>
      </c>
      <c r="E73" s="420" t="s">
        <v>49</v>
      </c>
      <c r="F73" s="420"/>
      <c r="G73" s="420"/>
      <c r="H73" s="420" t="s">
        <v>2216</v>
      </c>
      <c r="I73" s="420" t="s">
        <v>52</v>
      </c>
      <c r="J73" s="420"/>
      <c r="K73" s="420"/>
      <c r="L73" s="420" t="s">
        <v>2219</v>
      </c>
      <c r="M73" s="169">
        <v>4100</v>
      </c>
      <c r="N73" s="169"/>
      <c r="O73" s="169"/>
      <c r="P73" s="169">
        <v>4100</v>
      </c>
      <c r="Q73" s="70"/>
      <c r="R73" s="70"/>
      <c r="S73" s="169"/>
      <c r="T73" s="70"/>
      <c r="U73" s="70"/>
      <c r="V73" s="67"/>
      <c r="W73" s="67"/>
      <c r="X73" s="67"/>
      <c r="Y73" s="70">
        <f>SUM(Z73:AB73)</f>
        <v>100</v>
      </c>
      <c r="Z73" s="70"/>
      <c r="AA73" s="70"/>
      <c r="AB73" s="70">
        <f>SUM(AD73:AG73)</f>
        <v>100</v>
      </c>
      <c r="AC73" s="67">
        <f t="shared" si="8"/>
        <v>0</v>
      </c>
      <c r="AD73" s="70"/>
      <c r="AE73" s="67"/>
      <c r="AF73" s="70">
        <v>100</v>
      </c>
      <c r="AG73" s="67"/>
      <c r="AH73" s="67"/>
      <c r="AI73" s="67"/>
      <c r="AJ73" s="67"/>
      <c r="AK73" s="70">
        <f>SUM(AL73:AO73)</f>
        <v>100</v>
      </c>
      <c r="AL73" s="67"/>
      <c r="AM73" s="67"/>
      <c r="AN73" s="70">
        <v>100</v>
      </c>
      <c r="AO73" s="67"/>
      <c r="AP73" s="67"/>
      <c r="AQ73" s="67"/>
      <c r="AR73" s="67"/>
      <c r="AS73" s="70">
        <f>SUM(AT73:AW73)</f>
        <v>100</v>
      </c>
      <c r="AT73" s="67"/>
      <c r="AU73" s="67"/>
      <c r="AV73" s="70">
        <v>100</v>
      </c>
      <c r="AW73" s="67"/>
      <c r="AX73" s="67"/>
      <c r="AY73" s="67"/>
      <c r="AZ73" s="67"/>
      <c r="BA73" s="67"/>
      <c r="BB73" s="67">
        <f t="shared" si="24"/>
        <v>0</v>
      </c>
      <c r="BC73" s="67"/>
      <c r="BD73" s="67"/>
      <c r="BE73" s="67"/>
      <c r="BF73" s="67"/>
      <c r="BG73" s="207"/>
      <c r="BH73" s="207"/>
      <c r="BI73" s="207"/>
      <c r="BJ73" s="207"/>
      <c r="BK73" s="207"/>
      <c r="BL73" s="207"/>
      <c r="BM73" s="207"/>
      <c r="BN73" s="207"/>
      <c r="BO73" s="207"/>
      <c r="BP73" s="207"/>
      <c r="BQ73" s="207"/>
      <c r="BR73" s="207"/>
      <c r="BS73" s="207"/>
      <c r="BT73" s="207"/>
      <c r="BU73" s="207"/>
      <c r="BV73" s="207"/>
      <c r="BW73" s="207"/>
      <c r="BX73" s="207"/>
      <c r="BY73" s="207"/>
      <c r="BZ73" s="207"/>
      <c r="CA73" s="207"/>
      <c r="CB73" s="207"/>
      <c r="CC73" s="555"/>
    </row>
    <row r="74" spans="1:81" ht="30.75" outlineLevel="1">
      <c r="A74" s="433">
        <v>2</v>
      </c>
      <c r="B74" s="549" t="s">
        <v>2239</v>
      </c>
      <c r="C74" s="420" t="s">
        <v>2238</v>
      </c>
      <c r="D74" s="420" t="s">
        <v>2196</v>
      </c>
      <c r="E74" s="420" t="s">
        <v>49</v>
      </c>
      <c r="F74" s="420"/>
      <c r="G74" s="420"/>
      <c r="H74" s="420" t="s">
        <v>2216</v>
      </c>
      <c r="I74" s="420" t="s">
        <v>76</v>
      </c>
      <c r="J74" s="420"/>
      <c r="K74" s="420"/>
      <c r="L74" s="420" t="s">
        <v>2229</v>
      </c>
      <c r="M74" s="169">
        <v>4100</v>
      </c>
      <c r="N74" s="169"/>
      <c r="O74" s="169"/>
      <c r="P74" s="169">
        <v>4100</v>
      </c>
      <c r="Q74" s="70"/>
      <c r="R74" s="70"/>
      <c r="S74" s="169"/>
      <c r="T74" s="70"/>
      <c r="U74" s="70"/>
      <c r="V74" s="67"/>
      <c r="W74" s="67"/>
      <c r="X74" s="67"/>
      <c r="Y74" s="70">
        <f t="shared" ref="Y74" si="129">SUM(Z74:AB74)</f>
        <v>100</v>
      </c>
      <c r="Z74" s="70"/>
      <c r="AA74" s="70"/>
      <c r="AB74" s="70">
        <f t="shared" ref="AB74" si="130">SUM(AD74:AG74)</f>
        <v>100</v>
      </c>
      <c r="AC74" s="67">
        <f t="shared" si="8"/>
        <v>0</v>
      </c>
      <c r="AD74" s="70"/>
      <c r="AE74" s="67"/>
      <c r="AF74" s="70">
        <v>100</v>
      </c>
      <c r="AG74" s="67"/>
      <c r="AH74" s="67"/>
      <c r="AI74" s="67"/>
      <c r="AJ74" s="67"/>
      <c r="AK74" s="70">
        <f t="shared" ref="AK74" si="131">SUM(AL74:AO74)</f>
        <v>100</v>
      </c>
      <c r="AL74" s="67"/>
      <c r="AM74" s="67"/>
      <c r="AN74" s="70">
        <v>100</v>
      </c>
      <c r="AO74" s="67"/>
      <c r="AP74" s="67"/>
      <c r="AQ74" s="67"/>
      <c r="AR74" s="67"/>
      <c r="AS74" s="70">
        <f t="shared" ref="AS74" si="132">SUM(AT74:AW74)</f>
        <v>100</v>
      </c>
      <c r="AT74" s="67"/>
      <c r="AU74" s="67"/>
      <c r="AV74" s="70">
        <v>100</v>
      </c>
      <c r="AW74" s="67"/>
      <c r="AX74" s="67"/>
      <c r="AY74" s="67"/>
      <c r="AZ74" s="67"/>
      <c r="BA74" s="67"/>
      <c r="BB74" s="67">
        <f t="shared" si="24"/>
        <v>0</v>
      </c>
      <c r="BC74" s="67"/>
      <c r="BD74" s="67"/>
      <c r="BE74" s="67"/>
      <c r="BF74" s="67"/>
      <c r="BG74" s="207"/>
      <c r="BH74" s="207"/>
      <c r="BI74" s="207"/>
      <c r="BJ74" s="207"/>
      <c r="BK74" s="207"/>
      <c r="BL74" s="207"/>
      <c r="BM74" s="207"/>
      <c r="BN74" s="207"/>
      <c r="BO74" s="207"/>
      <c r="BP74" s="207"/>
      <c r="BQ74" s="207"/>
      <c r="BR74" s="207"/>
      <c r="BS74" s="207"/>
      <c r="BT74" s="207"/>
      <c r="BU74" s="207"/>
      <c r="BV74" s="207"/>
      <c r="BW74" s="207"/>
      <c r="BX74" s="207"/>
      <c r="BY74" s="207"/>
      <c r="BZ74" s="207"/>
      <c r="CA74" s="207"/>
      <c r="CB74" s="207"/>
      <c r="CC74" s="555"/>
    </row>
    <row r="75" spans="1:81" ht="28.5" customHeight="1">
      <c r="A75" s="551" t="s">
        <v>14</v>
      </c>
      <c r="B75" s="551" t="s">
        <v>2112</v>
      </c>
      <c r="C75" s="552"/>
      <c r="D75" s="485"/>
      <c r="E75" s="552"/>
      <c r="F75" s="552"/>
      <c r="G75" s="552"/>
      <c r="H75" s="552"/>
      <c r="I75" s="552"/>
      <c r="J75" s="552"/>
      <c r="K75" s="552"/>
      <c r="L75" s="552"/>
      <c r="M75" s="209">
        <f t="shared" ref="M75:BX75" si="133">M76+M84+M98</f>
        <v>56964</v>
      </c>
      <c r="N75" s="209">
        <f t="shared" si="133"/>
        <v>0</v>
      </c>
      <c r="O75" s="209">
        <f t="shared" si="133"/>
        <v>0</v>
      </c>
      <c r="P75" s="209">
        <f t="shared" si="133"/>
        <v>56964</v>
      </c>
      <c r="Q75" s="209">
        <f t="shared" si="133"/>
        <v>0</v>
      </c>
      <c r="R75" s="209">
        <f t="shared" si="133"/>
        <v>0</v>
      </c>
      <c r="S75" s="209">
        <f t="shared" si="133"/>
        <v>0</v>
      </c>
      <c r="T75" s="209">
        <f t="shared" si="133"/>
        <v>0</v>
      </c>
      <c r="U75" s="209">
        <f t="shared" si="133"/>
        <v>50</v>
      </c>
      <c r="V75" s="209">
        <f t="shared" si="133"/>
        <v>0</v>
      </c>
      <c r="W75" s="209">
        <f t="shared" si="133"/>
        <v>0</v>
      </c>
      <c r="X75" s="209">
        <f>X76+X84+X98</f>
        <v>50</v>
      </c>
      <c r="Y75" s="209">
        <f t="shared" si="133"/>
        <v>34214.411</v>
      </c>
      <c r="Z75" s="209">
        <f t="shared" si="133"/>
        <v>2360</v>
      </c>
      <c r="AA75" s="209">
        <f t="shared" si="133"/>
        <v>0</v>
      </c>
      <c r="AB75" s="209">
        <f t="shared" si="133"/>
        <v>31854.411</v>
      </c>
      <c r="AC75" s="209">
        <f t="shared" si="133"/>
        <v>16873.684000000001</v>
      </c>
      <c r="AD75" s="209">
        <f t="shared" si="133"/>
        <v>14862.683999999999</v>
      </c>
      <c r="AE75" s="209">
        <f t="shared" si="133"/>
        <v>2011</v>
      </c>
      <c r="AF75" s="209">
        <f t="shared" si="133"/>
        <v>11642.554</v>
      </c>
      <c r="AG75" s="209">
        <f t="shared" si="133"/>
        <v>3338.1729999999998</v>
      </c>
      <c r="AH75" s="209">
        <f t="shared" si="133"/>
        <v>34179.550999999999</v>
      </c>
      <c r="AI75" s="209">
        <f t="shared" si="133"/>
        <v>2360</v>
      </c>
      <c r="AJ75" s="209">
        <f t="shared" si="133"/>
        <v>0</v>
      </c>
      <c r="AK75" s="209">
        <f t="shared" si="133"/>
        <v>32119.550999999999</v>
      </c>
      <c r="AL75" s="209">
        <f t="shared" si="133"/>
        <v>14495.822999999999</v>
      </c>
      <c r="AM75" s="209">
        <f t="shared" si="133"/>
        <v>2011</v>
      </c>
      <c r="AN75" s="209">
        <f t="shared" si="133"/>
        <v>12079.090999999999</v>
      </c>
      <c r="AO75" s="209">
        <f t="shared" si="133"/>
        <v>3533.6369999999997</v>
      </c>
      <c r="AP75" s="209">
        <f t="shared" si="133"/>
        <v>34175.163117999997</v>
      </c>
      <c r="AQ75" s="209">
        <f t="shared" si="133"/>
        <v>2360</v>
      </c>
      <c r="AR75" s="209">
        <f t="shared" si="133"/>
        <v>0</v>
      </c>
      <c r="AS75" s="209">
        <f t="shared" si="133"/>
        <v>32115.163118</v>
      </c>
      <c r="AT75" s="209">
        <f t="shared" si="133"/>
        <v>14491.435117999998</v>
      </c>
      <c r="AU75" s="209">
        <f t="shared" si="133"/>
        <v>2011</v>
      </c>
      <c r="AV75" s="209">
        <f t="shared" si="133"/>
        <v>12079.090999999999</v>
      </c>
      <c r="AW75" s="209">
        <f t="shared" si="133"/>
        <v>3533.6369999999997</v>
      </c>
      <c r="AX75" s="209">
        <f t="shared" si="133"/>
        <v>361.85500000000002</v>
      </c>
      <c r="AY75" s="209">
        <f t="shared" si="133"/>
        <v>0</v>
      </c>
      <c r="AZ75" s="209">
        <f t="shared" si="133"/>
        <v>0</v>
      </c>
      <c r="BA75" s="209">
        <f t="shared" si="133"/>
        <v>361.85500000000002</v>
      </c>
      <c r="BB75" s="209">
        <f t="shared" si="133"/>
        <v>360</v>
      </c>
      <c r="BC75" s="209">
        <f t="shared" si="133"/>
        <v>360</v>
      </c>
      <c r="BD75" s="209">
        <f t="shared" si="133"/>
        <v>0</v>
      </c>
      <c r="BE75" s="209">
        <f t="shared" si="133"/>
        <v>1.855</v>
      </c>
      <c r="BF75" s="209">
        <f t="shared" si="133"/>
        <v>0</v>
      </c>
      <c r="BG75" s="209">
        <f t="shared" si="133"/>
        <v>361.85500000000002</v>
      </c>
      <c r="BH75" s="209">
        <f t="shared" si="133"/>
        <v>0</v>
      </c>
      <c r="BI75" s="209">
        <f t="shared" si="133"/>
        <v>0</v>
      </c>
      <c r="BJ75" s="209">
        <f t="shared" si="133"/>
        <v>361.85500000000002</v>
      </c>
      <c r="BK75" s="209">
        <f t="shared" si="133"/>
        <v>360</v>
      </c>
      <c r="BL75" s="209">
        <f t="shared" si="133"/>
        <v>0</v>
      </c>
      <c r="BM75" s="209">
        <f t="shared" si="133"/>
        <v>1.855</v>
      </c>
      <c r="BN75" s="209">
        <f t="shared" si="133"/>
        <v>0</v>
      </c>
      <c r="BO75" s="209">
        <f t="shared" si="133"/>
        <v>4.3878820000000003</v>
      </c>
      <c r="BP75" s="209">
        <f t="shared" si="133"/>
        <v>0</v>
      </c>
      <c r="BQ75" s="209">
        <f t="shared" si="133"/>
        <v>0</v>
      </c>
      <c r="BR75" s="209">
        <f t="shared" si="133"/>
        <v>4.3878820000000003</v>
      </c>
      <c r="BS75" s="209">
        <f t="shared" si="133"/>
        <v>0</v>
      </c>
      <c r="BT75" s="209">
        <f t="shared" si="133"/>
        <v>0</v>
      </c>
      <c r="BU75" s="209">
        <f t="shared" si="133"/>
        <v>0</v>
      </c>
      <c r="BV75" s="209">
        <f t="shared" si="133"/>
        <v>0</v>
      </c>
      <c r="BW75" s="209">
        <f t="shared" si="133"/>
        <v>0</v>
      </c>
      <c r="BX75" s="209">
        <f t="shared" si="133"/>
        <v>0</v>
      </c>
      <c r="BY75" s="209">
        <f t="shared" ref="BY75:CB75" si="134">BY76+BY84+BY98</f>
        <v>0</v>
      </c>
      <c r="BZ75" s="209">
        <f t="shared" si="134"/>
        <v>0</v>
      </c>
      <c r="CA75" s="209">
        <f t="shared" si="134"/>
        <v>0</v>
      </c>
      <c r="CB75" s="235">
        <f t="shared" si="134"/>
        <v>4.3878820000000003</v>
      </c>
      <c r="CC75" s="552"/>
    </row>
    <row r="76" spans="1:81" ht="20.100000000000001" customHeight="1" outlineLevel="1">
      <c r="A76" s="553" t="s">
        <v>45</v>
      </c>
      <c r="B76" s="551" t="s">
        <v>46</v>
      </c>
      <c r="C76" s="552"/>
      <c r="D76" s="485"/>
      <c r="E76" s="552"/>
      <c r="F76" s="552"/>
      <c r="G76" s="552"/>
      <c r="H76" s="552"/>
      <c r="I76" s="552"/>
      <c r="J76" s="552"/>
      <c r="K76" s="552"/>
      <c r="L76" s="552"/>
      <c r="M76" s="209">
        <f>SUM(M77:M83)</f>
        <v>13557</v>
      </c>
      <c r="N76" s="209">
        <f t="shared" ref="N76:BZ76" si="135">SUM(N77:N83)</f>
        <v>0</v>
      </c>
      <c r="O76" s="209">
        <f t="shared" si="135"/>
        <v>0</v>
      </c>
      <c r="P76" s="209">
        <f t="shared" si="135"/>
        <v>13557</v>
      </c>
      <c r="Q76" s="209">
        <f t="shared" si="135"/>
        <v>0</v>
      </c>
      <c r="R76" s="209">
        <f t="shared" si="135"/>
        <v>0</v>
      </c>
      <c r="S76" s="209">
        <f t="shared" si="135"/>
        <v>0</v>
      </c>
      <c r="T76" s="209">
        <f t="shared" si="135"/>
        <v>0</v>
      </c>
      <c r="U76" s="209">
        <f t="shared" si="135"/>
        <v>0</v>
      </c>
      <c r="V76" s="209">
        <f t="shared" si="135"/>
        <v>0</v>
      </c>
      <c r="W76" s="209">
        <f t="shared" si="135"/>
        <v>0</v>
      </c>
      <c r="X76" s="209">
        <f t="shared" si="135"/>
        <v>0</v>
      </c>
      <c r="Y76" s="209">
        <f t="shared" si="135"/>
        <v>453.69900000000001</v>
      </c>
      <c r="Z76" s="209">
        <f t="shared" si="135"/>
        <v>0</v>
      </c>
      <c r="AA76" s="209">
        <f t="shared" si="135"/>
        <v>0</v>
      </c>
      <c r="AB76" s="209">
        <f t="shared" si="135"/>
        <v>453.69900000000001</v>
      </c>
      <c r="AC76" s="67">
        <f t="shared" si="8"/>
        <v>0</v>
      </c>
      <c r="AD76" s="209">
        <f t="shared" si="135"/>
        <v>0</v>
      </c>
      <c r="AE76" s="209">
        <f t="shared" si="135"/>
        <v>0</v>
      </c>
      <c r="AF76" s="209">
        <f>SUM(AF77:AF83)</f>
        <v>453.69900000000001</v>
      </c>
      <c r="AG76" s="209">
        <f t="shared" si="135"/>
        <v>0</v>
      </c>
      <c r="AH76" s="209">
        <f t="shared" si="135"/>
        <v>451.84399999999999</v>
      </c>
      <c r="AI76" s="209">
        <f t="shared" si="135"/>
        <v>0</v>
      </c>
      <c r="AJ76" s="209">
        <f t="shared" si="135"/>
        <v>0</v>
      </c>
      <c r="AK76" s="209">
        <f t="shared" si="135"/>
        <v>451.84399999999999</v>
      </c>
      <c r="AL76" s="209">
        <f t="shared" si="135"/>
        <v>0</v>
      </c>
      <c r="AM76" s="209">
        <f t="shared" si="135"/>
        <v>0</v>
      </c>
      <c r="AN76" s="209">
        <f t="shared" si="135"/>
        <v>451.84399999999999</v>
      </c>
      <c r="AO76" s="209">
        <f t="shared" si="135"/>
        <v>0</v>
      </c>
      <c r="AP76" s="209">
        <f t="shared" si="135"/>
        <v>451.84399999999999</v>
      </c>
      <c r="AQ76" s="209">
        <f t="shared" si="135"/>
        <v>0</v>
      </c>
      <c r="AR76" s="209">
        <f t="shared" si="135"/>
        <v>0</v>
      </c>
      <c r="AS76" s="209">
        <f t="shared" si="135"/>
        <v>451.84399999999999</v>
      </c>
      <c r="AT76" s="209">
        <f t="shared" si="135"/>
        <v>0</v>
      </c>
      <c r="AU76" s="209">
        <f t="shared" si="135"/>
        <v>0</v>
      </c>
      <c r="AV76" s="209">
        <f t="shared" si="135"/>
        <v>451.84399999999999</v>
      </c>
      <c r="AW76" s="209">
        <f t="shared" si="135"/>
        <v>0</v>
      </c>
      <c r="AX76" s="209">
        <f t="shared" si="135"/>
        <v>1.855</v>
      </c>
      <c r="AY76" s="209">
        <f t="shared" si="135"/>
        <v>0</v>
      </c>
      <c r="AZ76" s="209">
        <f t="shared" si="135"/>
        <v>0</v>
      </c>
      <c r="BA76" s="209">
        <f t="shared" si="135"/>
        <v>1.855</v>
      </c>
      <c r="BB76" s="67">
        <f t="shared" si="24"/>
        <v>0</v>
      </c>
      <c r="BC76" s="209">
        <f t="shared" si="135"/>
        <v>0</v>
      </c>
      <c r="BD76" s="209">
        <f t="shared" si="135"/>
        <v>0</v>
      </c>
      <c r="BE76" s="209">
        <f t="shared" si="135"/>
        <v>1.855</v>
      </c>
      <c r="BF76" s="209">
        <f t="shared" si="135"/>
        <v>0</v>
      </c>
      <c r="BG76" s="209">
        <f t="shared" si="135"/>
        <v>1.855</v>
      </c>
      <c r="BH76" s="209">
        <f t="shared" si="135"/>
        <v>0</v>
      </c>
      <c r="BI76" s="209">
        <f t="shared" si="135"/>
        <v>0</v>
      </c>
      <c r="BJ76" s="209">
        <f t="shared" si="135"/>
        <v>1.855</v>
      </c>
      <c r="BK76" s="209">
        <f t="shared" si="135"/>
        <v>0</v>
      </c>
      <c r="BL76" s="209">
        <f t="shared" si="135"/>
        <v>0</v>
      </c>
      <c r="BM76" s="209">
        <f t="shared" si="135"/>
        <v>1.855</v>
      </c>
      <c r="BN76" s="209">
        <f t="shared" si="135"/>
        <v>0</v>
      </c>
      <c r="BO76" s="209">
        <f t="shared" si="135"/>
        <v>0</v>
      </c>
      <c r="BP76" s="209">
        <f t="shared" si="135"/>
        <v>0</v>
      </c>
      <c r="BQ76" s="209">
        <f t="shared" si="135"/>
        <v>0</v>
      </c>
      <c r="BR76" s="209">
        <f t="shared" si="135"/>
        <v>0</v>
      </c>
      <c r="BS76" s="209">
        <f t="shared" si="135"/>
        <v>0</v>
      </c>
      <c r="BT76" s="209">
        <f t="shared" si="135"/>
        <v>0</v>
      </c>
      <c r="BU76" s="209">
        <f t="shared" si="135"/>
        <v>0</v>
      </c>
      <c r="BV76" s="209">
        <f t="shared" si="135"/>
        <v>0</v>
      </c>
      <c r="BW76" s="209">
        <f t="shared" si="135"/>
        <v>0</v>
      </c>
      <c r="BX76" s="209">
        <f t="shared" si="135"/>
        <v>0</v>
      </c>
      <c r="BY76" s="209">
        <f t="shared" si="135"/>
        <v>0</v>
      </c>
      <c r="BZ76" s="209">
        <f t="shared" si="135"/>
        <v>0</v>
      </c>
      <c r="CA76" s="209">
        <f t="shared" ref="CA76:CB76" si="136">SUM(CA77:CA83)</f>
        <v>0</v>
      </c>
      <c r="CB76" s="209">
        <f t="shared" si="136"/>
        <v>0</v>
      </c>
      <c r="CC76" s="552"/>
    </row>
    <row r="77" spans="1:81" ht="109.5" customHeight="1" outlineLevel="1">
      <c r="A77" s="433">
        <v>1</v>
      </c>
      <c r="B77" s="549" t="s">
        <v>2240</v>
      </c>
      <c r="C77" s="420" t="s">
        <v>2116</v>
      </c>
      <c r="D77" s="420" t="s">
        <v>2113</v>
      </c>
      <c r="E77" s="420" t="s">
        <v>49</v>
      </c>
      <c r="F77" s="431" t="s">
        <v>105</v>
      </c>
      <c r="G77" s="422">
        <v>7939770</v>
      </c>
      <c r="H77" s="420" t="s">
        <v>2112</v>
      </c>
      <c r="I77" s="420" t="s">
        <v>52</v>
      </c>
      <c r="J77" s="422">
        <v>2021</v>
      </c>
      <c r="K77" s="420" t="s">
        <v>2241</v>
      </c>
      <c r="L77" s="420" t="s">
        <v>3617</v>
      </c>
      <c r="M77" s="169">
        <f t="shared" ref="M77:M83" si="137">SUM(N77:P77)</f>
        <v>7500</v>
      </c>
      <c r="N77" s="169">
        <v>0</v>
      </c>
      <c r="O77" s="169">
        <v>0</v>
      </c>
      <c r="P77" s="169">
        <v>7500</v>
      </c>
      <c r="Q77" s="70" t="s">
        <v>2242</v>
      </c>
      <c r="R77" s="70" t="s">
        <v>2112</v>
      </c>
      <c r="S77" s="169" t="s">
        <v>2112</v>
      </c>
      <c r="T77" s="70" t="s">
        <v>2113</v>
      </c>
      <c r="U77" s="70">
        <f t="shared" ref="U77:U83" si="138">SUM(V77:X77)</f>
        <v>0</v>
      </c>
      <c r="V77" s="70">
        <v>0</v>
      </c>
      <c r="W77" s="70">
        <v>0</v>
      </c>
      <c r="X77" s="70">
        <v>0</v>
      </c>
      <c r="Y77" s="70">
        <f t="shared" ref="Y77:Y83" si="139">SUM(Z77:AB77)</f>
        <v>1.792</v>
      </c>
      <c r="Z77" s="70">
        <v>0</v>
      </c>
      <c r="AA77" s="70">
        <v>0</v>
      </c>
      <c r="AB77" s="70">
        <f t="shared" ref="AB77:AB83" si="140">SUM(AD77:AG77)</f>
        <v>1.792</v>
      </c>
      <c r="AC77" s="67">
        <f t="shared" si="8"/>
        <v>0</v>
      </c>
      <c r="AD77" s="70">
        <v>0</v>
      </c>
      <c r="AE77" s="70">
        <v>0</v>
      </c>
      <c r="AF77" s="70">
        <v>1.792</v>
      </c>
      <c r="AG77" s="70">
        <v>0</v>
      </c>
      <c r="AH77" s="70">
        <f t="shared" ref="AH77:AH83" si="141">SUM(AI77:AK77)</f>
        <v>1.792</v>
      </c>
      <c r="AI77" s="70">
        <v>0</v>
      </c>
      <c r="AJ77" s="70">
        <v>0</v>
      </c>
      <c r="AK77" s="70">
        <f t="shared" ref="AK77:AK83" si="142">SUM(AL77:AO77)</f>
        <v>1.792</v>
      </c>
      <c r="AL77" s="70">
        <v>0</v>
      </c>
      <c r="AM77" s="70">
        <v>0</v>
      </c>
      <c r="AN77" s="70">
        <v>1.792</v>
      </c>
      <c r="AO77" s="70">
        <v>0</v>
      </c>
      <c r="AP77" s="70">
        <f t="shared" ref="AP77:AP83" si="143">SUM(AQ77:AS77)</f>
        <v>1.792</v>
      </c>
      <c r="AQ77" s="70">
        <v>0</v>
      </c>
      <c r="AR77" s="70">
        <v>0</v>
      </c>
      <c r="AS77" s="70">
        <f t="shared" ref="AS77:AS83" si="144">SUM(AT77:AW77)</f>
        <v>1.792</v>
      </c>
      <c r="AT77" s="70">
        <v>0</v>
      </c>
      <c r="AU77" s="70">
        <v>0</v>
      </c>
      <c r="AV77" s="70">
        <v>1.792</v>
      </c>
      <c r="AW77" s="70">
        <v>0</v>
      </c>
      <c r="AX77" s="70">
        <f t="shared" ref="AX77:AX83" si="145">SUM(AY77:BA77)</f>
        <v>0</v>
      </c>
      <c r="AY77" s="70">
        <v>0</v>
      </c>
      <c r="AZ77" s="70">
        <v>0</v>
      </c>
      <c r="BA77" s="70">
        <f t="shared" ref="BA77:BA83" si="146">SUM(BC77:BF77)</f>
        <v>0</v>
      </c>
      <c r="BB77" s="67">
        <f t="shared" si="24"/>
        <v>0</v>
      </c>
      <c r="BC77" s="70">
        <v>0</v>
      </c>
      <c r="BD77" s="70">
        <v>0</v>
      </c>
      <c r="BE77" s="70">
        <v>0</v>
      </c>
      <c r="BF77" s="70">
        <v>0</v>
      </c>
      <c r="BG77" s="133">
        <f t="shared" ref="BG77:BG83" si="147">SUM(BH77:BJ77)</f>
        <v>0</v>
      </c>
      <c r="BH77" s="133">
        <v>0</v>
      </c>
      <c r="BI77" s="133">
        <v>0</v>
      </c>
      <c r="BJ77" s="133">
        <f t="shared" ref="BJ77:BJ83" si="148">SUM(BK77:BN77)</f>
        <v>0</v>
      </c>
      <c r="BK77" s="133">
        <v>0</v>
      </c>
      <c r="BL77" s="133">
        <v>0</v>
      </c>
      <c r="BM77" s="133">
        <v>0</v>
      </c>
      <c r="BN77" s="133">
        <v>0</v>
      </c>
      <c r="BO77" s="133">
        <f t="shared" ref="BO77:BO83" si="149">SUM(BP77:BR77)</f>
        <v>0</v>
      </c>
      <c r="BP77" s="133">
        <v>0</v>
      </c>
      <c r="BQ77" s="133">
        <v>0</v>
      </c>
      <c r="BR77" s="133">
        <v>0</v>
      </c>
      <c r="BS77" s="133">
        <f t="shared" ref="BS77:BS83" si="150">SUM(BT77:BV77)</f>
        <v>0</v>
      </c>
      <c r="BT77" s="133">
        <v>0</v>
      </c>
      <c r="BU77" s="133">
        <v>0</v>
      </c>
      <c r="BV77" s="133">
        <v>0</v>
      </c>
      <c r="BW77" s="133">
        <f t="shared" ref="BW77:BW83" si="151">SUM(BX77:BZ77)</f>
        <v>0</v>
      </c>
      <c r="BX77" s="133">
        <v>0</v>
      </c>
      <c r="BY77" s="133">
        <v>0</v>
      </c>
      <c r="BZ77" s="133">
        <v>0</v>
      </c>
      <c r="CA77" s="133"/>
      <c r="CB77" s="133"/>
      <c r="CC77" s="555"/>
    </row>
    <row r="78" spans="1:81" ht="56.25" customHeight="1" outlineLevel="1">
      <c r="A78" s="433">
        <v>2</v>
      </c>
      <c r="B78" s="549" t="s">
        <v>2243</v>
      </c>
      <c r="C78" s="420" t="s">
        <v>2244</v>
      </c>
      <c r="D78" s="420" t="s">
        <v>2113</v>
      </c>
      <c r="E78" s="420" t="s">
        <v>49</v>
      </c>
      <c r="F78" s="431" t="s">
        <v>48</v>
      </c>
      <c r="G78" s="422">
        <v>7941002</v>
      </c>
      <c r="H78" s="420" t="s">
        <v>2112</v>
      </c>
      <c r="I78" s="420" t="s">
        <v>76</v>
      </c>
      <c r="J78" s="422">
        <v>2022</v>
      </c>
      <c r="K78" s="420" t="s">
        <v>2245</v>
      </c>
      <c r="L78" s="420" t="s">
        <v>3618</v>
      </c>
      <c r="M78" s="169">
        <f t="shared" si="137"/>
        <v>942</v>
      </c>
      <c r="N78" s="169">
        <v>0</v>
      </c>
      <c r="O78" s="169">
        <v>0</v>
      </c>
      <c r="P78" s="169">
        <v>942</v>
      </c>
      <c r="Q78" s="70" t="s">
        <v>2246</v>
      </c>
      <c r="R78" s="70" t="s">
        <v>2112</v>
      </c>
      <c r="S78" s="70" t="s">
        <v>2112</v>
      </c>
      <c r="T78" s="70" t="s">
        <v>2113</v>
      </c>
      <c r="U78" s="70">
        <f t="shared" si="138"/>
        <v>0</v>
      </c>
      <c r="V78" s="70">
        <v>0</v>
      </c>
      <c r="W78" s="70">
        <v>0</v>
      </c>
      <c r="X78" s="70">
        <v>0</v>
      </c>
      <c r="Y78" s="70">
        <f t="shared" si="139"/>
        <v>386</v>
      </c>
      <c r="Z78" s="70">
        <v>0</v>
      </c>
      <c r="AA78" s="70">
        <v>0</v>
      </c>
      <c r="AB78" s="70">
        <f t="shared" si="140"/>
        <v>386</v>
      </c>
      <c r="AC78" s="67">
        <f t="shared" si="8"/>
        <v>0</v>
      </c>
      <c r="AD78" s="70">
        <v>0</v>
      </c>
      <c r="AE78" s="70">
        <v>0</v>
      </c>
      <c r="AF78" s="70">
        <v>386</v>
      </c>
      <c r="AG78" s="70">
        <v>0</v>
      </c>
      <c r="AH78" s="70">
        <f t="shared" si="141"/>
        <v>386</v>
      </c>
      <c r="AI78" s="70">
        <v>0</v>
      </c>
      <c r="AJ78" s="70">
        <v>0</v>
      </c>
      <c r="AK78" s="70">
        <f t="shared" si="142"/>
        <v>386</v>
      </c>
      <c r="AL78" s="70">
        <v>0</v>
      </c>
      <c r="AM78" s="70">
        <v>0</v>
      </c>
      <c r="AN78" s="70">
        <v>386</v>
      </c>
      <c r="AO78" s="70">
        <v>0</v>
      </c>
      <c r="AP78" s="70">
        <f t="shared" si="143"/>
        <v>386</v>
      </c>
      <c r="AQ78" s="70">
        <v>0</v>
      </c>
      <c r="AR78" s="70">
        <v>0</v>
      </c>
      <c r="AS78" s="70">
        <f t="shared" si="144"/>
        <v>386</v>
      </c>
      <c r="AT78" s="70">
        <v>0</v>
      </c>
      <c r="AU78" s="70">
        <v>0</v>
      </c>
      <c r="AV78" s="70">
        <v>386</v>
      </c>
      <c r="AW78" s="70">
        <v>0</v>
      </c>
      <c r="AX78" s="70">
        <f t="shared" si="145"/>
        <v>0</v>
      </c>
      <c r="AY78" s="70">
        <v>0</v>
      </c>
      <c r="AZ78" s="70">
        <v>0</v>
      </c>
      <c r="BA78" s="70">
        <f t="shared" si="146"/>
        <v>0</v>
      </c>
      <c r="BB78" s="67">
        <f t="shared" si="24"/>
        <v>0</v>
      </c>
      <c r="BC78" s="70">
        <v>0</v>
      </c>
      <c r="BD78" s="70">
        <v>0</v>
      </c>
      <c r="BE78" s="70">
        <v>0</v>
      </c>
      <c r="BF78" s="70">
        <v>0</v>
      </c>
      <c r="BG78" s="133">
        <f t="shared" si="147"/>
        <v>0</v>
      </c>
      <c r="BH78" s="133">
        <v>0</v>
      </c>
      <c r="BI78" s="133">
        <v>0</v>
      </c>
      <c r="BJ78" s="133">
        <f t="shared" si="148"/>
        <v>0</v>
      </c>
      <c r="BK78" s="133">
        <v>0</v>
      </c>
      <c r="BL78" s="133">
        <v>0</v>
      </c>
      <c r="BM78" s="133">
        <v>0</v>
      </c>
      <c r="BN78" s="133">
        <v>0</v>
      </c>
      <c r="BO78" s="133">
        <f t="shared" si="149"/>
        <v>0</v>
      </c>
      <c r="BP78" s="133">
        <v>0</v>
      </c>
      <c r="BQ78" s="133">
        <v>0</v>
      </c>
      <c r="BR78" s="133">
        <v>0</v>
      </c>
      <c r="BS78" s="133">
        <f t="shared" si="150"/>
        <v>0</v>
      </c>
      <c r="BT78" s="133">
        <v>0</v>
      </c>
      <c r="BU78" s="133">
        <v>0</v>
      </c>
      <c r="BV78" s="133">
        <v>0</v>
      </c>
      <c r="BW78" s="133">
        <f t="shared" si="151"/>
        <v>0</v>
      </c>
      <c r="BX78" s="133">
        <v>0</v>
      </c>
      <c r="BY78" s="133">
        <v>0</v>
      </c>
      <c r="BZ78" s="133">
        <v>0</v>
      </c>
      <c r="CA78" s="133"/>
      <c r="CB78" s="133"/>
      <c r="CC78" s="555"/>
    </row>
    <row r="79" spans="1:81" ht="46.15" outlineLevel="1">
      <c r="A79" s="433">
        <v>3</v>
      </c>
      <c r="B79" s="549" t="s">
        <v>2247</v>
      </c>
      <c r="C79" s="420" t="s">
        <v>2244</v>
      </c>
      <c r="D79" s="420" t="s">
        <v>2113</v>
      </c>
      <c r="E79" s="420" t="s">
        <v>49</v>
      </c>
      <c r="F79" s="431" t="s">
        <v>48</v>
      </c>
      <c r="G79" s="422">
        <v>7941001</v>
      </c>
      <c r="H79" s="420" t="s">
        <v>2112</v>
      </c>
      <c r="I79" s="420" t="s">
        <v>76</v>
      </c>
      <c r="J79" s="422">
        <v>2022</v>
      </c>
      <c r="K79" s="420" t="s">
        <v>2248</v>
      </c>
      <c r="L79" s="420" t="s">
        <v>3619</v>
      </c>
      <c r="M79" s="169">
        <f t="shared" si="137"/>
        <v>879</v>
      </c>
      <c r="N79" s="169">
        <v>0</v>
      </c>
      <c r="O79" s="169">
        <v>0</v>
      </c>
      <c r="P79" s="169">
        <v>879</v>
      </c>
      <c r="Q79" s="70" t="s">
        <v>2249</v>
      </c>
      <c r="R79" s="70" t="s">
        <v>2112</v>
      </c>
      <c r="S79" s="70" t="s">
        <v>2112</v>
      </c>
      <c r="T79" s="70" t="s">
        <v>2113</v>
      </c>
      <c r="U79" s="70">
        <f t="shared" si="138"/>
        <v>0</v>
      </c>
      <c r="V79" s="70">
        <v>0</v>
      </c>
      <c r="W79" s="70">
        <v>0</v>
      </c>
      <c r="X79" s="70">
        <v>0</v>
      </c>
      <c r="Y79" s="70">
        <f t="shared" si="139"/>
        <v>4.7649999999999997</v>
      </c>
      <c r="Z79" s="70">
        <v>0</v>
      </c>
      <c r="AA79" s="70">
        <v>0</v>
      </c>
      <c r="AB79" s="70">
        <f t="shared" si="140"/>
        <v>4.7649999999999997</v>
      </c>
      <c r="AC79" s="67">
        <f t="shared" ref="AC79:AC142" si="152">AD79+AE79</f>
        <v>0</v>
      </c>
      <c r="AD79" s="70">
        <v>0</v>
      </c>
      <c r="AE79" s="70">
        <v>0</v>
      </c>
      <c r="AF79" s="70">
        <v>4.7649999999999997</v>
      </c>
      <c r="AG79" s="70">
        <v>0</v>
      </c>
      <c r="AH79" s="70">
        <f t="shared" si="141"/>
        <v>4.7649999999999997</v>
      </c>
      <c r="AI79" s="70">
        <v>0</v>
      </c>
      <c r="AJ79" s="70">
        <v>0</v>
      </c>
      <c r="AK79" s="70">
        <f t="shared" si="142"/>
        <v>4.7649999999999997</v>
      </c>
      <c r="AL79" s="70">
        <v>0</v>
      </c>
      <c r="AM79" s="70">
        <v>0</v>
      </c>
      <c r="AN79" s="70">
        <v>4.7649999999999997</v>
      </c>
      <c r="AO79" s="70">
        <v>0</v>
      </c>
      <c r="AP79" s="70">
        <f t="shared" si="143"/>
        <v>4.7649999999999997</v>
      </c>
      <c r="AQ79" s="70">
        <v>0</v>
      </c>
      <c r="AR79" s="70">
        <v>0</v>
      </c>
      <c r="AS79" s="70">
        <f t="shared" si="144"/>
        <v>4.7649999999999997</v>
      </c>
      <c r="AT79" s="70">
        <v>0</v>
      </c>
      <c r="AU79" s="70">
        <v>0</v>
      </c>
      <c r="AV79" s="70">
        <v>4.7649999999999997</v>
      </c>
      <c r="AW79" s="70">
        <v>0</v>
      </c>
      <c r="AX79" s="70">
        <f t="shared" si="145"/>
        <v>0</v>
      </c>
      <c r="AY79" s="70">
        <v>0</v>
      </c>
      <c r="AZ79" s="70">
        <v>0</v>
      </c>
      <c r="BA79" s="70">
        <f t="shared" si="146"/>
        <v>0</v>
      </c>
      <c r="BB79" s="67">
        <f t="shared" si="24"/>
        <v>0</v>
      </c>
      <c r="BC79" s="70">
        <v>0</v>
      </c>
      <c r="BD79" s="70">
        <v>0</v>
      </c>
      <c r="BE79" s="70">
        <v>0</v>
      </c>
      <c r="BF79" s="70">
        <v>0</v>
      </c>
      <c r="BG79" s="133">
        <f t="shared" si="147"/>
        <v>0</v>
      </c>
      <c r="BH79" s="133">
        <v>0</v>
      </c>
      <c r="BI79" s="133">
        <v>0</v>
      </c>
      <c r="BJ79" s="133">
        <f t="shared" si="148"/>
        <v>0</v>
      </c>
      <c r="BK79" s="133">
        <v>0</v>
      </c>
      <c r="BL79" s="133">
        <v>0</v>
      </c>
      <c r="BM79" s="133">
        <v>0</v>
      </c>
      <c r="BN79" s="133">
        <v>0</v>
      </c>
      <c r="BO79" s="133">
        <f t="shared" si="149"/>
        <v>0</v>
      </c>
      <c r="BP79" s="133">
        <v>0</v>
      </c>
      <c r="BQ79" s="133">
        <v>0</v>
      </c>
      <c r="BR79" s="133">
        <v>0</v>
      </c>
      <c r="BS79" s="133">
        <f t="shared" si="150"/>
        <v>0</v>
      </c>
      <c r="BT79" s="133">
        <v>0</v>
      </c>
      <c r="BU79" s="133">
        <v>0</v>
      </c>
      <c r="BV79" s="133">
        <v>0</v>
      </c>
      <c r="BW79" s="133">
        <f t="shared" si="151"/>
        <v>0</v>
      </c>
      <c r="BX79" s="133">
        <v>0</v>
      </c>
      <c r="BY79" s="133">
        <v>0</v>
      </c>
      <c r="BZ79" s="133">
        <v>0</v>
      </c>
      <c r="CA79" s="133"/>
      <c r="CB79" s="133"/>
      <c r="CC79" s="555"/>
    </row>
    <row r="80" spans="1:81" ht="46.15" outlineLevel="1">
      <c r="A80" s="433">
        <v>4</v>
      </c>
      <c r="B80" s="549" t="s">
        <v>2250</v>
      </c>
      <c r="C80" s="420" t="s">
        <v>2244</v>
      </c>
      <c r="D80" s="420" t="s">
        <v>2113</v>
      </c>
      <c r="E80" s="420" t="s">
        <v>49</v>
      </c>
      <c r="F80" s="431" t="s">
        <v>48</v>
      </c>
      <c r="G80" s="422">
        <v>7941003</v>
      </c>
      <c r="H80" s="420" t="s">
        <v>2112</v>
      </c>
      <c r="I80" s="420" t="s">
        <v>76</v>
      </c>
      <c r="J80" s="422">
        <v>2022</v>
      </c>
      <c r="K80" s="420" t="s">
        <v>2251</v>
      </c>
      <c r="L80" s="420" t="s">
        <v>3620</v>
      </c>
      <c r="M80" s="169">
        <f t="shared" si="137"/>
        <v>686</v>
      </c>
      <c r="N80" s="169">
        <v>0</v>
      </c>
      <c r="O80" s="169">
        <v>0</v>
      </c>
      <c r="P80" s="169">
        <v>686</v>
      </c>
      <c r="Q80" s="70" t="s">
        <v>2252</v>
      </c>
      <c r="R80" s="70" t="s">
        <v>2112</v>
      </c>
      <c r="S80" s="70" t="s">
        <v>2112</v>
      </c>
      <c r="T80" s="70" t="s">
        <v>2113</v>
      </c>
      <c r="U80" s="70">
        <f t="shared" si="138"/>
        <v>0</v>
      </c>
      <c r="V80" s="70">
        <v>0</v>
      </c>
      <c r="W80" s="70">
        <v>0</v>
      </c>
      <c r="X80" s="70">
        <v>0</v>
      </c>
      <c r="Y80" s="70">
        <f t="shared" si="139"/>
        <v>6.6689999999999996</v>
      </c>
      <c r="Z80" s="70">
        <v>0</v>
      </c>
      <c r="AA80" s="70">
        <v>0</v>
      </c>
      <c r="AB80" s="70">
        <f t="shared" si="140"/>
        <v>6.6689999999999996</v>
      </c>
      <c r="AC80" s="67">
        <f t="shared" si="152"/>
        <v>0</v>
      </c>
      <c r="AD80" s="70">
        <v>0</v>
      </c>
      <c r="AE80" s="70">
        <v>0</v>
      </c>
      <c r="AF80" s="70">
        <v>6.6689999999999996</v>
      </c>
      <c r="AG80" s="70">
        <v>0</v>
      </c>
      <c r="AH80" s="70">
        <f t="shared" si="141"/>
        <v>6.6689999999999996</v>
      </c>
      <c r="AI80" s="70">
        <v>0</v>
      </c>
      <c r="AJ80" s="70">
        <v>0</v>
      </c>
      <c r="AK80" s="70">
        <f t="shared" si="142"/>
        <v>6.6689999999999996</v>
      </c>
      <c r="AL80" s="70">
        <v>0</v>
      </c>
      <c r="AM80" s="70">
        <v>0</v>
      </c>
      <c r="AN80" s="70">
        <v>6.6689999999999996</v>
      </c>
      <c r="AO80" s="70">
        <v>0</v>
      </c>
      <c r="AP80" s="70">
        <f t="shared" si="143"/>
        <v>6.6689999999999996</v>
      </c>
      <c r="AQ80" s="70">
        <v>0</v>
      </c>
      <c r="AR80" s="70">
        <v>0</v>
      </c>
      <c r="AS80" s="70">
        <f t="shared" si="144"/>
        <v>6.6689999999999996</v>
      </c>
      <c r="AT80" s="70">
        <v>0</v>
      </c>
      <c r="AU80" s="70">
        <v>0</v>
      </c>
      <c r="AV80" s="70">
        <v>6.6689999999999996</v>
      </c>
      <c r="AW80" s="70">
        <v>0</v>
      </c>
      <c r="AX80" s="70">
        <f t="shared" si="145"/>
        <v>0</v>
      </c>
      <c r="AY80" s="70">
        <v>0</v>
      </c>
      <c r="AZ80" s="70">
        <v>0</v>
      </c>
      <c r="BA80" s="70">
        <f t="shared" si="146"/>
        <v>0</v>
      </c>
      <c r="BB80" s="67">
        <f t="shared" si="24"/>
        <v>0</v>
      </c>
      <c r="BC80" s="70">
        <v>0</v>
      </c>
      <c r="BD80" s="70">
        <v>0</v>
      </c>
      <c r="BE80" s="70">
        <v>0</v>
      </c>
      <c r="BF80" s="70">
        <v>0</v>
      </c>
      <c r="BG80" s="133">
        <f t="shared" si="147"/>
        <v>0</v>
      </c>
      <c r="BH80" s="133">
        <v>0</v>
      </c>
      <c r="BI80" s="133">
        <v>0</v>
      </c>
      <c r="BJ80" s="133">
        <f t="shared" si="148"/>
        <v>0</v>
      </c>
      <c r="BK80" s="133">
        <v>0</v>
      </c>
      <c r="BL80" s="133">
        <v>0</v>
      </c>
      <c r="BM80" s="133">
        <v>0</v>
      </c>
      <c r="BN80" s="133">
        <v>0</v>
      </c>
      <c r="BO80" s="133">
        <f t="shared" si="149"/>
        <v>0</v>
      </c>
      <c r="BP80" s="133">
        <v>0</v>
      </c>
      <c r="BQ80" s="133">
        <v>0</v>
      </c>
      <c r="BR80" s="133">
        <v>0</v>
      </c>
      <c r="BS80" s="133">
        <f t="shared" si="150"/>
        <v>0</v>
      </c>
      <c r="BT80" s="133">
        <v>0</v>
      </c>
      <c r="BU80" s="133">
        <v>0</v>
      </c>
      <c r="BV80" s="133">
        <v>0</v>
      </c>
      <c r="BW80" s="133">
        <f t="shared" si="151"/>
        <v>0</v>
      </c>
      <c r="BX80" s="133">
        <v>0</v>
      </c>
      <c r="BY80" s="133">
        <v>0</v>
      </c>
      <c r="BZ80" s="133">
        <v>0</v>
      </c>
      <c r="CA80" s="133"/>
      <c r="CB80" s="133"/>
      <c r="CC80" s="555"/>
    </row>
    <row r="81" spans="1:81" ht="46.15" outlineLevel="1">
      <c r="A81" s="433">
        <v>5</v>
      </c>
      <c r="B81" s="549" t="s">
        <v>2253</v>
      </c>
      <c r="C81" s="420" t="s">
        <v>2244</v>
      </c>
      <c r="D81" s="420" t="s">
        <v>2113</v>
      </c>
      <c r="E81" s="420" t="s">
        <v>49</v>
      </c>
      <c r="F81" s="431" t="s">
        <v>82</v>
      </c>
      <c r="G81" s="422">
        <v>7941004</v>
      </c>
      <c r="H81" s="420" t="s">
        <v>2112</v>
      </c>
      <c r="I81" s="420" t="s">
        <v>76</v>
      </c>
      <c r="J81" s="422">
        <v>2022</v>
      </c>
      <c r="K81" s="420" t="s">
        <v>2254</v>
      </c>
      <c r="L81" s="420" t="s">
        <v>3621</v>
      </c>
      <c r="M81" s="169">
        <f t="shared" si="137"/>
        <v>1200</v>
      </c>
      <c r="N81" s="169">
        <v>0</v>
      </c>
      <c r="O81" s="169">
        <v>0</v>
      </c>
      <c r="P81" s="169">
        <v>1200</v>
      </c>
      <c r="Q81" s="70" t="s">
        <v>2255</v>
      </c>
      <c r="R81" s="70" t="s">
        <v>2112</v>
      </c>
      <c r="S81" s="70" t="s">
        <v>2112</v>
      </c>
      <c r="T81" s="70" t="s">
        <v>2113</v>
      </c>
      <c r="U81" s="70">
        <f t="shared" si="138"/>
        <v>0</v>
      </c>
      <c r="V81" s="70">
        <v>0</v>
      </c>
      <c r="W81" s="70">
        <v>0</v>
      </c>
      <c r="X81" s="70">
        <v>0</v>
      </c>
      <c r="Y81" s="70">
        <f t="shared" si="139"/>
        <v>6.0060000000000002</v>
      </c>
      <c r="Z81" s="70">
        <v>0</v>
      </c>
      <c r="AA81" s="70">
        <v>0</v>
      </c>
      <c r="AB81" s="70">
        <f t="shared" si="140"/>
        <v>6.0060000000000002</v>
      </c>
      <c r="AC81" s="67">
        <f t="shared" si="152"/>
        <v>0</v>
      </c>
      <c r="AD81" s="70">
        <v>0</v>
      </c>
      <c r="AE81" s="70">
        <v>0</v>
      </c>
      <c r="AF81" s="70">
        <v>6.0060000000000002</v>
      </c>
      <c r="AG81" s="70">
        <v>0</v>
      </c>
      <c r="AH81" s="70">
        <f t="shared" si="141"/>
        <v>6.0060000000000002</v>
      </c>
      <c r="AI81" s="70">
        <v>0</v>
      </c>
      <c r="AJ81" s="70">
        <v>0</v>
      </c>
      <c r="AK81" s="70">
        <f t="shared" si="142"/>
        <v>6.0060000000000002</v>
      </c>
      <c r="AL81" s="70">
        <v>0</v>
      </c>
      <c r="AM81" s="70">
        <v>0</v>
      </c>
      <c r="AN81" s="70">
        <v>6.0060000000000002</v>
      </c>
      <c r="AO81" s="70">
        <v>0</v>
      </c>
      <c r="AP81" s="70">
        <f t="shared" si="143"/>
        <v>6.0060000000000002</v>
      </c>
      <c r="AQ81" s="70">
        <v>0</v>
      </c>
      <c r="AR81" s="70">
        <v>0</v>
      </c>
      <c r="AS81" s="70">
        <f t="shared" si="144"/>
        <v>6.0060000000000002</v>
      </c>
      <c r="AT81" s="70">
        <v>0</v>
      </c>
      <c r="AU81" s="70">
        <v>0</v>
      </c>
      <c r="AV81" s="70">
        <v>6.0060000000000002</v>
      </c>
      <c r="AW81" s="70">
        <v>0</v>
      </c>
      <c r="AX81" s="70">
        <f t="shared" si="145"/>
        <v>0</v>
      </c>
      <c r="AY81" s="70">
        <v>0</v>
      </c>
      <c r="AZ81" s="70">
        <v>0</v>
      </c>
      <c r="BA81" s="70">
        <f t="shared" si="146"/>
        <v>0</v>
      </c>
      <c r="BB81" s="67">
        <f t="shared" ref="BB81:BB139" si="153">SUM(BC81:BD81)</f>
        <v>0</v>
      </c>
      <c r="BC81" s="70">
        <v>0</v>
      </c>
      <c r="BD81" s="70">
        <v>0</v>
      </c>
      <c r="BE81" s="70">
        <v>0</v>
      </c>
      <c r="BF81" s="70">
        <v>0</v>
      </c>
      <c r="BG81" s="133">
        <f t="shared" si="147"/>
        <v>0</v>
      </c>
      <c r="BH81" s="133">
        <v>0</v>
      </c>
      <c r="BI81" s="133">
        <v>0</v>
      </c>
      <c r="BJ81" s="133">
        <f t="shared" si="148"/>
        <v>0</v>
      </c>
      <c r="BK81" s="133">
        <v>0</v>
      </c>
      <c r="BL81" s="133">
        <v>0</v>
      </c>
      <c r="BM81" s="133">
        <v>0</v>
      </c>
      <c r="BN81" s="133">
        <v>0</v>
      </c>
      <c r="BO81" s="133">
        <f t="shared" si="149"/>
        <v>0</v>
      </c>
      <c r="BP81" s="133">
        <v>0</v>
      </c>
      <c r="BQ81" s="133">
        <v>0</v>
      </c>
      <c r="BR81" s="133">
        <v>0</v>
      </c>
      <c r="BS81" s="133">
        <f t="shared" si="150"/>
        <v>0</v>
      </c>
      <c r="BT81" s="133">
        <v>0</v>
      </c>
      <c r="BU81" s="133">
        <v>0</v>
      </c>
      <c r="BV81" s="133">
        <v>0</v>
      </c>
      <c r="BW81" s="133">
        <f t="shared" si="151"/>
        <v>0</v>
      </c>
      <c r="BX81" s="133">
        <v>0</v>
      </c>
      <c r="BY81" s="133">
        <v>0</v>
      </c>
      <c r="BZ81" s="133">
        <v>0</v>
      </c>
      <c r="CA81" s="133"/>
      <c r="CB81" s="133"/>
      <c r="CC81" s="555"/>
    </row>
    <row r="82" spans="1:81" ht="71.25" customHeight="1" outlineLevel="1">
      <c r="A82" s="433">
        <v>6</v>
      </c>
      <c r="B82" s="549" t="s">
        <v>2256</v>
      </c>
      <c r="C82" s="420" t="s">
        <v>2116</v>
      </c>
      <c r="D82" s="420" t="s">
        <v>2113</v>
      </c>
      <c r="E82" s="420" t="s">
        <v>49</v>
      </c>
      <c r="F82" s="431" t="s">
        <v>48</v>
      </c>
      <c r="G82" s="422">
        <v>809434</v>
      </c>
      <c r="H82" s="420" t="s">
        <v>2108</v>
      </c>
      <c r="I82" s="420" t="s">
        <v>84</v>
      </c>
      <c r="J82" s="422">
        <v>2024</v>
      </c>
      <c r="K82" s="420" t="s">
        <v>2257</v>
      </c>
      <c r="L82" s="420" t="s">
        <v>3622</v>
      </c>
      <c r="M82" s="169">
        <f t="shared" si="137"/>
        <v>1000</v>
      </c>
      <c r="N82" s="169">
        <v>0</v>
      </c>
      <c r="O82" s="169">
        <v>0</v>
      </c>
      <c r="P82" s="169">
        <v>1000</v>
      </c>
      <c r="Q82" s="70" t="s">
        <v>2258</v>
      </c>
      <c r="R82" s="70" t="s">
        <v>2108</v>
      </c>
      <c r="S82" s="70" t="s">
        <v>2112</v>
      </c>
      <c r="T82" s="70" t="s">
        <v>2113</v>
      </c>
      <c r="U82" s="70">
        <f t="shared" si="138"/>
        <v>0</v>
      </c>
      <c r="V82" s="70">
        <v>0</v>
      </c>
      <c r="W82" s="70">
        <v>0</v>
      </c>
      <c r="X82" s="70">
        <v>0</v>
      </c>
      <c r="Y82" s="70">
        <f t="shared" si="139"/>
        <v>1.855</v>
      </c>
      <c r="Z82" s="70">
        <v>0</v>
      </c>
      <c r="AA82" s="70">
        <v>0</v>
      </c>
      <c r="AB82" s="70">
        <f t="shared" si="140"/>
        <v>1.855</v>
      </c>
      <c r="AC82" s="67">
        <f t="shared" si="152"/>
        <v>0</v>
      </c>
      <c r="AD82" s="70">
        <v>0</v>
      </c>
      <c r="AE82" s="70">
        <v>0</v>
      </c>
      <c r="AF82" s="70">
        <v>1.855</v>
      </c>
      <c r="AG82" s="70">
        <v>0</v>
      </c>
      <c r="AH82" s="70">
        <f t="shared" si="141"/>
        <v>0</v>
      </c>
      <c r="AI82" s="70">
        <v>0</v>
      </c>
      <c r="AJ82" s="70">
        <v>0</v>
      </c>
      <c r="AK82" s="70">
        <f t="shared" si="142"/>
        <v>0</v>
      </c>
      <c r="AL82" s="70">
        <v>0</v>
      </c>
      <c r="AM82" s="70">
        <v>0</v>
      </c>
      <c r="AN82" s="70">
        <v>0</v>
      </c>
      <c r="AO82" s="70">
        <v>0</v>
      </c>
      <c r="AP82" s="70">
        <f t="shared" si="143"/>
        <v>0</v>
      </c>
      <c r="AQ82" s="70">
        <v>0</v>
      </c>
      <c r="AR82" s="70">
        <v>0</v>
      </c>
      <c r="AS82" s="70">
        <f t="shared" si="144"/>
        <v>0</v>
      </c>
      <c r="AT82" s="70">
        <v>0</v>
      </c>
      <c r="AU82" s="70">
        <v>0</v>
      </c>
      <c r="AV82" s="70">
        <v>0</v>
      </c>
      <c r="AW82" s="70">
        <v>0</v>
      </c>
      <c r="AX82" s="70">
        <f t="shared" si="145"/>
        <v>1.855</v>
      </c>
      <c r="AY82" s="70">
        <v>0</v>
      </c>
      <c r="AZ82" s="70">
        <v>0</v>
      </c>
      <c r="BA82" s="70">
        <f t="shared" si="146"/>
        <v>1.855</v>
      </c>
      <c r="BB82" s="67">
        <f t="shared" si="153"/>
        <v>0</v>
      </c>
      <c r="BC82" s="70">
        <v>0</v>
      </c>
      <c r="BD82" s="70">
        <v>0</v>
      </c>
      <c r="BE82" s="70">
        <v>1.855</v>
      </c>
      <c r="BF82" s="70">
        <v>0</v>
      </c>
      <c r="BG82" s="133">
        <f t="shared" si="147"/>
        <v>1.855</v>
      </c>
      <c r="BH82" s="133">
        <v>0</v>
      </c>
      <c r="BI82" s="133">
        <v>0</v>
      </c>
      <c r="BJ82" s="133">
        <f t="shared" si="148"/>
        <v>1.855</v>
      </c>
      <c r="BK82" s="133">
        <v>0</v>
      </c>
      <c r="BL82" s="133">
        <v>0</v>
      </c>
      <c r="BM82" s="133">
        <v>1.855</v>
      </c>
      <c r="BN82" s="133">
        <v>0</v>
      </c>
      <c r="BO82" s="133">
        <f t="shared" si="149"/>
        <v>0</v>
      </c>
      <c r="BP82" s="133">
        <v>0</v>
      </c>
      <c r="BQ82" s="133">
        <v>0</v>
      </c>
      <c r="BR82" s="133">
        <v>0</v>
      </c>
      <c r="BS82" s="133">
        <f t="shared" si="150"/>
        <v>0</v>
      </c>
      <c r="BT82" s="133">
        <v>0</v>
      </c>
      <c r="BU82" s="133">
        <v>0</v>
      </c>
      <c r="BV82" s="133">
        <v>0</v>
      </c>
      <c r="BW82" s="133">
        <f t="shared" si="151"/>
        <v>0</v>
      </c>
      <c r="BX82" s="133">
        <v>0</v>
      </c>
      <c r="BY82" s="133">
        <v>0</v>
      </c>
      <c r="BZ82" s="133">
        <v>0</v>
      </c>
      <c r="CA82" s="133"/>
      <c r="CB82" s="133"/>
      <c r="CC82" s="555"/>
    </row>
    <row r="83" spans="1:81" ht="48" customHeight="1" outlineLevel="1">
      <c r="A83" s="433">
        <v>7</v>
      </c>
      <c r="B83" s="549" t="s">
        <v>2259</v>
      </c>
      <c r="C83" s="420" t="s">
        <v>2260</v>
      </c>
      <c r="D83" s="420" t="s">
        <v>2113</v>
      </c>
      <c r="E83" s="420" t="s">
        <v>49</v>
      </c>
      <c r="F83" s="431" t="s">
        <v>105</v>
      </c>
      <c r="G83" s="422">
        <v>7957986</v>
      </c>
      <c r="H83" s="420" t="s">
        <v>2108</v>
      </c>
      <c r="I83" s="420" t="s">
        <v>52</v>
      </c>
      <c r="J83" s="422">
        <v>2022</v>
      </c>
      <c r="K83" s="420" t="s">
        <v>2261</v>
      </c>
      <c r="L83" s="420" t="s">
        <v>3623</v>
      </c>
      <c r="M83" s="169">
        <f t="shared" si="137"/>
        <v>1350</v>
      </c>
      <c r="N83" s="169">
        <v>0</v>
      </c>
      <c r="O83" s="169">
        <v>0</v>
      </c>
      <c r="P83" s="169">
        <v>1350</v>
      </c>
      <c r="Q83" s="70" t="s">
        <v>2262</v>
      </c>
      <c r="R83" s="70" t="s">
        <v>2108</v>
      </c>
      <c r="S83" s="70" t="s">
        <v>2112</v>
      </c>
      <c r="T83" s="70" t="s">
        <v>2113</v>
      </c>
      <c r="U83" s="70">
        <f t="shared" si="138"/>
        <v>0</v>
      </c>
      <c r="V83" s="70">
        <v>0</v>
      </c>
      <c r="W83" s="70">
        <v>0</v>
      </c>
      <c r="X83" s="70">
        <v>0</v>
      </c>
      <c r="Y83" s="70">
        <f t="shared" si="139"/>
        <v>46.612000000000002</v>
      </c>
      <c r="Z83" s="70">
        <v>0</v>
      </c>
      <c r="AA83" s="70">
        <v>0</v>
      </c>
      <c r="AB83" s="70">
        <f t="shared" si="140"/>
        <v>46.612000000000002</v>
      </c>
      <c r="AC83" s="67">
        <f t="shared" si="152"/>
        <v>0</v>
      </c>
      <c r="AD83" s="70"/>
      <c r="AE83" s="70">
        <v>0</v>
      </c>
      <c r="AF83" s="70">
        <v>46.612000000000002</v>
      </c>
      <c r="AG83" s="70">
        <v>0</v>
      </c>
      <c r="AH83" s="70">
        <f t="shared" si="141"/>
        <v>46.612000000000002</v>
      </c>
      <c r="AI83" s="70">
        <v>0</v>
      </c>
      <c r="AJ83" s="70">
        <v>0</v>
      </c>
      <c r="AK83" s="70">
        <f t="shared" si="142"/>
        <v>46.612000000000002</v>
      </c>
      <c r="AL83" s="70"/>
      <c r="AM83" s="70">
        <v>0</v>
      </c>
      <c r="AN83" s="70">
        <v>46.612000000000002</v>
      </c>
      <c r="AO83" s="70">
        <v>0</v>
      </c>
      <c r="AP83" s="70">
        <f t="shared" si="143"/>
        <v>46.612000000000002</v>
      </c>
      <c r="AQ83" s="70">
        <v>0</v>
      </c>
      <c r="AR83" s="70">
        <v>0</v>
      </c>
      <c r="AS83" s="70">
        <f t="shared" si="144"/>
        <v>46.612000000000002</v>
      </c>
      <c r="AT83" s="70"/>
      <c r="AU83" s="70">
        <v>0</v>
      </c>
      <c r="AV83" s="70">
        <v>46.612000000000002</v>
      </c>
      <c r="AW83" s="70">
        <v>0</v>
      </c>
      <c r="AX83" s="70">
        <f t="shared" si="145"/>
        <v>0</v>
      </c>
      <c r="AY83" s="70">
        <v>0</v>
      </c>
      <c r="AZ83" s="70">
        <v>0</v>
      </c>
      <c r="BA83" s="70">
        <f t="shared" si="146"/>
        <v>0</v>
      </c>
      <c r="BB83" s="67">
        <f t="shared" si="153"/>
        <v>0</v>
      </c>
      <c r="BC83" s="70">
        <v>0</v>
      </c>
      <c r="BD83" s="70">
        <v>0</v>
      </c>
      <c r="BE83" s="70">
        <v>0</v>
      </c>
      <c r="BF83" s="70">
        <v>0</v>
      </c>
      <c r="BG83" s="133">
        <f t="shared" si="147"/>
        <v>0</v>
      </c>
      <c r="BH83" s="133">
        <v>0</v>
      </c>
      <c r="BI83" s="133">
        <v>0</v>
      </c>
      <c r="BJ83" s="133">
        <f t="shared" si="148"/>
        <v>0</v>
      </c>
      <c r="BK83" s="133">
        <v>0</v>
      </c>
      <c r="BL83" s="133">
        <v>0</v>
      </c>
      <c r="BM83" s="133">
        <v>0</v>
      </c>
      <c r="BN83" s="133">
        <v>0</v>
      </c>
      <c r="BO83" s="133">
        <f t="shared" si="149"/>
        <v>0</v>
      </c>
      <c r="BP83" s="133">
        <v>0</v>
      </c>
      <c r="BQ83" s="133">
        <v>0</v>
      </c>
      <c r="BR83" s="133">
        <v>0</v>
      </c>
      <c r="BS83" s="133">
        <f t="shared" si="150"/>
        <v>0</v>
      </c>
      <c r="BT83" s="133">
        <v>0</v>
      </c>
      <c r="BU83" s="133">
        <v>0</v>
      </c>
      <c r="BV83" s="133">
        <v>0</v>
      </c>
      <c r="BW83" s="133">
        <f t="shared" si="151"/>
        <v>0</v>
      </c>
      <c r="BX83" s="133">
        <v>0</v>
      </c>
      <c r="BY83" s="133">
        <v>0</v>
      </c>
      <c r="BZ83" s="133">
        <v>0</v>
      </c>
      <c r="CA83" s="133"/>
      <c r="CB83" s="133"/>
      <c r="CC83" s="555"/>
    </row>
    <row r="84" spans="1:81" ht="20.100000000000001" customHeight="1" outlineLevel="1">
      <c r="A84" s="553" t="s">
        <v>45</v>
      </c>
      <c r="B84" s="418" t="s">
        <v>51</v>
      </c>
      <c r="C84" s="552"/>
      <c r="D84" s="485"/>
      <c r="E84" s="552"/>
      <c r="F84" s="552"/>
      <c r="G84" s="552"/>
      <c r="H84" s="552"/>
      <c r="I84" s="552"/>
      <c r="J84" s="552"/>
      <c r="K84" s="552"/>
      <c r="L84" s="552"/>
      <c r="M84" s="209">
        <f t="shared" ref="M84:AB84" si="154">SUM(M85:M97)</f>
        <v>35907</v>
      </c>
      <c r="N84" s="209">
        <f t="shared" si="154"/>
        <v>0</v>
      </c>
      <c r="O84" s="209">
        <f t="shared" si="154"/>
        <v>0</v>
      </c>
      <c r="P84" s="209">
        <f t="shared" si="154"/>
        <v>35907</v>
      </c>
      <c r="Q84" s="209">
        <f t="shared" si="154"/>
        <v>0</v>
      </c>
      <c r="R84" s="209">
        <f t="shared" si="154"/>
        <v>0</v>
      </c>
      <c r="S84" s="209">
        <f t="shared" si="154"/>
        <v>0</v>
      </c>
      <c r="T84" s="209">
        <f t="shared" si="154"/>
        <v>0</v>
      </c>
      <c r="U84" s="209">
        <f t="shared" si="154"/>
        <v>50</v>
      </c>
      <c r="V84" s="209">
        <f t="shared" si="154"/>
        <v>0</v>
      </c>
      <c r="W84" s="209">
        <f t="shared" si="154"/>
        <v>0</v>
      </c>
      <c r="X84" s="209">
        <f t="shared" si="154"/>
        <v>50</v>
      </c>
      <c r="Y84" s="209">
        <f t="shared" si="154"/>
        <v>33460.712</v>
      </c>
      <c r="Z84" s="209">
        <f t="shared" si="154"/>
        <v>2360</v>
      </c>
      <c r="AA84" s="209">
        <f t="shared" si="154"/>
        <v>0</v>
      </c>
      <c r="AB84" s="209">
        <f t="shared" si="154"/>
        <v>31100.712</v>
      </c>
      <c r="AC84" s="67">
        <f>AD84+AE84</f>
        <v>16873.684000000001</v>
      </c>
      <c r="AD84" s="209">
        <f t="shared" ref="AD84:BA84" si="155">SUM(AD85:AD97)</f>
        <v>14862.683999999999</v>
      </c>
      <c r="AE84" s="209">
        <f t="shared" si="155"/>
        <v>2011</v>
      </c>
      <c r="AF84" s="209">
        <f t="shared" si="155"/>
        <v>10888.855</v>
      </c>
      <c r="AG84" s="209">
        <f t="shared" si="155"/>
        <v>3338.1729999999998</v>
      </c>
      <c r="AH84" s="209">
        <f t="shared" si="155"/>
        <v>33727.707000000002</v>
      </c>
      <c r="AI84" s="209">
        <f t="shared" si="155"/>
        <v>2360</v>
      </c>
      <c r="AJ84" s="209">
        <f t="shared" si="155"/>
        <v>0</v>
      </c>
      <c r="AK84" s="209">
        <f t="shared" si="155"/>
        <v>31367.706999999999</v>
      </c>
      <c r="AL84" s="209">
        <f t="shared" si="155"/>
        <v>14495.822999999999</v>
      </c>
      <c r="AM84" s="209">
        <f t="shared" si="155"/>
        <v>2011</v>
      </c>
      <c r="AN84" s="209">
        <f t="shared" si="155"/>
        <v>11327.246999999999</v>
      </c>
      <c r="AO84" s="209">
        <f t="shared" si="155"/>
        <v>3533.6369999999997</v>
      </c>
      <c r="AP84" s="209">
        <f t="shared" si="155"/>
        <v>33723.319117999999</v>
      </c>
      <c r="AQ84" s="209">
        <f t="shared" si="155"/>
        <v>2360</v>
      </c>
      <c r="AR84" s="209">
        <f t="shared" si="155"/>
        <v>0</v>
      </c>
      <c r="AS84" s="209">
        <f t="shared" si="155"/>
        <v>31363.319117999999</v>
      </c>
      <c r="AT84" s="209">
        <f t="shared" si="155"/>
        <v>14491.435117999998</v>
      </c>
      <c r="AU84" s="209">
        <f t="shared" si="155"/>
        <v>2011</v>
      </c>
      <c r="AV84" s="209">
        <f t="shared" si="155"/>
        <v>11327.246999999999</v>
      </c>
      <c r="AW84" s="209">
        <f t="shared" si="155"/>
        <v>3533.6369999999997</v>
      </c>
      <c r="AX84" s="209">
        <f t="shared" si="155"/>
        <v>360</v>
      </c>
      <c r="AY84" s="209">
        <f t="shared" si="155"/>
        <v>0</v>
      </c>
      <c r="AZ84" s="209">
        <f t="shared" si="155"/>
        <v>0</v>
      </c>
      <c r="BA84" s="209">
        <f t="shared" si="155"/>
        <v>360</v>
      </c>
      <c r="BB84" s="67">
        <f t="shared" si="153"/>
        <v>360</v>
      </c>
      <c r="BC84" s="209">
        <f t="shared" ref="BC84:CB84" si="156">SUM(BC85:BC97)</f>
        <v>360</v>
      </c>
      <c r="BD84" s="209">
        <f t="shared" si="156"/>
        <v>0</v>
      </c>
      <c r="BE84" s="209">
        <f t="shared" si="156"/>
        <v>0</v>
      </c>
      <c r="BF84" s="209">
        <f t="shared" si="156"/>
        <v>0</v>
      </c>
      <c r="BG84" s="209">
        <f t="shared" si="156"/>
        <v>360</v>
      </c>
      <c r="BH84" s="209">
        <f t="shared" si="156"/>
        <v>0</v>
      </c>
      <c r="BI84" s="209">
        <f t="shared" si="156"/>
        <v>0</v>
      </c>
      <c r="BJ84" s="209">
        <f t="shared" si="156"/>
        <v>360</v>
      </c>
      <c r="BK84" s="209">
        <f t="shared" si="156"/>
        <v>360</v>
      </c>
      <c r="BL84" s="209">
        <f t="shared" si="156"/>
        <v>0</v>
      </c>
      <c r="BM84" s="209">
        <f t="shared" si="156"/>
        <v>0</v>
      </c>
      <c r="BN84" s="209">
        <f t="shared" si="156"/>
        <v>0</v>
      </c>
      <c r="BO84" s="209">
        <f t="shared" si="156"/>
        <v>4.3878820000000003</v>
      </c>
      <c r="BP84" s="209">
        <f t="shared" si="156"/>
        <v>0</v>
      </c>
      <c r="BQ84" s="209">
        <f t="shared" si="156"/>
        <v>0</v>
      </c>
      <c r="BR84" s="209">
        <f t="shared" si="156"/>
        <v>4.3878820000000003</v>
      </c>
      <c r="BS84" s="209">
        <f t="shared" si="156"/>
        <v>0</v>
      </c>
      <c r="BT84" s="209">
        <f t="shared" si="156"/>
        <v>0</v>
      </c>
      <c r="BU84" s="209">
        <f t="shared" si="156"/>
        <v>0</v>
      </c>
      <c r="BV84" s="209">
        <f t="shared" si="156"/>
        <v>0</v>
      </c>
      <c r="BW84" s="209">
        <f t="shared" si="156"/>
        <v>0</v>
      </c>
      <c r="BX84" s="209">
        <f t="shared" si="156"/>
        <v>0</v>
      </c>
      <c r="BY84" s="209">
        <f t="shared" si="156"/>
        <v>0</v>
      </c>
      <c r="BZ84" s="209">
        <f t="shared" si="156"/>
        <v>0</v>
      </c>
      <c r="CA84" s="209">
        <f t="shared" si="156"/>
        <v>0</v>
      </c>
      <c r="CB84" s="235">
        <f t="shared" si="156"/>
        <v>4.3878820000000003</v>
      </c>
      <c r="CC84" s="552"/>
    </row>
    <row r="85" spans="1:81" ht="54" customHeight="1" outlineLevel="1">
      <c r="A85" s="433">
        <v>1</v>
      </c>
      <c r="B85" s="549" t="s">
        <v>2263</v>
      </c>
      <c r="C85" s="420" t="s">
        <v>2116</v>
      </c>
      <c r="D85" s="420" t="s">
        <v>2113</v>
      </c>
      <c r="E85" s="420" t="s">
        <v>49</v>
      </c>
      <c r="F85" s="431" t="s">
        <v>48</v>
      </c>
      <c r="G85" s="422">
        <v>7876555</v>
      </c>
      <c r="H85" s="420" t="s">
        <v>2108</v>
      </c>
      <c r="I85" s="420" t="s">
        <v>71</v>
      </c>
      <c r="J85" s="422">
        <v>2020</v>
      </c>
      <c r="K85" s="420" t="s">
        <v>2264</v>
      </c>
      <c r="L85" s="420" t="s">
        <v>3624</v>
      </c>
      <c r="M85" s="169">
        <f t="shared" ref="M85:M97" si="157">SUM(N85:P85)</f>
        <v>4990</v>
      </c>
      <c r="N85" s="169">
        <v>0</v>
      </c>
      <c r="O85" s="169">
        <v>0</v>
      </c>
      <c r="P85" s="169">
        <v>4990</v>
      </c>
      <c r="Q85" s="70" t="s">
        <v>2265</v>
      </c>
      <c r="R85" s="70" t="s">
        <v>2108</v>
      </c>
      <c r="S85" s="169" t="s">
        <v>2112</v>
      </c>
      <c r="T85" s="70" t="s">
        <v>2113</v>
      </c>
      <c r="U85" s="70">
        <f t="shared" ref="U85:U97" si="158">SUM(V85:X85)</f>
        <v>50</v>
      </c>
      <c r="V85" s="70">
        <v>0</v>
      </c>
      <c r="W85" s="70">
        <v>0</v>
      </c>
      <c r="X85" s="70">
        <v>50</v>
      </c>
      <c r="Y85" s="70">
        <f t="shared" ref="Y85:Y97" si="159">SUM(Z85:AB85)</f>
        <v>4329.5020000000004</v>
      </c>
      <c r="Z85" s="70">
        <v>0</v>
      </c>
      <c r="AA85" s="70">
        <v>0</v>
      </c>
      <c r="AB85" s="70">
        <f t="shared" ref="AB85:AB97" si="160">SUM(AD85:AG85)</f>
        <v>4329.5020000000004</v>
      </c>
      <c r="AC85" s="70">
        <f t="shared" si="152"/>
        <v>4329.5020000000004</v>
      </c>
      <c r="AD85" s="70">
        <f>4379.502-50</f>
        <v>4329.5020000000004</v>
      </c>
      <c r="AE85" s="70">
        <v>0</v>
      </c>
      <c r="AF85" s="70">
        <v>0</v>
      </c>
      <c r="AG85" s="70"/>
      <c r="AH85" s="70">
        <f t="shared" ref="AH85:AH97" si="161">SUM(AI85:AK85)</f>
        <v>4379.5020000000004</v>
      </c>
      <c r="AI85" s="70">
        <v>0</v>
      </c>
      <c r="AJ85" s="70">
        <v>0</v>
      </c>
      <c r="AK85" s="70">
        <f t="shared" ref="AK85:AK97" si="162">SUM(AL85:AO85)</f>
        <v>4379.5020000000004</v>
      </c>
      <c r="AL85" s="70">
        <f>4379.502-50</f>
        <v>4329.5020000000004</v>
      </c>
      <c r="AM85" s="70">
        <v>0</v>
      </c>
      <c r="AN85" s="70">
        <v>0</v>
      </c>
      <c r="AO85" s="70">
        <v>50</v>
      </c>
      <c r="AP85" s="70">
        <f t="shared" ref="AP85:AP97" si="163">SUM(AQ85:AS85)</f>
        <v>4379.5020000000004</v>
      </c>
      <c r="AQ85" s="70">
        <v>0</v>
      </c>
      <c r="AR85" s="70">
        <v>0</v>
      </c>
      <c r="AS85" s="70">
        <f t="shared" ref="AS85:AS97" si="164">SUM(AT85:AW85)</f>
        <v>4379.5020000000004</v>
      </c>
      <c r="AT85" s="70">
        <f>4379.502-50</f>
        <v>4329.5020000000004</v>
      </c>
      <c r="AU85" s="70">
        <v>0</v>
      </c>
      <c r="AV85" s="70">
        <v>0</v>
      </c>
      <c r="AW85" s="70">
        <v>50</v>
      </c>
      <c r="AX85" s="70">
        <f t="shared" ref="AX85:AX97" si="165">SUM(AY85:BA85)</f>
        <v>0</v>
      </c>
      <c r="AY85" s="70">
        <v>0</v>
      </c>
      <c r="AZ85" s="70">
        <v>0</v>
      </c>
      <c r="BA85" s="70">
        <f t="shared" ref="BA85:BA97" si="166">SUM(BC85:BF85)</f>
        <v>0</v>
      </c>
      <c r="BB85" s="67">
        <f t="shared" si="153"/>
        <v>0</v>
      </c>
      <c r="BC85" s="70">
        <v>0</v>
      </c>
      <c r="BD85" s="70">
        <v>0</v>
      </c>
      <c r="BE85" s="70">
        <v>0</v>
      </c>
      <c r="BF85" s="70">
        <v>0</v>
      </c>
      <c r="BG85" s="133">
        <f t="shared" ref="BG85:BG97" si="167">SUM(BH85:BJ85)</f>
        <v>0</v>
      </c>
      <c r="BH85" s="133">
        <v>0</v>
      </c>
      <c r="BI85" s="133">
        <v>0</v>
      </c>
      <c r="BJ85" s="133">
        <f t="shared" ref="BJ85:BJ97" si="168">SUM(BK85:BN85)</f>
        <v>0</v>
      </c>
      <c r="BK85" s="133">
        <v>0</v>
      </c>
      <c r="BL85" s="133">
        <v>0</v>
      </c>
      <c r="BM85" s="133">
        <v>0</v>
      </c>
      <c r="BN85" s="133">
        <v>0</v>
      </c>
      <c r="BO85" s="133">
        <f t="shared" ref="BO85:BO97" si="169">SUM(BP85:BR85)</f>
        <v>0</v>
      </c>
      <c r="BP85" s="133">
        <v>0</v>
      </c>
      <c r="BQ85" s="133">
        <v>0</v>
      </c>
      <c r="BR85" s="133">
        <v>0</v>
      </c>
      <c r="BS85" s="133">
        <f t="shared" ref="BS85:BS97" si="170">SUM(BT85:BV85)</f>
        <v>0</v>
      </c>
      <c r="BT85" s="133">
        <v>0</v>
      </c>
      <c r="BU85" s="133">
        <v>0</v>
      </c>
      <c r="BV85" s="133">
        <v>0</v>
      </c>
      <c r="BW85" s="133"/>
      <c r="BX85" s="133"/>
      <c r="BY85" s="133"/>
      <c r="BZ85" s="133"/>
      <c r="CA85" s="133"/>
      <c r="CB85" s="133"/>
      <c r="CC85" s="434"/>
    </row>
    <row r="86" spans="1:81" ht="75" customHeight="1" outlineLevel="1">
      <c r="A86" s="433">
        <v>2</v>
      </c>
      <c r="B86" s="549" t="s">
        <v>2240</v>
      </c>
      <c r="C86" s="420" t="s">
        <v>2116</v>
      </c>
      <c r="D86" s="420" t="s">
        <v>2113</v>
      </c>
      <c r="E86" s="420" t="s">
        <v>49</v>
      </c>
      <c r="F86" s="431" t="s">
        <v>105</v>
      </c>
      <c r="G86" s="422">
        <v>7939770</v>
      </c>
      <c r="H86" s="420" t="s">
        <v>2112</v>
      </c>
      <c r="I86" s="420" t="s">
        <v>52</v>
      </c>
      <c r="J86" s="422">
        <v>2021</v>
      </c>
      <c r="K86" s="420" t="s">
        <v>2241</v>
      </c>
      <c r="L86" s="420" t="s">
        <v>3617</v>
      </c>
      <c r="M86" s="169">
        <f t="shared" si="157"/>
        <v>7500</v>
      </c>
      <c r="N86" s="169">
        <v>0</v>
      </c>
      <c r="O86" s="169">
        <v>0</v>
      </c>
      <c r="P86" s="169">
        <v>7500</v>
      </c>
      <c r="Q86" s="70" t="s">
        <v>2242</v>
      </c>
      <c r="R86" s="70" t="s">
        <v>2112</v>
      </c>
      <c r="S86" s="169" t="s">
        <v>2112</v>
      </c>
      <c r="T86" s="70" t="s">
        <v>2113</v>
      </c>
      <c r="U86" s="70">
        <f t="shared" si="158"/>
        <v>0</v>
      </c>
      <c r="V86" s="70">
        <v>0</v>
      </c>
      <c r="W86" s="70">
        <v>0</v>
      </c>
      <c r="X86" s="70">
        <v>0</v>
      </c>
      <c r="Y86" s="70">
        <f t="shared" si="159"/>
        <v>6843.4979999999996</v>
      </c>
      <c r="Z86" s="70">
        <v>0</v>
      </c>
      <c r="AA86" s="70">
        <v>0</v>
      </c>
      <c r="AB86" s="70">
        <f t="shared" si="160"/>
        <v>6843.4979999999996</v>
      </c>
      <c r="AC86" s="70">
        <f t="shared" si="152"/>
        <v>5143.4979999999996</v>
      </c>
      <c r="AD86" s="70">
        <v>5143.4979999999996</v>
      </c>
      <c r="AE86" s="70">
        <v>0</v>
      </c>
      <c r="AF86" s="70"/>
      <c r="AG86" s="70">
        <v>1700</v>
      </c>
      <c r="AH86" s="70">
        <f t="shared" si="161"/>
        <v>7145.29</v>
      </c>
      <c r="AI86" s="70">
        <v>0</v>
      </c>
      <c r="AJ86" s="70">
        <v>0</v>
      </c>
      <c r="AK86" s="70">
        <f t="shared" si="162"/>
        <v>7145.29</v>
      </c>
      <c r="AL86" s="70">
        <v>5143.4979999999996</v>
      </c>
      <c r="AM86" s="70">
        <v>0</v>
      </c>
      <c r="AN86" s="70">
        <f>300+1.792</f>
        <v>301.79199999999997</v>
      </c>
      <c r="AO86" s="70">
        <v>1700</v>
      </c>
      <c r="AP86" s="70">
        <f t="shared" si="163"/>
        <v>7145.29</v>
      </c>
      <c r="AQ86" s="70">
        <v>0</v>
      </c>
      <c r="AR86" s="70">
        <v>0</v>
      </c>
      <c r="AS86" s="70">
        <f t="shared" si="164"/>
        <v>7145.29</v>
      </c>
      <c r="AT86" s="70">
        <v>5143.4979999999996</v>
      </c>
      <c r="AU86" s="70">
        <v>0</v>
      </c>
      <c r="AV86" s="70">
        <f>300+1.792</f>
        <v>301.79199999999997</v>
      </c>
      <c r="AW86" s="70">
        <v>1700</v>
      </c>
      <c r="AX86" s="70">
        <f t="shared" si="165"/>
        <v>0</v>
      </c>
      <c r="AY86" s="70">
        <v>0</v>
      </c>
      <c r="AZ86" s="70">
        <v>0</v>
      </c>
      <c r="BA86" s="70">
        <f t="shared" si="166"/>
        <v>0</v>
      </c>
      <c r="BB86" s="67">
        <f t="shared" si="153"/>
        <v>0</v>
      </c>
      <c r="BC86" s="70">
        <v>0</v>
      </c>
      <c r="BD86" s="70">
        <v>0</v>
      </c>
      <c r="BE86" s="70">
        <v>0</v>
      </c>
      <c r="BF86" s="70">
        <v>0</v>
      </c>
      <c r="BG86" s="133">
        <f t="shared" si="167"/>
        <v>0</v>
      </c>
      <c r="BH86" s="133">
        <v>0</v>
      </c>
      <c r="BI86" s="133">
        <v>0</v>
      </c>
      <c r="BJ86" s="133">
        <f t="shared" si="168"/>
        <v>0</v>
      </c>
      <c r="BK86" s="133">
        <v>0</v>
      </c>
      <c r="BL86" s="133">
        <v>0</v>
      </c>
      <c r="BM86" s="133">
        <v>0</v>
      </c>
      <c r="BN86" s="133">
        <v>0</v>
      </c>
      <c r="BO86" s="133">
        <f t="shared" si="169"/>
        <v>0</v>
      </c>
      <c r="BP86" s="133">
        <v>0</v>
      </c>
      <c r="BQ86" s="133">
        <v>0</v>
      </c>
      <c r="BR86" s="133">
        <v>0</v>
      </c>
      <c r="BS86" s="133">
        <f t="shared" si="170"/>
        <v>0</v>
      </c>
      <c r="BT86" s="133">
        <v>0</v>
      </c>
      <c r="BU86" s="133">
        <v>0</v>
      </c>
      <c r="BV86" s="133">
        <v>0</v>
      </c>
      <c r="BW86" s="133"/>
      <c r="BX86" s="133"/>
      <c r="BY86" s="133"/>
      <c r="BZ86" s="133"/>
      <c r="CA86" s="133"/>
      <c r="CB86" s="133"/>
      <c r="CC86" s="434"/>
    </row>
    <row r="87" spans="1:81" ht="46.15" outlineLevel="1">
      <c r="A87" s="433">
        <v>3</v>
      </c>
      <c r="B87" s="549" t="s">
        <v>2266</v>
      </c>
      <c r="C87" s="420" t="s">
        <v>2244</v>
      </c>
      <c r="D87" s="420" t="s">
        <v>2113</v>
      </c>
      <c r="E87" s="420" t="s">
        <v>49</v>
      </c>
      <c r="F87" s="431" t="s">
        <v>48</v>
      </c>
      <c r="G87" s="422">
        <v>7881508</v>
      </c>
      <c r="H87" s="420" t="s">
        <v>2112</v>
      </c>
      <c r="I87" s="420" t="s">
        <v>73</v>
      </c>
      <c r="J87" s="422">
        <v>2021</v>
      </c>
      <c r="K87" s="420" t="s">
        <v>2267</v>
      </c>
      <c r="L87" s="420" t="s">
        <v>3625</v>
      </c>
      <c r="M87" s="169">
        <f t="shared" si="157"/>
        <v>1200</v>
      </c>
      <c r="N87" s="169">
        <v>0</v>
      </c>
      <c r="O87" s="169">
        <v>0</v>
      </c>
      <c r="P87" s="169">
        <v>1200</v>
      </c>
      <c r="Q87" s="70" t="s">
        <v>2268</v>
      </c>
      <c r="R87" s="70" t="s">
        <v>2112</v>
      </c>
      <c r="S87" s="70" t="s">
        <v>2112</v>
      </c>
      <c r="T87" s="70" t="s">
        <v>2113</v>
      </c>
      <c r="U87" s="70">
        <f t="shared" si="158"/>
        <v>0</v>
      </c>
      <c r="V87" s="70">
        <v>0</v>
      </c>
      <c r="W87" s="70">
        <v>0</v>
      </c>
      <c r="X87" s="70">
        <v>0</v>
      </c>
      <c r="Y87" s="70">
        <f t="shared" si="159"/>
        <v>1000</v>
      </c>
      <c r="Z87" s="70">
        <v>0</v>
      </c>
      <c r="AA87" s="70">
        <v>0</v>
      </c>
      <c r="AB87" s="70">
        <f t="shared" si="160"/>
        <v>1000</v>
      </c>
      <c r="AC87" s="70">
        <f t="shared" si="152"/>
        <v>1000</v>
      </c>
      <c r="AD87" s="70">
        <v>1000</v>
      </c>
      <c r="AE87" s="70">
        <v>0</v>
      </c>
      <c r="AF87" s="70">
        <v>0</v>
      </c>
      <c r="AG87" s="70"/>
      <c r="AH87" s="70">
        <f t="shared" si="161"/>
        <v>1145.4639999999999</v>
      </c>
      <c r="AI87" s="70">
        <v>0</v>
      </c>
      <c r="AJ87" s="70">
        <v>0</v>
      </c>
      <c r="AK87" s="70">
        <f t="shared" si="162"/>
        <v>1145.4639999999999</v>
      </c>
      <c r="AL87" s="70">
        <v>1000</v>
      </c>
      <c r="AM87" s="70">
        <v>0</v>
      </c>
      <c r="AN87" s="70">
        <v>0</v>
      </c>
      <c r="AO87" s="70">
        <v>145.464</v>
      </c>
      <c r="AP87" s="70">
        <f t="shared" si="163"/>
        <v>1145.4639999999999</v>
      </c>
      <c r="AQ87" s="70">
        <v>0</v>
      </c>
      <c r="AR87" s="70">
        <v>0</v>
      </c>
      <c r="AS87" s="70">
        <f t="shared" si="164"/>
        <v>1145.4639999999999</v>
      </c>
      <c r="AT87" s="70">
        <v>1000</v>
      </c>
      <c r="AU87" s="70">
        <v>0</v>
      </c>
      <c r="AV87" s="70">
        <v>0</v>
      </c>
      <c r="AW87" s="70">
        <v>145.464</v>
      </c>
      <c r="AX87" s="70">
        <f t="shared" si="165"/>
        <v>0</v>
      </c>
      <c r="AY87" s="70">
        <v>0</v>
      </c>
      <c r="AZ87" s="70">
        <v>0</v>
      </c>
      <c r="BA87" s="70">
        <f t="shared" si="166"/>
        <v>0</v>
      </c>
      <c r="BB87" s="67">
        <f t="shared" si="153"/>
        <v>0</v>
      </c>
      <c r="BC87" s="70">
        <v>0</v>
      </c>
      <c r="BD87" s="70">
        <v>0</v>
      </c>
      <c r="BE87" s="70">
        <v>0</v>
      </c>
      <c r="BF87" s="70">
        <v>0</v>
      </c>
      <c r="BG87" s="133">
        <f t="shared" si="167"/>
        <v>0</v>
      </c>
      <c r="BH87" s="133">
        <v>0</v>
      </c>
      <c r="BI87" s="133">
        <v>0</v>
      </c>
      <c r="BJ87" s="133">
        <f t="shared" si="168"/>
        <v>0</v>
      </c>
      <c r="BK87" s="133">
        <v>0</v>
      </c>
      <c r="BL87" s="133">
        <v>0</v>
      </c>
      <c r="BM87" s="133">
        <v>0</v>
      </c>
      <c r="BN87" s="133">
        <v>0</v>
      </c>
      <c r="BO87" s="133">
        <f t="shared" si="169"/>
        <v>0</v>
      </c>
      <c r="BP87" s="133">
        <v>0</v>
      </c>
      <c r="BQ87" s="133">
        <v>0</v>
      </c>
      <c r="BR87" s="133">
        <v>0</v>
      </c>
      <c r="BS87" s="133">
        <f t="shared" si="170"/>
        <v>0</v>
      </c>
      <c r="BT87" s="133">
        <v>0</v>
      </c>
      <c r="BU87" s="133">
        <v>0</v>
      </c>
      <c r="BV87" s="133">
        <v>0</v>
      </c>
      <c r="BW87" s="133"/>
      <c r="BX87" s="133"/>
      <c r="BY87" s="133"/>
      <c r="BZ87" s="133"/>
      <c r="CA87" s="133"/>
      <c r="CB87" s="133"/>
      <c r="CC87" s="433"/>
    </row>
    <row r="88" spans="1:81" ht="56.25" customHeight="1" outlineLevel="1">
      <c r="A88" s="433">
        <v>4</v>
      </c>
      <c r="B88" s="549" t="s">
        <v>2243</v>
      </c>
      <c r="C88" s="420" t="s">
        <v>2244</v>
      </c>
      <c r="D88" s="420" t="s">
        <v>2113</v>
      </c>
      <c r="E88" s="420" t="s">
        <v>49</v>
      </c>
      <c r="F88" s="431" t="s">
        <v>48</v>
      </c>
      <c r="G88" s="422">
        <v>7941002</v>
      </c>
      <c r="H88" s="420" t="s">
        <v>2112</v>
      </c>
      <c r="I88" s="420" t="s">
        <v>76</v>
      </c>
      <c r="J88" s="422">
        <v>2022</v>
      </c>
      <c r="K88" s="420" t="s">
        <v>2245</v>
      </c>
      <c r="L88" s="420" t="s">
        <v>3626</v>
      </c>
      <c r="M88" s="169">
        <f t="shared" si="157"/>
        <v>942</v>
      </c>
      <c r="N88" s="169">
        <v>0</v>
      </c>
      <c r="O88" s="169">
        <v>0</v>
      </c>
      <c r="P88" s="169">
        <v>942</v>
      </c>
      <c r="Q88" s="70" t="s">
        <v>2246</v>
      </c>
      <c r="R88" s="70" t="s">
        <v>2112</v>
      </c>
      <c r="S88" s="70" t="s">
        <v>2112</v>
      </c>
      <c r="T88" s="70" t="s">
        <v>2113</v>
      </c>
      <c r="U88" s="70">
        <f t="shared" si="158"/>
        <v>0</v>
      </c>
      <c r="V88" s="70">
        <v>0</v>
      </c>
      <c r="W88" s="70">
        <v>0</v>
      </c>
      <c r="X88" s="70">
        <v>0</v>
      </c>
      <c r="Y88" s="70">
        <f t="shared" si="159"/>
        <v>515.68399999999997</v>
      </c>
      <c r="Z88" s="70">
        <v>0</v>
      </c>
      <c r="AA88" s="70">
        <v>0</v>
      </c>
      <c r="AB88" s="70">
        <f t="shared" si="160"/>
        <v>515.68399999999997</v>
      </c>
      <c r="AC88" s="70">
        <v>516</v>
      </c>
      <c r="AD88" s="70">
        <v>515.68399999999997</v>
      </c>
      <c r="AE88" s="70">
        <v>0</v>
      </c>
      <c r="AF88" s="70"/>
      <c r="AG88" s="70">
        <v>0</v>
      </c>
      <c r="AH88" s="70">
        <f t="shared" si="161"/>
        <v>901.68399999999997</v>
      </c>
      <c r="AI88" s="70">
        <v>0</v>
      </c>
      <c r="AJ88" s="70">
        <v>0</v>
      </c>
      <c r="AK88" s="70">
        <f t="shared" si="162"/>
        <v>901.68399999999997</v>
      </c>
      <c r="AL88" s="70">
        <v>515.68399999999997</v>
      </c>
      <c r="AM88" s="70">
        <v>0</v>
      </c>
      <c r="AN88" s="70">
        <v>386</v>
      </c>
      <c r="AO88" s="70">
        <v>0</v>
      </c>
      <c r="AP88" s="70">
        <f t="shared" si="163"/>
        <v>901.68399999999997</v>
      </c>
      <c r="AQ88" s="70">
        <v>0</v>
      </c>
      <c r="AR88" s="70">
        <v>0</v>
      </c>
      <c r="AS88" s="70">
        <f t="shared" si="164"/>
        <v>901.68399999999997</v>
      </c>
      <c r="AT88" s="70">
        <v>515.68399999999997</v>
      </c>
      <c r="AU88" s="70">
        <v>0</v>
      </c>
      <c r="AV88" s="70">
        <v>386</v>
      </c>
      <c r="AW88" s="70">
        <v>0</v>
      </c>
      <c r="AX88" s="70">
        <f t="shared" si="165"/>
        <v>0</v>
      </c>
      <c r="AY88" s="70">
        <v>0</v>
      </c>
      <c r="AZ88" s="70">
        <v>0</v>
      </c>
      <c r="BA88" s="70">
        <f t="shared" si="166"/>
        <v>0</v>
      </c>
      <c r="BB88" s="67">
        <f t="shared" si="153"/>
        <v>0</v>
      </c>
      <c r="BC88" s="70">
        <v>0</v>
      </c>
      <c r="BD88" s="70">
        <v>0</v>
      </c>
      <c r="BE88" s="70">
        <v>0</v>
      </c>
      <c r="BF88" s="70">
        <v>0</v>
      </c>
      <c r="BG88" s="133">
        <f t="shared" si="167"/>
        <v>0</v>
      </c>
      <c r="BH88" s="133">
        <v>0</v>
      </c>
      <c r="BI88" s="133">
        <v>0</v>
      </c>
      <c r="BJ88" s="133">
        <f t="shared" si="168"/>
        <v>0</v>
      </c>
      <c r="BK88" s="133">
        <v>0</v>
      </c>
      <c r="BL88" s="133">
        <v>0</v>
      </c>
      <c r="BM88" s="133">
        <v>0</v>
      </c>
      <c r="BN88" s="133">
        <v>0</v>
      </c>
      <c r="BO88" s="133">
        <f t="shared" si="169"/>
        <v>0</v>
      </c>
      <c r="BP88" s="133">
        <v>0</v>
      </c>
      <c r="BQ88" s="133">
        <v>0</v>
      </c>
      <c r="BR88" s="133">
        <v>0</v>
      </c>
      <c r="BS88" s="133">
        <f t="shared" si="170"/>
        <v>0</v>
      </c>
      <c r="BT88" s="133">
        <v>0</v>
      </c>
      <c r="BU88" s="133">
        <v>0</v>
      </c>
      <c r="BV88" s="133">
        <v>0</v>
      </c>
      <c r="BW88" s="133"/>
      <c r="BX88" s="133"/>
      <c r="BY88" s="133"/>
      <c r="BZ88" s="133"/>
      <c r="CA88" s="133"/>
      <c r="CB88" s="133"/>
      <c r="CC88" s="433"/>
    </row>
    <row r="89" spans="1:81" ht="46.15" outlineLevel="1">
      <c r="A89" s="433">
        <v>5</v>
      </c>
      <c r="B89" s="549" t="s">
        <v>2247</v>
      </c>
      <c r="C89" s="420" t="s">
        <v>2244</v>
      </c>
      <c r="D89" s="420" t="s">
        <v>2113</v>
      </c>
      <c r="E89" s="420" t="s">
        <v>49</v>
      </c>
      <c r="F89" s="431" t="s">
        <v>48</v>
      </c>
      <c r="G89" s="422">
        <v>7941001</v>
      </c>
      <c r="H89" s="420" t="s">
        <v>2112</v>
      </c>
      <c r="I89" s="420" t="s">
        <v>76</v>
      </c>
      <c r="J89" s="422">
        <v>2022</v>
      </c>
      <c r="K89" s="420" t="s">
        <v>2248</v>
      </c>
      <c r="L89" s="420" t="s">
        <v>3627</v>
      </c>
      <c r="M89" s="169">
        <f t="shared" si="157"/>
        <v>879</v>
      </c>
      <c r="N89" s="169">
        <v>0</v>
      </c>
      <c r="O89" s="169">
        <v>0</v>
      </c>
      <c r="P89" s="169">
        <v>879</v>
      </c>
      <c r="Q89" s="70" t="s">
        <v>2249</v>
      </c>
      <c r="R89" s="70" t="s">
        <v>2112</v>
      </c>
      <c r="S89" s="70" t="s">
        <v>2112</v>
      </c>
      <c r="T89" s="70" t="s">
        <v>2113</v>
      </c>
      <c r="U89" s="70">
        <f t="shared" si="158"/>
        <v>0</v>
      </c>
      <c r="V89" s="70">
        <v>0</v>
      </c>
      <c r="W89" s="70">
        <v>0</v>
      </c>
      <c r="X89" s="70">
        <v>0</v>
      </c>
      <c r="Y89" s="70">
        <f t="shared" si="159"/>
        <v>836</v>
      </c>
      <c r="Z89" s="70">
        <v>0</v>
      </c>
      <c r="AA89" s="70">
        <v>0</v>
      </c>
      <c r="AB89" s="70">
        <f t="shared" si="160"/>
        <v>836</v>
      </c>
      <c r="AC89" s="70">
        <f t="shared" si="152"/>
        <v>836</v>
      </c>
      <c r="AD89" s="70">
        <v>836</v>
      </c>
      <c r="AE89" s="70">
        <v>0</v>
      </c>
      <c r="AF89" s="70"/>
      <c r="AG89" s="70">
        <v>0</v>
      </c>
      <c r="AH89" s="70">
        <f t="shared" si="161"/>
        <v>840.76499999999999</v>
      </c>
      <c r="AI89" s="70">
        <v>0</v>
      </c>
      <c r="AJ89" s="70">
        <v>0</v>
      </c>
      <c r="AK89" s="70">
        <f t="shared" si="162"/>
        <v>840.76499999999999</v>
      </c>
      <c r="AL89" s="70">
        <v>836</v>
      </c>
      <c r="AM89" s="70">
        <v>0</v>
      </c>
      <c r="AN89" s="70">
        <v>4.7649999999999997</v>
      </c>
      <c r="AO89" s="70">
        <v>0</v>
      </c>
      <c r="AP89" s="70">
        <f t="shared" si="163"/>
        <v>840.76499999999999</v>
      </c>
      <c r="AQ89" s="70">
        <v>0</v>
      </c>
      <c r="AR89" s="70">
        <v>0</v>
      </c>
      <c r="AS89" s="70">
        <f t="shared" si="164"/>
        <v>840.76499999999999</v>
      </c>
      <c r="AT89" s="70">
        <v>836</v>
      </c>
      <c r="AU89" s="70">
        <v>0</v>
      </c>
      <c r="AV89" s="70">
        <v>4.7649999999999997</v>
      </c>
      <c r="AW89" s="70">
        <v>0</v>
      </c>
      <c r="AX89" s="70">
        <f t="shared" si="165"/>
        <v>0</v>
      </c>
      <c r="AY89" s="70">
        <v>0</v>
      </c>
      <c r="AZ89" s="70">
        <v>0</v>
      </c>
      <c r="BA89" s="70">
        <f t="shared" si="166"/>
        <v>0</v>
      </c>
      <c r="BB89" s="67">
        <f t="shared" si="153"/>
        <v>0</v>
      </c>
      <c r="BC89" s="70">
        <v>0</v>
      </c>
      <c r="BD89" s="70">
        <v>0</v>
      </c>
      <c r="BE89" s="70">
        <v>0</v>
      </c>
      <c r="BF89" s="70">
        <v>0</v>
      </c>
      <c r="BG89" s="133">
        <f t="shared" si="167"/>
        <v>0</v>
      </c>
      <c r="BH89" s="133">
        <v>0</v>
      </c>
      <c r="BI89" s="133">
        <v>0</v>
      </c>
      <c r="BJ89" s="133">
        <f t="shared" si="168"/>
        <v>0</v>
      </c>
      <c r="BK89" s="133">
        <v>0</v>
      </c>
      <c r="BL89" s="133">
        <v>0</v>
      </c>
      <c r="BM89" s="133">
        <v>0</v>
      </c>
      <c r="BN89" s="133">
        <v>0</v>
      </c>
      <c r="BO89" s="133">
        <f t="shared" si="169"/>
        <v>0</v>
      </c>
      <c r="BP89" s="133">
        <v>0</v>
      </c>
      <c r="BQ89" s="133">
        <v>0</v>
      </c>
      <c r="BR89" s="133">
        <v>0</v>
      </c>
      <c r="BS89" s="133">
        <f t="shared" si="170"/>
        <v>0</v>
      </c>
      <c r="BT89" s="133">
        <v>0</v>
      </c>
      <c r="BU89" s="133">
        <v>0</v>
      </c>
      <c r="BV89" s="133">
        <v>0</v>
      </c>
      <c r="BW89" s="133"/>
      <c r="BX89" s="133"/>
      <c r="BY89" s="133"/>
      <c r="BZ89" s="133"/>
      <c r="CA89" s="133"/>
      <c r="CB89" s="133"/>
      <c r="CC89" s="433"/>
    </row>
    <row r="90" spans="1:81" ht="46.15" outlineLevel="1">
      <c r="A90" s="433">
        <v>6</v>
      </c>
      <c r="B90" s="549" t="s">
        <v>2250</v>
      </c>
      <c r="C90" s="420" t="s">
        <v>2244</v>
      </c>
      <c r="D90" s="420" t="s">
        <v>2113</v>
      </c>
      <c r="E90" s="420" t="s">
        <v>49</v>
      </c>
      <c r="F90" s="431" t="s">
        <v>48</v>
      </c>
      <c r="G90" s="422">
        <v>7941003</v>
      </c>
      <c r="H90" s="420" t="s">
        <v>2112</v>
      </c>
      <c r="I90" s="420" t="s">
        <v>76</v>
      </c>
      <c r="J90" s="422">
        <v>2022</v>
      </c>
      <c r="K90" s="420" t="s">
        <v>2251</v>
      </c>
      <c r="L90" s="420" t="s">
        <v>3628</v>
      </c>
      <c r="M90" s="169">
        <f t="shared" si="157"/>
        <v>686</v>
      </c>
      <c r="N90" s="169">
        <v>0</v>
      </c>
      <c r="O90" s="169">
        <v>0</v>
      </c>
      <c r="P90" s="169">
        <v>686</v>
      </c>
      <c r="Q90" s="70" t="s">
        <v>2252</v>
      </c>
      <c r="R90" s="70" t="s">
        <v>2112</v>
      </c>
      <c r="S90" s="70" t="s">
        <v>2112</v>
      </c>
      <c r="T90" s="70" t="s">
        <v>2113</v>
      </c>
      <c r="U90" s="70">
        <f t="shared" si="158"/>
        <v>0</v>
      </c>
      <c r="V90" s="70">
        <v>0</v>
      </c>
      <c r="W90" s="70">
        <v>0</v>
      </c>
      <c r="X90" s="70">
        <v>0</v>
      </c>
      <c r="Y90" s="70">
        <f t="shared" si="159"/>
        <v>639</v>
      </c>
      <c r="Z90" s="70">
        <v>0</v>
      </c>
      <c r="AA90" s="70">
        <v>0</v>
      </c>
      <c r="AB90" s="70">
        <f t="shared" si="160"/>
        <v>639</v>
      </c>
      <c r="AC90" s="70">
        <f t="shared" si="152"/>
        <v>639</v>
      </c>
      <c r="AD90" s="70">
        <v>639</v>
      </c>
      <c r="AE90" s="70">
        <v>0</v>
      </c>
      <c r="AF90" s="70"/>
      <c r="AG90" s="70">
        <v>0</v>
      </c>
      <c r="AH90" s="70">
        <f t="shared" si="161"/>
        <v>645.66899999999998</v>
      </c>
      <c r="AI90" s="70">
        <v>0</v>
      </c>
      <c r="AJ90" s="70">
        <v>0</v>
      </c>
      <c r="AK90" s="70">
        <f t="shared" si="162"/>
        <v>645.66899999999998</v>
      </c>
      <c r="AL90" s="70">
        <v>639</v>
      </c>
      <c r="AM90" s="70">
        <v>0</v>
      </c>
      <c r="AN90" s="70">
        <v>6.6689999999999996</v>
      </c>
      <c r="AO90" s="70">
        <v>0</v>
      </c>
      <c r="AP90" s="70">
        <f t="shared" si="163"/>
        <v>645.66899999999998</v>
      </c>
      <c r="AQ90" s="70">
        <v>0</v>
      </c>
      <c r="AR90" s="70">
        <v>0</v>
      </c>
      <c r="AS90" s="70">
        <f t="shared" si="164"/>
        <v>645.66899999999998</v>
      </c>
      <c r="AT90" s="70">
        <v>639</v>
      </c>
      <c r="AU90" s="70">
        <v>0</v>
      </c>
      <c r="AV90" s="70">
        <v>6.6689999999999996</v>
      </c>
      <c r="AW90" s="70">
        <v>0</v>
      </c>
      <c r="AX90" s="70">
        <f t="shared" si="165"/>
        <v>0</v>
      </c>
      <c r="AY90" s="70">
        <v>0</v>
      </c>
      <c r="AZ90" s="70">
        <v>0</v>
      </c>
      <c r="BA90" s="70">
        <f t="shared" si="166"/>
        <v>0</v>
      </c>
      <c r="BB90" s="67">
        <f t="shared" si="153"/>
        <v>0</v>
      </c>
      <c r="BC90" s="70">
        <v>0</v>
      </c>
      <c r="BD90" s="70">
        <v>0</v>
      </c>
      <c r="BE90" s="70">
        <v>0</v>
      </c>
      <c r="BF90" s="70">
        <v>0</v>
      </c>
      <c r="BG90" s="133">
        <f t="shared" si="167"/>
        <v>0</v>
      </c>
      <c r="BH90" s="133">
        <v>0</v>
      </c>
      <c r="BI90" s="133">
        <v>0</v>
      </c>
      <c r="BJ90" s="133">
        <f t="shared" si="168"/>
        <v>0</v>
      </c>
      <c r="BK90" s="133">
        <v>0</v>
      </c>
      <c r="BL90" s="133">
        <v>0</v>
      </c>
      <c r="BM90" s="133">
        <v>0</v>
      </c>
      <c r="BN90" s="133">
        <v>0</v>
      </c>
      <c r="BO90" s="133">
        <f t="shared" si="169"/>
        <v>0</v>
      </c>
      <c r="BP90" s="133">
        <v>0</v>
      </c>
      <c r="BQ90" s="133">
        <v>0</v>
      </c>
      <c r="BR90" s="133">
        <v>0</v>
      </c>
      <c r="BS90" s="133">
        <f t="shared" si="170"/>
        <v>0</v>
      </c>
      <c r="BT90" s="133">
        <v>0</v>
      </c>
      <c r="BU90" s="133">
        <v>0</v>
      </c>
      <c r="BV90" s="133">
        <v>0</v>
      </c>
      <c r="BW90" s="133"/>
      <c r="BX90" s="133"/>
      <c r="BY90" s="133"/>
      <c r="BZ90" s="133"/>
      <c r="CA90" s="133"/>
      <c r="CB90" s="133"/>
      <c r="CC90" s="433"/>
    </row>
    <row r="91" spans="1:81" ht="46.15" outlineLevel="1">
      <c r="A91" s="433">
        <v>7</v>
      </c>
      <c r="B91" s="549" t="s">
        <v>2253</v>
      </c>
      <c r="C91" s="420" t="s">
        <v>2244</v>
      </c>
      <c r="D91" s="420" t="s">
        <v>2113</v>
      </c>
      <c r="E91" s="420" t="s">
        <v>49</v>
      </c>
      <c r="F91" s="431" t="s">
        <v>82</v>
      </c>
      <c r="G91" s="422">
        <v>7941004</v>
      </c>
      <c r="H91" s="420" t="s">
        <v>2112</v>
      </c>
      <c r="I91" s="420" t="s">
        <v>76</v>
      </c>
      <c r="J91" s="422">
        <v>2022</v>
      </c>
      <c r="K91" s="420" t="s">
        <v>2254</v>
      </c>
      <c r="L91" s="420" t="s">
        <v>3629</v>
      </c>
      <c r="M91" s="169">
        <f t="shared" si="157"/>
        <v>1200</v>
      </c>
      <c r="N91" s="169">
        <v>0</v>
      </c>
      <c r="O91" s="169">
        <v>0</v>
      </c>
      <c r="P91" s="169">
        <v>1200</v>
      </c>
      <c r="Q91" s="70" t="s">
        <v>2255</v>
      </c>
      <c r="R91" s="70" t="s">
        <v>2112</v>
      </c>
      <c r="S91" s="70" t="s">
        <v>2112</v>
      </c>
      <c r="T91" s="70" t="s">
        <v>2113</v>
      </c>
      <c r="U91" s="70">
        <f t="shared" si="158"/>
        <v>0</v>
      </c>
      <c r="V91" s="70">
        <v>0</v>
      </c>
      <c r="W91" s="70">
        <v>0</v>
      </c>
      <c r="X91" s="70">
        <v>0</v>
      </c>
      <c r="Y91" s="70">
        <f t="shared" si="159"/>
        <v>1071</v>
      </c>
      <c r="Z91" s="70">
        <v>360</v>
      </c>
      <c r="AA91" s="70">
        <v>0</v>
      </c>
      <c r="AB91" s="70">
        <f t="shared" si="160"/>
        <v>711</v>
      </c>
      <c r="AC91" s="70">
        <f t="shared" si="152"/>
        <v>711</v>
      </c>
      <c r="AD91" s="70">
        <v>711</v>
      </c>
      <c r="AE91" s="70">
        <v>0</v>
      </c>
      <c r="AF91" s="70"/>
      <c r="AG91" s="70">
        <v>0</v>
      </c>
      <c r="AH91" s="70">
        <f t="shared" si="161"/>
        <v>1074.0059999999999</v>
      </c>
      <c r="AI91" s="70">
        <v>360</v>
      </c>
      <c r="AJ91" s="70">
        <v>0</v>
      </c>
      <c r="AK91" s="70">
        <f t="shared" si="162"/>
        <v>714.00599999999997</v>
      </c>
      <c r="AL91" s="70">
        <v>708</v>
      </c>
      <c r="AM91" s="70">
        <v>0</v>
      </c>
      <c r="AN91" s="70">
        <v>6.0060000000000002</v>
      </c>
      <c r="AO91" s="70">
        <v>0</v>
      </c>
      <c r="AP91" s="70">
        <f t="shared" si="163"/>
        <v>1074.0059999999999</v>
      </c>
      <c r="AQ91" s="70">
        <v>360</v>
      </c>
      <c r="AR91" s="70">
        <v>0</v>
      </c>
      <c r="AS91" s="70">
        <f t="shared" si="164"/>
        <v>714.00599999999997</v>
      </c>
      <c r="AT91" s="70">
        <v>708</v>
      </c>
      <c r="AU91" s="70">
        <v>0</v>
      </c>
      <c r="AV91" s="70">
        <v>6.0060000000000002</v>
      </c>
      <c r="AW91" s="70">
        <v>0</v>
      </c>
      <c r="AX91" s="70">
        <f t="shared" si="165"/>
        <v>0</v>
      </c>
      <c r="AY91" s="70">
        <v>0</v>
      </c>
      <c r="AZ91" s="70">
        <v>0</v>
      </c>
      <c r="BA91" s="70">
        <f t="shared" si="166"/>
        <v>0</v>
      </c>
      <c r="BB91" s="67">
        <f t="shared" si="153"/>
        <v>0</v>
      </c>
      <c r="BC91" s="70">
        <v>0</v>
      </c>
      <c r="BD91" s="70">
        <v>0</v>
      </c>
      <c r="BE91" s="70">
        <v>0</v>
      </c>
      <c r="BF91" s="70">
        <v>0</v>
      </c>
      <c r="BG91" s="133">
        <f t="shared" si="167"/>
        <v>0</v>
      </c>
      <c r="BH91" s="133">
        <v>0</v>
      </c>
      <c r="BI91" s="133">
        <v>0</v>
      </c>
      <c r="BJ91" s="133">
        <f t="shared" si="168"/>
        <v>0</v>
      </c>
      <c r="BK91" s="133">
        <v>0</v>
      </c>
      <c r="BL91" s="133">
        <v>0</v>
      </c>
      <c r="BM91" s="133">
        <v>0</v>
      </c>
      <c r="BN91" s="133">
        <v>0</v>
      </c>
      <c r="BO91" s="133">
        <f t="shared" si="169"/>
        <v>0</v>
      </c>
      <c r="BP91" s="133">
        <v>0</v>
      </c>
      <c r="BQ91" s="133">
        <v>0</v>
      </c>
      <c r="BR91" s="133">
        <v>0</v>
      </c>
      <c r="BS91" s="133">
        <f t="shared" si="170"/>
        <v>0</v>
      </c>
      <c r="BT91" s="133">
        <v>0</v>
      </c>
      <c r="BU91" s="133">
        <v>0</v>
      </c>
      <c r="BV91" s="133">
        <v>0</v>
      </c>
      <c r="BW91" s="133"/>
      <c r="BX91" s="133"/>
      <c r="BY91" s="133"/>
      <c r="BZ91" s="133"/>
      <c r="CA91" s="133"/>
      <c r="CB91" s="133"/>
      <c r="CC91" s="434"/>
    </row>
    <row r="92" spans="1:81" ht="46.15" outlineLevel="1">
      <c r="A92" s="433">
        <v>8</v>
      </c>
      <c r="B92" s="549" t="s">
        <v>2256</v>
      </c>
      <c r="C92" s="420" t="s">
        <v>2116</v>
      </c>
      <c r="D92" s="420" t="s">
        <v>2113</v>
      </c>
      <c r="E92" s="420" t="s">
        <v>49</v>
      </c>
      <c r="F92" s="431" t="s">
        <v>48</v>
      </c>
      <c r="G92" s="422">
        <v>809434</v>
      </c>
      <c r="H92" s="420" t="s">
        <v>2108</v>
      </c>
      <c r="I92" s="420" t="s">
        <v>84</v>
      </c>
      <c r="J92" s="422">
        <v>2024</v>
      </c>
      <c r="K92" s="420" t="s">
        <v>2257</v>
      </c>
      <c r="L92" s="420" t="s">
        <v>3630</v>
      </c>
      <c r="M92" s="169">
        <f t="shared" si="157"/>
        <v>1000</v>
      </c>
      <c r="N92" s="169">
        <v>0</v>
      </c>
      <c r="O92" s="169">
        <v>0</v>
      </c>
      <c r="P92" s="169">
        <v>1000</v>
      </c>
      <c r="Q92" s="70" t="s">
        <v>2258</v>
      </c>
      <c r="R92" s="70" t="s">
        <v>2108</v>
      </c>
      <c r="S92" s="70" t="s">
        <v>2112</v>
      </c>
      <c r="T92" s="70" t="s">
        <v>2113</v>
      </c>
      <c r="U92" s="70">
        <f t="shared" si="158"/>
        <v>0</v>
      </c>
      <c r="V92" s="70">
        <v>0</v>
      </c>
      <c r="W92" s="70">
        <v>0</v>
      </c>
      <c r="X92" s="70">
        <v>0</v>
      </c>
      <c r="Y92" s="70">
        <f t="shared" si="159"/>
        <v>988</v>
      </c>
      <c r="Z92" s="70">
        <v>0</v>
      </c>
      <c r="AA92" s="70">
        <v>0</v>
      </c>
      <c r="AB92" s="70">
        <f t="shared" si="160"/>
        <v>988</v>
      </c>
      <c r="AC92" s="70">
        <f t="shared" si="152"/>
        <v>988</v>
      </c>
      <c r="AD92" s="70">
        <v>988</v>
      </c>
      <c r="AE92" s="70">
        <v>0</v>
      </c>
      <c r="AF92" s="70"/>
      <c r="AG92" s="70">
        <v>0</v>
      </c>
      <c r="AH92" s="70">
        <f t="shared" si="161"/>
        <v>624.13900000000001</v>
      </c>
      <c r="AI92" s="70">
        <v>0</v>
      </c>
      <c r="AJ92" s="70">
        <v>0</v>
      </c>
      <c r="AK92" s="70">
        <f t="shared" si="162"/>
        <v>624.13900000000001</v>
      </c>
      <c r="AL92" s="70">
        <f>984.139-360</f>
        <v>624.13900000000001</v>
      </c>
      <c r="AM92" s="70">
        <v>0</v>
      </c>
      <c r="AN92" s="70">
        <v>0</v>
      </c>
      <c r="AO92" s="70">
        <v>0</v>
      </c>
      <c r="AP92" s="70">
        <f t="shared" si="163"/>
        <v>624.13900000000001</v>
      </c>
      <c r="AQ92" s="70">
        <v>0</v>
      </c>
      <c r="AR92" s="70">
        <v>0</v>
      </c>
      <c r="AS92" s="70">
        <f t="shared" si="164"/>
        <v>624.13900000000001</v>
      </c>
      <c r="AT92" s="70">
        <f>984.139-360</f>
        <v>624.13900000000001</v>
      </c>
      <c r="AU92" s="70">
        <v>0</v>
      </c>
      <c r="AV92" s="70">
        <v>0</v>
      </c>
      <c r="AW92" s="70">
        <v>0</v>
      </c>
      <c r="AX92" s="70">
        <f t="shared" si="165"/>
        <v>360</v>
      </c>
      <c r="AY92" s="70">
        <v>0</v>
      </c>
      <c r="AZ92" s="70">
        <v>0</v>
      </c>
      <c r="BA92" s="70">
        <f t="shared" si="166"/>
        <v>360</v>
      </c>
      <c r="BB92" s="70">
        <f t="shared" si="153"/>
        <v>360</v>
      </c>
      <c r="BC92" s="70">
        <v>360</v>
      </c>
      <c r="BD92" s="70">
        <v>0</v>
      </c>
      <c r="BE92" s="70"/>
      <c r="BF92" s="70">
        <v>0</v>
      </c>
      <c r="BG92" s="133">
        <f t="shared" si="167"/>
        <v>360</v>
      </c>
      <c r="BH92" s="133">
        <v>0</v>
      </c>
      <c r="BI92" s="133">
        <v>0</v>
      </c>
      <c r="BJ92" s="133">
        <f t="shared" si="168"/>
        <v>360</v>
      </c>
      <c r="BK92" s="133">
        <v>360</v>
      </c>
      <c r="BL92" s="133">
        <v>0</v>
      </c>
      <c r="BM92" s="133">
        <v>0</v>
      </c>
      <c r="BN92" s="133">
        <v>0</v>
      </c>
      <c r="BO92" s="133">
        <f t="shared" si="169"/>
        <v>0</v>
      </c>
      <c r="BP92" s="133">
        <v>0</v>
      </c>
      <c r="BQ92" s="133">
        <v>0</v>
      </c>
      <c r="BR92" s="133">
        <v>0</v>
      </c>
      <c r="BS92" s="133">
        <f t="shared" si="170"/>
        <v>0</v>
      </c>
      <c r="BT92" s="133">
        <v>0</v>
      </c>
      <c r="BU92" s="133">
        <v>0</v>
      </c>
      <c r="BV92" s="133">
        <v>0</v>
      </c>
      <c r="BW92" s="133"/>
      <c r="BX92" s="133"/>
      <c r="BY92" s="133"/>
      <c r="BZ92" s="133"/>
      <c r="CA92" s="133"/>
      <c r="CB92" s="133"/>
      <c r="CC92" s="434"/>
    </row>
    <row r="93" spans="1:81" ht="46.15" outlineLevel="1">
      <c r="A93" s="433">
        <v>9</v>
      </c>
      <c r="B93" s="549" t="s">
        <v>2269</v>
      </c>
      <c r="C93" s="420" t="s">
        <v>2116</v>
      </c>
      <c r="D93" s="420" t="s">
        <v>2113</v>
      </c>
      <c r="E93" s="420" t="s">
        <v>49</v>
      </c>
      <c r="F93" s="431" t="s">
        <v>105</v>
      </c>
      <c r="G93" s="422">
        <v>8011103</v>
      </c>
      <c r="H93" s="420" t="s">
        <v>2112</v>
      </c>
      <c r="I93" s="420" t="s">
        <v>54</v>
      </c>
      <c r="J93" s="422">
        <v>2023</v>
      </c>
      <c r="K93" s="420" t="s">
        <v>2270</v>
      </c>
      <c r="L93" s="420" t="s">
        <v>3631</v>
      </c>
      <c r="M93" s="169">
        <f t="shared" si="157"/>
        <v>4990</v>
      </c>
      <c r="N93" s="169">
        <v>0</v>
      </c>
      <c r="O93" s="169">
        <v>0</v>
      </c>
      <c r="P93" s="169">
        <v>4990</v>
      </c>
      <c r="Q93" s="70" t="s">
        <v>2271</v>
      </c>
      <c r="R93" s="70" t="s">
        <v>2112</v>
      </c>
      <c r="S93" s="70" t="s">
        <v>2112</v>
      </c>
      <c r="T93" s="70" t="s">
        <v>2113</v>
      </c>
      <c r="U93" s="70">
        <f t="shared" si="158"/>
        <v>0</v>
      </c>
      <c r="V93" s="70">
        <v>0</v>
      </c>
      <c r="W93" s="70">
        <v>0</v>
      </c>
      <c r="X93" s="70">
        <v>0</v>
      </c>
      <c r="Y93" s="70">
        <f t="shared" si="159"/>
        <v>4911</v>
      </c>
      <c r="Z93" s="70">
        <v>0</v>
      </c>
      <c r="AA93" s="70">
        <v>0</v>
      </c>
      <c r="AB93" s="70">
        <f t="shared" si="160"/>
        <v>4911</v>
      </c>
      <c r="AC93" s="70">
        <f t="shared" si="152"/>
        <v>2011</v>
      </c>
      <c r="AD93" s="70">
        <v>0</v>
      </c>
      <c r="AE93" s="70">
        <v>2011</v>
      </c>
      <c r="AF93" s="70">
        <v>2900</v>
      </c>
      <c r="AG93" s="70">
        <v>0</v>
      </c>
      <c r="AH93" s="70">
        <f t="shared" si="161"/>
        <v>4644.16</v>
      </c>
      <c r="AI93" s="70">
        <v>0</v>
      </c>
      <c r="AJ93" s="70">
        <v>0</v>
      </c>
      <c r="AK93" s="70">
        <f t="shared" si="162"/>
        <v>4644.16</v>
      </c>
      <c r="AL93" s="70">
        <v>0</v>
      </c>
      <c r="AM93" s="70">
        <v>2011</v>
      </c>
      <c r="AN93" s="70">
        <v>2633.16</v>
      </c>
      <c r="AO93" s="70">
        <v>0</v>
      </c>
      <c r="AP93" s="70">
        <f t="shared" si="163"/>
        <v>4644.16</v>
      </c>
      <c r="AQ93" s="70">
        <v>0</v>
      </c>
      <c r="AR93" s="70">
        <v>0</v>
      </c>
      <c r="AS93" s="70">
        <f t="shared" si="164"/>
        <v>4644.16</v>
      </c>
      <c r="AT93" s="70">
        <v>0</v>
      </c>
      <c r="AU93" s="70">
        <v>2011</v>
      </c>
      <c r="AV93" s="70">
        <v>2633.16</v>
      </c>
      <c r="AW93" s="70">
        <v>0</v>
      </c>
      <c r="AX93" s="70">
        <f t="shared" si="165"/>
        <v>0</v>
      </c>
      <c r="AY93" s="70">
        <v>0</v>
      </c>
      <c r="AZ93" s="70">
        <v>0</v>
      </c>
      <c r="BA93" s="70">
        <f t="shared" si="166"/>
        <v>0</v>
      </c>
      <c r="BB93" s="67">
        <f t="shared" si="153"/>
        <v>0</v>
      </c>
      <c r="BC93" s="70">
        <v>0</v>
      </c>
      <c r="BD93" s="70">
        <v>0</v>
      </c>
      <c r="BE93" s="70">
        <v>0</v>
      </c>
      <c r="BF93" s="70">
        <v>0</v>
      </c>
      <c r="BG93" s="133">
        <f t="shared" si="167"/>
        <v>0</v>
      </c>
      <c r="BH93" s="133">
        <v>0</v>
      </c>
      <c r="BI93" s="133">
        <v>0</v>
      </c>
      <c r="BJ93" s="133">
        <f t="shared" si="168"/>
        <v>0</v>
      </c>
      <c r="BK93" s="133">
        <v>0</v>
      </c>
      <c r="BL93" s="133">
        <v>0</v>
      </c>
      <c r="BM93" s="133">
        <v>0</v>
      </c>
      <c r="BN93" s="133">
        <v>0</v>
      </c>
      <c r="BO93" s="133">
        <f t="shared" si="169"/>
        <v>0</v>
      </c>
      <c r="BP93" s="133">
        <v>0</v>
      </c>
      <c r="BQ93" s="133">
        <v>0</v>
      </c>
      <c r="BR93" s="133">
        <v>0</v>
      </c>
      <c r="BS93" s="133">
        <f t="shared" si="170"/>
        <v>0</v>
      </c>
      <c r="BT93" s="133">
        <v>0</v>
      </c>
      <c r="BU93" s="133">
        <v>0</v>
      </c>
      <c r="BV93" s="133">
        <v>0</v>
      </c>
      <c r="BW93" s="133"/>
      <c r="BX93" s="133"/>
      <c r="BY93" s="133"/>
      <c r="BZ93" s="133"/>
      <c r="CA93" s="133"/>
      <c r="CB93" s="133"/>
      <c r="CC93" s="434"/>
    </row>
    <row r="94" spans="1:81" ht="46.15" outlineLevel="1">
      <c r="A94" s="433">
        <v>10</v>
      </c>
      <c r="B94" s="549" t="s">
        <v>2272</v>
      </c>
      <c r="C94" s="420" t="s">
        <v>2260</v>
      </c>
      <c r="D94" s="420" t="s">
        <v>2113</v>
      </c>
      <c r="E94" s="420" t="s">
        <v>49</v>
      </c>
      <c r="F94" s="431" t="s">
        <v>105</v>
      </c>
      <c r="G94" s="422"/>
      <c r="H94" s="420" t="s">
        <v>2108</v>
      </c>
      <c r="I94" s="420">
        <v>2024</v>
      </c>
      <c r="J94" s="422">
        <v>2024</v>
      </c>
      <c r="K94" s="420" t="s">
        <v>2273</v>
      </c>
      <c r="L94" s="420" t="s">
        <v>3632</v>
      </c>
      <c r="M94" s="169">
        <f t="shared" si="157"/>
        <v>770</v>
      </c>
      <c r="N94" s="169">
        <v>0</v>
      </c>
      <c r="O94" s="169">
        <v>0</v>
      </c>
      <c r="P94" s="169">
        <v>770</v>
      </c>
      <c r="Q94" s="70" t="s">
        <v>2171</v>
      </c>
      <c r="R94" s="70" t="s">
        <v>2108</v>
      </c>
      <c r="S94" s="70" t="s">
        <v>2112</v>
      </c>
      <c r="T94" s="70" t="s">
        <v>2113</v>
      </c>
      <c r="U94" s="70">
        <f t="shared" si="158"/>
        <v>0</v>
      </c>
      <c r="V94" s="70">
        <v>0</v>
      </c>
      <c r="W94" s="70">
        <v>0</v>
      </c>
      <c r="X94" s="70">
        <v>0</v>
      </c>
      <c r="Y94" s="70">
        <f t="shared" si="159"/>
        <v>700</v>
      </c>
      <c r="Z94" s="70">
        <v>0</v>
      </c>
      <c r="AA94" s="70">
        <v>0</v>
      </c>
      <c r="AB94" s="70">
        <f t="shared" si="160"/>
        <v>700</v>
      </c>
      <c r="AC94" s="70">
        <f t="shared" si="152"/>
        <v>700</v>
      </c>
      <c r="AD94" s="70">
        <v>700</v>
      </c>
      <c r="AE94" s="70">
        <v>0</v>
      </c>
      <c r="AF94" s="70">
        <v>0</v>
      </c>
      <c r="AG94" s="70">
        <v>0</v>
      </c>
      <c r="AH94" s="70">
        <f t="shared" si="161"/>
        <v>700</v>
      </c>
      <c r="AI94" s="70">
        <v>0</v>
      </c>
      <c r="AJ94" s="70">
        <v>0</v>
      </c>
      <c r="AK94" s="70">
        <f t="shared" si="162"/>
        <v>700</v>
      </c>
      <c r="AL94" s="70">
        <v>700</v>
      </c>
      <c r="AM94" s="70">
        <v>0</v>
      </c>
      <c r="AN94" s="70">
        <v>0</v>
      </c>
      <c r="AO94" s="70">
        <v>0</v>
      </c>
      <c r="AP94" s="70">
        <f t="shared" si="163"/>
        <v>695.61211800000001</v>
      </c>
      <c r="AQ94" s="70">
        <v>0</v>
      </c>
      <c r="AR94" s="70">
        <v>0</v>
      </c>
      <c r="AS94" s="70">
        <f t="shared" si="164"/>
        <v>695.61211800000001</v>
      </c>
      <c r="AT94" s="70">
        <f>700-4.387882</f>
        <v>695.61211800000001</v>
      </c>
      <c r="AU94" s="70">
        <v>0</v>
      </c>
      <c r="AV94" s="70">
        <v>0</v>
      </c>
      <c r="AW94" s="70">
        <v>0</v>
      </c>
      <c r="AX94" s="70">
        <f t="shared" si="165"/>
        <v>0</v>
      </c>
      <c r="AY94" s="70">
        <v>0</v>
      </c>
      <c r="AZ94" s="70">
        <v>0</v>
      </c>
      <c r="BA94" s="70">
        <f t="shared" si="166"/>
        <v>0</v>
      </c>
      <c r="BB94" s="67">
        <f t="shared" si="153"/>
        <v>0</v>
      </c>
      <c r="BC94" s="70">
        <v>0</v>
      </c>
      <c r="BD94" s="70">
        <v>0</v>
      </c>
      <c r="BE94" s="70">
        <v>0</v>
      </c>
      <c r="BF94" s="70">
        <v>0</v>
      </c>
      <c r="BG94" s="133">
        <f t="shared" si="167"/>
        <v>0</v>
      </c>
      <c r="BH94" s="133">
        <v>0</v>
      </c>
      <c r="BI94" s="133">
        <v>0</v>
      </c>
      <c r="BJ94" s="133">
        <f t="shared" si="168"/>
        <v>0</v>
      </c>
      <c r="BK94" s="133">
        <v>0</v>
      </c>
      <c r="BL94" s="133">
        <v>0</v>
      </c>
      <c r="BM94" s="133">
        <v>0</v>
      </c>
      <c r="BN94" s="133">
        <v>0</v>
      </c>
      <c r="BO94" s="133">
        <f t="shared" si="169"/>
        <v>4.3878820000000003</v>
      </c>
      <c r="BP94" s="133">
        <v>0</v>
      </c>
      <c r="BQ94" s="133">
        <v>0</v>
      </c>
      <c r="BR94" s="133">
        <v>4.3878820000000003</v>
      </c>
      <c r="BS94" s="133">
        <f t="shared" si="170"/>
        <v>0</v>
      </c>
      <c r="BT94" s="133">
        <v>0</v>
      </c>
      <c r="BU94" s="133">
        <v>0</v>
      </c>
      <c r="BV94" s="133">
        <v>0</v>
      </c>
      <c r="BW94" s="133"/>
      <c r="BX94" s="133"/>
      <c r="BY94" s="133"/>
      <c r="BZ94" s="133"/>
      <c r="CA94" s="133"/>
      <c r="CB94" s="179">
        <v>4.3878820000000003</v>
      </c>
      <c r="CC94" s="434"/>
    </row>
    <row r="95" spans="1:81" ht="46.15" outlineLevel="1">
      <c r="A95" s="433">
        <v>11</v>
      </c>
      <c r="B95" s="549" t="s">
        <v>2274</v>
      </c>
      <c r="C95" s="420" t="s">
        <v>2116</v>
      </c>
      <c r="D95" s="420" t="s">
        <v>2113</v>
      </c>
      <c r="E95" s="420" t="s">
        <v>49</v>
      </c>
      <c r="F95" s="431" t="s">
        <v>48</v>
      </c>
      <c r="G95" s="422">
        <v>7878158</v>
      </c>
      <c r="H95" s="420" t="s">
        <v>2275</v>
      </c>
      <c r="I95" s="420" t="s">
        <v>71</v>
      </c>
      <c r="J95" s="422">
        <v>2021</v>
      </c>
      <c r="K95" s="420"/>
      <c r="L95" s="420" t="s">
        <v>3633</v>
      </c>
      <c r="M95" s="169">
        <f t="shared" si="157"/>
        <v>10000</v>
      </c>
      <c r="N95" s="169">
        <v>0</v>
      </c>
      <c r="O95" s="169">
        <v>0</v>
      </c>
      <c r="P95" s="169">
        <v>10000</v>
      </c>
      <c r="Q95" s="70" t="s">
        <v>2276</v>
      </c>
      <c r="R95" s="70" t="s">
        <v>2275</v>
      </c>
      <c r="S95" s="70" t="s">
        <v>2112</v>
      </c>
      <c r="T95" s="70" t="s">
        <v>2113</v>
      </c>
      <c r="U95" s="70">
        <f t="shared" si="158"/>
        <v>0</v>
      </c>
      <c r="V95" s="70">
        <v>0</v>
      </c>
      <c r="W95" s="70">
        <v>0</v>
      </c>
      <c r="X95" s="70">
        <v>0</v>
      </c>
      <c r="Y95" s="70">
        <f t="shared" si="159"/>
        <v>9988.8549999999996</v>
      </c>
      <c r="Z95" s="70">
        <v>2000</v>
      </c>
      <c r="AA95" s="70">
        <v>0</v>
      </c>
      <c r="AB95" s="70">
        <f t="shared" si="160"/>
        <v>7988.8549999999996</v>
      </c>
      <c r="AC95" s="70">
        <f t="shared" si="152"/>
        <v>0</v>
      </c>
      <c r="AD95" s="70">
        <v>0</v>
      </c>
      <c r="AE95" s="70">
        <v>0</v>
      </c>
      <c r="AF95" s="70">
        <f>9988.855-2000</f>
        <v>7988.8549999999996</v>
      </c>
      <c r="AG95" s="70">
        <v>0</v>
      </c>
      <c r="AH95" s="70">
        <f t="shared" si="161"/>
        <v>9988.8549999999996</v>
      </c>
      <c r="AI95" s="70">
        <v>2000</v>
      </c>
      <c r="AJ95" s="70">
        <v>0</v>
      </c>
      <c r="AK95" s="70">
        <f t="shared" si="162"/>
        <v>7988.8549999999996</v>
      </c>
      <c r="AL95" s="70">
        <v>0</v>
      </c>
      <c r="AM95" s="70">
        <v>0</v>
      </c>
      <c r="AN95" s="70">
        <f>9988.855-2000</f>
        <v>7988.8549999999996</v>
      </c>
      <c r="AO95" s="70">
        <v>0</v>
      </c>
      <c r="AP95" s="70">
        <f t="shared" si="163"/>
        <v>9988.8549999999996</v>
      </c>
      <c r="AQ95" s="70">
        <v>2000</v>
      </c>
      <c r="AR95" s="70">
        <v>0</v>
      </c>
      <c r="AS95" s="70">
        <f t="shared" si="164"/>
        <v>7988.8549999999996</v>
      </c>
      <c r="AT95" s="70">
        <v>0</v>
      </c>
      <c r="AU95" s="70">
        <v>0</v>
      </c>
      <c r="AV95" s="70">
        <f>9988.855-2000</f>
        <v>7988.8549999999996</v>
      </c>
      <c r="AW95" s="70">
        <v>0</v>
      </c>
      <c r="AX95" s="70">
        <f t="shared" si="165"/>
        <v>0</v>
      </c>
      <c r="AY95" s="70">
        <v>0</v>
      </c>
      <c r="AZ95" s="70">
        <v>0</v>
      </c>
      <c r="BA95" s="70">
        <f t="shared" si="166"/>
        <v>0</v>
      </c>
      <c r="BB95" s="67">
        <f t="shared" si="153"/>
        <v>0</v>
      </c>
      <c r="BC95" s="70">
        <v>0</v>
      </c>
      <c r="BD95" s="70">
        <v>0</v>
      </c>
      <c r="BE95" s="70">
        <v>0</v>
      </c>
      <c r="BF95" s="70">
        <v>0</v>
      </c>
      <c r="BG95" s="133">
        <f t="shared" si="167"/>
        <v>0</v>
      </c>
      <c r="BH95" s="133">
        <v>0</v>
      </c>
      <c r="BI95" s="133">
        <v>0</v>
      </c>
      <c r="BJ95" s="133">
        <f t="shared" si="168"/>
        <v>0</v>
      </c>
      <c r="BK95" s="133">
        <v>0</v>
      </c>
      <c r="BL95" s="133">
        <v>0</v>
      </c>
      <c r="BM95" s="133">
        <v>0</v>
      </c>
      <c r="BN95" s="133">
        <v>0</v>
      </c>
      <c r="BO95" s="133">
        <f t="shared" si="169"/>
        <v>0</v>
      </c>
      <c r="BP95" s="133">
        <v>0</v>
      </c>
      <c r="BQ95" s="133">
        <v>0</v>
      </c>
      <c r="BR95" s="133">
        <v>0</v>
      </c>
      <c r="BS95" s="133">
        <f t="shared" si="170"/>
        <v>0</v>
      </c>
      <c r="BT95" s="133">
        <v>0</v>
      </c>
      <c r="BU95" s="133">
        <v>0</v>
      </c>
      <c r="BV95" s="133">
        <v>0</v>
      </c>
      <c r="BW95" s="133"/>
      <c r="BX95" s="133"/>
      <c r="BY95" s="133"/>
      <c r="BZ95" s="133"/>
      <c r="CA95" s="133"/>
      <c r="CB95" s="133"/>
      <c r="CC95" s="434"/>
    </row>
    <row r="96" spans="1:81" ht="46.15" outlineLevel="1">
      <c r="A96" s="433">
        <v>12</v>
      </c>
      <c r="B96" s="549" t="s">
        <v>2259</v>
      </c>
      <c r="C96" s="420" t="s">
        <v>2260</v>
      </c>
      <c r="D96" s="420" t="s">
        <v>2113</v>
      </c>
      <c r="E96" s="420" t="s">
        <v>49</v>
      </c>
      <c r="F96" s="431" t="s">
        <v>105</v>
      </c>
      <c r="G96" s="422">
        <v>7957986</v>
      </c>
      <c r="H96" s="420" t="s">
        <v>2108</v>
      </c>
      <c r="I96" s="420" t="s">
        <v>52</v>
      </c>
      <c r="J96" s="422">
        <v>2022</v>
      </c>
      <c r="K96" s="420" t="s">
        <v>2261</v>
      </c>
      <c r="L96" s="420" t="s">
        <v>3634</v>
      </c>
      <c r="M96" s="169">
        <f t="shared" si="157"/>
        <v>1350</v>
      </c>
      <c r="N96" s="169">
        <v>0</v>
      </c>
      <c r="O96" s="169">
        <v>0</v>
      </c>
      <c r="P96" s="169">
        <v>1350</v>
      </c>
      <c r="Q96" s="70" t="s">
        <v>2262</v>
      </c>
      <c r="R96" s="70" t="s">
        <v>2108</v>
      </c>
      <c r="S96" s="70" t="s">
        <v>2112</v>
      </c>
      <c r="T96" s="70" t="s">
        <v>2113</v>
      </c>
      <c r="U96" s="70">
        <f t="shared" si="158"/>
        <v>0</v>
      </c>
      <c r="V96" s="70">
        <v>0</v>
      </c>
      <c r="W96" s="70">
        <v>0</v>
      </c>
      <c r="X96" s="70">
        <v>0</v>
      </c>
      <c r="Y96" s="70">
        <f t="shared" si="159"/>
        <v>1238.173</v>
      </c>
      <c r="Z96" s="70">
        <v>0</v>
      </c>
      <c r="AA96" s="70">
        <v>0</v>
      </c>
      <c r="AB96" s="70">
        <f t="shared" si="160"/>
        <v>1238.173</v>
      </c>
      <c r="AC96" s="70">
        <f t="shared" si="152"/>
        <v>0</v>
      </c>
      <c r="AD96" s="70"/>
      <c r="AE96" s="70">
        <v>0</v>
      </c>
      <c r="AF96" s="70">
        <v>0</v>
      </c>
      <c r="AG96" s="70">
        <v>1238.173</v>
      </c>
      <c r="AH96" s="70">
        <f t="shared" si="161"/>
        <v>1238.173</v>
      </c>
      <c r="AI96" s="70">
        <v>0</v>
      </c>
      <c r="AJ96" s="70">
        <v>0</v>
      </c>
      <c r="AK96" s="70">
        <f t="shared" si="162"/>
        <v>1238.173</v>
      </c>
      <c r="AL96" s="70"/>
      <c r="AM96" s="70">
        <v>0</v>
      </c>
      <c r="AN96" s="70">
        <v>0</v>
      </c>
      <c r="AO96" s="70">
        <v>1238.173</v>
      </c>
      <c r="AP96" s="70">
        <f t="shared" si="163"/>
        <v>1238.173</v>
      </c>
      <c r="AQ96" s="70">
        <v>0</v>
      </c>
      <c r="AR96" s="70">
        <v>0</v>
      </c>
      <c r="AS96" s="70">
        <f t="shared" si="164"/>
        <v>1238.173</v>
      </c>
      <c r="AT96" s="70"/>
      <c r="AU96" s="70">
        <v>0</v>
      </c>
      <c r="AV96" s="70">
        <v>0</v>
      </c>
      <c r="AW96" s="70">
        <v>1238.173</v>
      </c>
      <c r="AX96" s="70">
        <f t="shared" si="165"/>
        <v>0</v>
      </c>
      <c r="AY96" s="70">
        <v>0</v>
      </c>
      <c r="AZ96" s="70">
        <v>0</v>
      </c>
      <c r="BA96" s="70">
        <f t="shared" si="166"/>
        <v>0</v>
      </c>
      <c r="BB96" s="67">
        <f t="shared" si="153"/>
        <v>0</v>
      </c>
      <c r="BC96" s="70">
        <v>0</v>
      </c>
      <c r="BD96" s="70">
        <v>0</v>
      </c>
      <c r="BE96" s="70">
        <v>0</v>
      </c>
      <c r="BF96" s="70">
        <v>0</v>
      </c>
      <c r="BG96" s="133">
        <f t="shared" si="167"/>
        <v>0</v>
      </c>
      <c r="BH96" s="133">
        <v>0</v>
      </c>
      <c r="BI96" s="133">
        <v>0</v>
      </c>
      <c r="BJ96" s="133">
        <f t="shared" si="168"/>
        <v>0</v>
      </c>
      <c r="BK96" s="133">
        <v>0</v>
      </c>
      <c r="BL96" s="133">
        <v>0</v>
      </c>
      <c r="BM96" s="133">
        <v>0</v>
      </c>
      <c r="BN96" s="133">
        <v>0</v>
      </c>
      <c r="BO96" s="133">
        <f t="shared" si="169"/>
        <v>0</v>
      </c>
      <c r="BP96" s="133">
        <v>0</v>
      </c>
      <c r="BQ96" s="133">
        <v>0</v>
      </c>
      <c r="BR96" s="133">
        <v>0</v>
      </c>
      <c r="BS96" s="133">
        <f t="shared" si="170"/>
        <v>0</v>
      </c>
      <c r="BT96" s="133">
        <v>0</v>
      </c>
      <c r="BU96" s="133">
        <v>0</v>
      </c>
      <c r="BV96" s="133">
        <v>0</v>
      </c>
      <c r="BW96" s="133"/>
      <c r="BX96" s="133"/>
      <c r="BY96" s="133"/>
      <c r="BZ96" s="133"/>
      <c r="CA96" s="133"/>
      <c r="CB96" s="133"/>
      <c r="CC96" s="434"/>
    </row>
    <row r="97" spans="1:81" ht="73.5" customHeight="1" outlineLevel="1">
      <c r="A97" s="433">
        <v>13</v>
      </c>
      <c r="B97" s="549" t="s">
        <v>2277</v>
      </c>
      <c r="C97" s="420" t="s">
        <v>2244</v>
      </c>
      <c r="D97" s="420" t="s">
        <v>2113</v>
      </c>
      <c r="E97" s="420" t="s">
        <v>49</v>
      </c>
      <c r="F97" s="431" t="s">
        <v>105</v>
      </c>
      <c r="G97" s="422">
        <v>805189</v>
      </c>
      <c r="H97" s="420" t="s">
        <v>2112</v>
      </c>
      <c r="I97" s="420" t="s">
        <v>56</v>
      </c>
      <c r="J97" s="422">
        <v>2023</v>
      </c>
      <c r="K97" s="420" t="s">
        <v>2278</v>
      </c>
      <c r="L97" s="420" t="s">
        <v>3635</v>
      </c>
      <c r="M97" s="169">
        <f t="shared" si="157"/>
        <v>400</v>
      </c>
      <c r="N97" s="169">
        <v>0</v>
      </c>
      <c r="O97" s="169">
        <v>0</v>
      </c>
      <c r="P97" s="169">
        <v>400</v>
      </c>
      <c r="Q97" s="70" t="s">
        <v>2279</v>
      </c>
      <c r="R97" s="70" t="s">
        <v>2112</v>
      </c>
      <c r="S97" s="70" t="s">
        <v>2112</v>
      </c>
      <c r="T97" s="70" t="s">
        <v>2113</v>
      </c>
      <c r="U97" s="70">
        <f t="shared" si="158"/>
        <v>0</v>
      </c>
      <c r="V97" s="70">
        <v>0</v>
      </c>
      <c r="W97" s="70">
        <v>0</v>
      </c>
      <c r="X97" s="70">
        <v>0</v>
      </c>
      <c r="Y97" s="70">
        <f t="shared" si="159"/>
        <v>400</v>
      </c>
      <c r="Z97" s="70">
        <v>0</v>
      </c>
      <c r="AA97" s="70">
        <v>0</v>
      </c>
      <c r="AB97" s="70">
        <f t="shared" si="160"/>
        <v>400</v>
      </c>
      <c r="AC97" s="70">
        <f t="shared" si="152"/>
        <v>0</v>
      </c>
      <c r="AD97" s="70"/>
      <c r="AE97" s="70">
        <v>0</v>
      </c>
      <c r="AF97" s="70">
        <v>0</v>
      </c>
      <c r="AG97" s="70">
        <v>400</v>
      </c>
      <c r="AH97" s="70">
        <f t="shared" si="161"/>
        <v>400</v>
      </c>
      <c r="AI97" s="70">
        <v>0</v>
      </c>
      <c r="AJ97" s="70">
        <v>0</v>
      </c>
      <c r="AK97" s="70">
        <f t="shared" si="162"/>
        <v>400</v>
      </c>
      <c r="AL97" s="70"/>
      <c r="AM97" s="70">
        <v>0</v>
      </c>
      <c r="AN97" s="70">
        <v>0</v>
      </c>
      <c r="AO97" s="70">
        <v>400</v>
      </c>
      <c r="AP97" s="70">
        <f t="shared" si="163"/>
        <v>400</v>
      </c>
      <c r="AQ97" s="70">
        <v>0</v>
      </c>
      <c r="AR97" s="70">
        <v>0</v>
      </c>
      <c r="AS97" s="70">
        <f t="shared" si="164"/>
        <v>400</v>
      </c>
      <c r="AT97" s="70"/>
      <c r="AU97" s="70">
        <v>0</v>
      </c>
      <c r="AV97" s="70">
        <v>0</v>
      </c>
      <c r="AW97" s="70">
        <v>400</v>
      </c>
      <c r="AX97" s="70">
        <f t="shared" si="165"/>
        <v>0</v>
      </c>
      <c r="AY97" s="70">
        <v>0</v>
      </c>
      <c r="AZ97" s="70">
        <v>0</v>
      </c>
      <c r="BA97" s="70">
        <f t="shared" si="166"/>
        <v>0</v>
      </c>
      <c r="BB97" s="67">
        <f t="shared" si="153"/>
        <v>0</v>
      </c>
      <c r="BC97" s="70">
        <v>0</v>
      </c>
      <c r="BD97" s="70">
        <v>0</v>
      </c>
      <c r="BE97" s="70">
        <v>0</v>
      </c>
      <c r="BF97" s="70">
        <v>0</v>
      </c>
      <c r="BG97" s="133">
        <f t="shared" si="167"/>
        <v>0</v>
      </c>
      <c r="BH97" s="133">
        <v>0</v>
      </c>
      <c r="BI97" s="133">
        <v>0</v>
      </c>
      <c r="BJ97" s="133">
        <f t="shared" si="168"/>
        <v>0</v>
      </c>
      <c r="BK97" s="133">
        <v>0</v>
      </c>
      <c r="BL97" s="133">
        <v>0</v>
      </c>
      <c r="BM97" s="133">
        <v>0</v>
      </c>
      <c r="BN97" s="133">
        <v>0</v>
      </c>
      <c r="BO97" s="133">
        <f t="shared" si="169"/>
        <v>0</v>
      </c>
      <c r="BP97" s="133">
        <v>0</v>
      </c>
      <c r="BQ97" s="133">
        <v>0</v>
      </c>
      <c r="BR97" s="133">
        <v>0</v>
      </c>
      <c r="BS97" s="133">
        <f t="shared" si="170"/>
        <v>0</v>
      </c>
      <c r="BT97" s="133">
        <v>0</v>
      </c>
      <c r="BU97" s="133">
        <v>0</v>
      </c>
      <c r="BV97" s="133">
        <v>0</v>
      </c>
      <c r="BW97" s="133"/>
      <c r="BX97" s="133"/>
      <c r="BY97" s="133"/>
      <c r="BZ97" s="133"/>
      <c r="CA97" s="133"/>
      <c r="CB97" s="133"/>
      <c r="CC97" s="433"/>
    </row>
    <row r="98" spans="1:81" ht="20.100000000000001" customHeight="1" outlineLevel="1">
      <c r="A98" s="553" t="s">
        <v>45</v>
      </c>
      <c r="B98" s="558" t="s">
        <v>3668</v>
      </c>
      <c r="C98" s="420"/>
      <c r="D98" s="420"/>
      <c r="E98" s="420"/>
      <c r="F98" s="431"/>
      <c r="G98" s="422"/>
      <c r="H98" s="420"/>
      <c r="I98" s="420"/>
      <c r="J98" s="422"/>
      <c r="K98" s="420"/>
      <c r="L98" s="420"/>
      <c r="M98" s="169">
        <f>M99</f>
        <v>7500</v>
      </c>
      <c r="N98" s="169">
        <f t="shared" ref="N98:CA98" si="171">N99</f>
        <v>0</v>
      </c>
      <c r="O98" s="169">
        <f t="shared" si="171"/>
        <v>0</v>
      </c>
      <c r="P98" s="169">
        <f t="shared" si="171"/>
        <v>7500</v>
      </c>
      <c r="Q98" s="169">
        <f t="shared" si="171"/>
        <v>0</v>
      </c>
      <c r="R98" s="169">
        <f t="shared" si="171"/>
        <v>0</v>
      </c>
      <c r="S98" s="169">
        <f t="shared" si="171"/>
        <v>0</v>
      </c>
      <c r="T98" s="169">
        <f t="shared" si="171"/>
        <v>0</v>
      </c>
      <c r="U98" s="169">
        <f t="shared" si="171"/>
        <v>0</v>
      </c>
      <c r="V98" s="169">
        <f t="shared" si="171"/>
        <v>0</v>
      </c>
      <c r="W98" s="169">
        <f t="shared" si="171"/>
        <v>0</v>
      </c>
      <c r="X98" s="169">
        <f t="shared" si="171"/>
        <v>0</v>
      </c>
      <c r="Y98" s="169">
        <f t="shared" si="171"/>
        <v>300</v>
      </c>
      <c r="Z98" s="169">
        <f t="shared" si="171"/>
        <v>0</v>
      </c>
      <c r="AA98" s="169">
        <f t="shared" si="171"/>
        <v>0</v>
      </c>
      <c r="AB98" s="169">
        <f t="shared" si="171"/>
        <v>300</v>
      </c>
      <c r="AC98" s="70">
        <f t="shared" si="152"/>
        <v>0</v>
      </c>
      <c r="AD98" s="169">
        <f t="shared" si="171"/>
        <v>0</v>
      </c>
      <c r="AE98" s="169">
        <f t="shared" si="171"/>
        <v>0</v>
      </c>
      <c r="AF98" s="169">
        <f t="shared" si="171"/>
        <v>300</v>
      </c>
      <c r="AG98" s="169">
        <f t="shared" si="171"/>
        <v>0</v>
      </c>
      <c r="AH98" s="169">
        <f t="shared" si="171"/>
        <v>0</v>
      </c>
      <c r="AI98" s="169">
        <f t="shared" si="171"/>
        <v>0</v>
      </c>
      <c r="AJ98" s="169">
        <f t="shared" si="171"/>
        <v>0</v>
      </c>
      <c r="AK98" s="169">
        <f t="shared" si="171"/>
        <v>300</v>
      </c>
      <c r="AL98" s="169">
        <f t="shared" si="171"/>
        <v>0</v>
      </c>
      <c r="AM98" s="169">
        <f t="shared" si="171"/>
        <v>0</v>
      </c>
      <c r="AN98" s="169">
        <f t="shared" si="171"/>
        <v>300</v>
      </c>
      <c r="AO98" s="169">
        <f t="shared" si="171"/>
        <v>0</v>
      </c>
      <c r="AP98" s="169">
        <f t="shared" si="171"/>
        <v>0</v>
      </c>
      <c r="AQ98" s="169">
        <f t="shared" si="171"/>
        <v>0</v>
      </c>
      <c r="AR98" s="169">
        <f t="shared" si="171"/>
        <v>0</v>
      </c>
      <c r="AS98" s="169">
        <f t="shared" si="171"/>
        <v>300</v>
      </c>
      <c r="AT98" s="169">
        <f t="shared" si="171"/>
        <v>0</v>
      </c>
      <c r="AU98" s="169">
        <f t="shared" si="171"/>
        <v>0</v>
      </c>
      <c r="AV98" s="169">
        <f t="shared" si="171"/>
        <v>300</v>
      </c>
      <c r="AW98" s="169">
        <f t="shared" si="171"/>
        <v>0</v>
      </c>
      <c r="AX98" s="169">
        <f t="shared" si="171"/>
        <v>0</v>
      </c>
      <c r="AY98" s="169">
        <f t="shared" si="171"/>
        <v>0</v>
      </c>
      <c r="AZ98" s="169">
        <f t="shared" si="171"/>
        <v>0</v>
      </c>
      <c r="BA98" s="169">
        <f t="shared" si="171"/>
        <v>0</v>
      </c>
      <c r="BB98" s="67">
        <f t="shared" si="153"/>
        <v>0</v>
      </c>
      <c r="BC98" s="169">
        <f t="shared" si="171"/>
        <v>0</v>
      </c>
      <c r="BD98" s="169">
        <f t="shared" si="171"/>
        <v>0</v>
      </c>
      <c r="BE98" s="169">
        <f t="shared" si="171"/>
        <v>0</v>
      </c>
      <c r="BF98" s="169">
        <f t="shared" si="171"/>
        <v>0</v>
      </c>
      <c r="BG98" s="206">
        <f t="shared" si="171"/>
        <v>0</v>
      </c>
      <c r="BH98" s="206">
        <f t="shared" si="171"/>
        <v>0</v>
      </c>
      <c r="BI98" s="206">
        <f t="shared" si="171"/>
        <v>0</v>
      </c>
      <c r="BJ98" s="206">
        <f t="shared" si="171"/>
        <v>0</v>
      </c>
      <c r="BK98" s="206">
        <f t="shared" si="171"/>
        <v>0</v>
      </c>
      <c r="BL98" s="206">
        <f t="shared" si="171"/>
        <v>0</v>
      </c>
      <c r="BM98" s="206">
        <f t="shared" si="171"/>
        <v>0</v>
      </c>
      <c r="BN98" s="206">
        <f t="shared" si="171"/>
        <v>0</v>
      </c>
      <c r="BO98" s="206">
        <f t="shared" si="171"/>
        <v>0</v>
      </c>
      <c r="BP98" s="206">
        <f t="shared" si="171"/>
        <v>0</v>
      </c>
      <c r="BQ98" s="206">
        <f t="shared" si="171"/>
        <v>0</v>
      </c>
      <c r="BR98" s="206">
        <f t="shared" si="171"/>
        <v>0</v>
      </c>
      <c r="BS98" s="206">
        <f t="shared" si="171"/>
        <v>0</v>
      </c>
      <c r="BT98" s="206">
        <f t="shared" si="171"/>
        <v>0</v>
      </c>
      <c r="BU98" s="206">
        <f t="shared" si="171"/>
        <v>0</v>
      </c>
      <c r="BV98" s="206">
        <f t="shared" si="171"/>
        <v>0</v>
      </c>
      <c r="BW98" s="206">
        <f t="shared" si="171"/>
        <v>0</v>
      </c>
      <c r="BX98" s="206">
        <f t="shared" si="171"/>
        <v>0</v>
      </c>
      <c r="BY98" s="206">
        <f t="shared" si="171"/>
        <v>0</v>
      </c>
      <c r="BZ98" s="206">
        <f t="shared" si="171"/>
        <v>0</v>
      </c>
      <c r="CA98" s="206">
        <f t="shared" si="171"/>
        <v>0</v>
      </c>
      <c r="CB98" s="206"/>
      <c r="CC98" s="433"/>
    </row>
    <row r="99" spans="1:81" ht="46.5" customHeight="1" outlineLevel="1">
      <c r="A99" s="433">
        <v>1</v>
      </c>
      <c r="B99" s="549" t="s">
        <v>2280</v>
      </c>
      <c r="C99" s="420" t="s">
        <v>1238</v>
      </c>
      <c r="D99" s="420" t="s">
        <v>2113</v>
      </c>
      <c r="E99" s="420" t="s">
        <v>49</v>
      </c>
      <c r="F99" s="557"/>
      <c r="G99" s="551"/>
      <c r="H99" s="420" t="s">
        <v>2112</v>
      </c>
      <c r="I99" s="420" t="s">
        <v>52</v>
      </c>
      <c r="J99" s="420"/>
      <c r="K99" s="420"/>
      <c r="L99" s="420" t="s">
        <v>3647</v>
      </c>
      <c r="M99" s="169">
        <v>7500</v>
      </c>
      <c r="N99" s="169"/>
      <c r="O99" s="169"/>
      <c r="P99" s="169">
        <v>7500</v>
      </c>
      <c r="Q99" s="67"/>
      <c r="R99" s="67"/>
      <c r="S99" s="104"/>
      <c r="T99" s="67"/>
      <c r="U99" s="67"/>
      <c r="V99" s="67"/>
      <c r="W99" s="67"/>
      <c r="X99" s="67"/>
      <c r="Y99" s="70">
        <f>SUM(Z99:AB99)</f>
        <v>300</v>
      </c>
      <c r="Z99" s="70"/>
      <c r="AA99" s="70"/>
      <c r="AB99" s="70">
        <f t="shared" ref="AB99" si="172">SUM(AD99:AG99)</f>
        <v>300</v>
      </c>
      <c r="AC99" s="70">
        <f t="shared" si="152"/>
        <v>0</v>
      </c>
      <c r="AD99" s="70"/>
      <c r="AE99" s="67"/>
      <c r="AF99" s="70">
        <v>300</v>
      </c>
      <c r="AG99" s="67"/>
      <c r="AH99" s="67"/>
      <c r="AI99" s="67"/>
      <c r="AJ99" s="67"/>
      <c r="AK99" s="70">
        <f t="shared" ref="AK99" si="173">SUM(AL99:AO99)</f>
        <v>300</v>
      </c>
      <c r="AL99" s="67"/>
      <c r="AM99" s="67"/>
      <c r="AN99" s="70">
        <v>300</v>
      </c>
      <c r="AO99" s="67"/>
      <c r="AP99" s="67"/>
      <c r="AQ99" s="67"/>
      <c r="AR99" s="67"/>
      <c r="AS99" s="70">
        <f t="shared" ref="AS99" si="174">SUM(AT99:AW99)</f>
        <v>300</v>
      </c>
      <c r="AT99" s="67"/>
      <c r="AU99" s="67"/>
      <c r="AV99" s="70">
        <v>300</v>
      </c>
      <c r="AW99" s="67"/>
      <c r="AX99" s="67"/>
      <c r="AY99" s="67"/>
      <c r="AZ99" s="67"/>
      <c r="BA99" s="67"/>
      <c r="BB99" s="67">
        <f t="shared" si="153"/>
        <v>0</v>
      </c>
      <c r="BC99" s="67"/>
      <c r="BD99" s="67"/>
      <c r="BE99" s="67"/>
      <c r="BF99" s="67"/>
      <c r="BG99" s="207"/>
      <c r="BH99" s="207"/>
      <c r="BI99" s="207"/>
      <c r="BJ99" s="207"/>
      <c r="BK99" s="207"/>
      <c r="BL99" s="207"/>
      <c r="BM99" s="207"/>
      <c r="BN99" s="207"/>
      <c r="BO99" s="207"/>
      <c r="BP99" s="207"/>
      <c r="BQ99" s="207"/>
      <c r="BR99" s="207"/>
      <c r="BS99" s="207"/>
      <c r="BT99" s="207"/>
      <c r="BU99" s="207"/>
      <c r="BV99" s="207"/>
      <c r="BW99" s="207"/>
      <c r="BX99" s="207"/>
      <c r="BY99" s="207"/>
      <c r="BZ99" s="207"/>
      <c r="CA99" s="207"/>
      <c r="CB99" s="207"/>
      <c r="CC99" s="555"/>
    </row>
    <row r="100" spans="1:81" ht="57" customHeight="1">
      <c r="A100" s="477" t="s">
        <v>49</v>
      </c>
      <c r="B100" s="418" t="s">
        <v>1216</v>
      </c>
      <c r="C100" s="191"/>
      <c r="D100" s="478"/>
      <c r="E100" s="191"/>
      <c r="F100" s="191"/>
      <c r="G100" s="191"/>
      <c r="H100" s="191"/>
      <c r="I100" s="479"/>
      <c r="J100" s="479"/>
      <c r="K100" s="478"/>
      <c r="L100" s="478"/>
      <c r="M100" s="303"/>
      <c r="N100" s="303"/>
      <c r="O100" s="303"/>
      <c r="P100" s="303"/>
      <c r="Q100" s="303"/>
      <c r="R100" s="303"/>
      <c r="S100" s="303"/>
      <c r="T100" s="303"/>
      <c r="U100" s="303">
        <f>U101+U119+U132+U148</f>
        <v>0</v>
      </c>
      <c r="V100" s="303"/>
      <c r="W100" s="303"/>
      <c r="X100" s="303"/>
      <c r="Y100" s="303">
        <f>Y101+Y119+Y132+Y148</f>
        <v>17017.149999999998</v>
      </c>
      <c r="Z100" s="303">
        <f t="shared" ref="Z100:CA100" si="175">Z101+Z119+Z132+Z148</f>
        <v>0</v>
      </c>
      <c r="AA100" s="303">
        <f t="shared" si="175"/>
        <v>0</v>
      </c>
      <c r="AB100" s="303">
        <f t="shared" si="175"/>
        <v>17017.149999999998</v>
      </c>
      <c r="AC100" s="303">
        <f t="shared" si="152"/>
        <v>0</v>
      </c>
      <c r="AD100" s="303">
        <f t="shared" si="175"/>
        <v>0</v>
      </c>
      <c r="AE100" s="303">
        <f t="shared" si="175"/>
        <v>0</v>
      </c>
      <c r="AF100" s="303">
        <f t="shared" si="175"/>
        <v>17017.149999999998</v>
      </c>
      <c r="AG100" s="303">
        <f t="shared" si="175"/>
        <v>0</v>
      </c>
      <c r="AH100" s="303">
        <f t="shared" si="175"/>
        <v>9942.2999999999993</v>
      </c>
      <c r="AI100" s="303">
        <f t="shared" si="175"/>
        <v>0</v>
      </c>
      <c r="AJ100" s="303">
        <f t="shared" si="175"/>
        <v>0</v>
      </c>
      <c r="AK100" s="303">
        <f t="shared" si="175"/>
        <v>9942.2999999999993</v>
      </c>
      <c r="AL100" s="303">
        <f t="shared" si="175"/>
        <v>0</v>
      </c>
      <c r="AM100" s="303">
        <f t="shared" si="175"/>
        <v>0</v>
      </c>
      <c r="AN100" s="303">
        <f t="shared" si="175"/>
        <v>9942.2999999999993</v>
      </c>
      <c r="AO100" s="303">
        <f t="shared" si="175"/>
        <v>0</v>
      </c>
      <c r="AP100" s="303">
        <f t="shared" si="175"/>
        <v>9942.2999999999993</v>
      </c>
      <c r="AQ100" s="303">
        <f t="shared" si="175"/>
        <v>0</v>
      </c>
      <c r="AR100" s="303">
        <f t="shared" si="175"/>
        <v>0</v>
      </c>
      <c r="AS100" s="303">
        <f t="shared" si="175"/>
        <v>9942.2999999999993</v>
      </c>
      <c r="AT100" s="303">
        <f t="shared" si="175"/>
        <v>0</v>
      </c>
      <c r="AU100" s="303">
        <f t="shared" si="175"/>
        <v>0</v>
      </c>
      <c r="AV100" s="303">
        <f t="shared" si="175"/>
        <v>9942.2999999999993</v>
      </c>
      <c r="AW100" s="303">
        <f t="shared" si="175"/>
        <v>0</v>
      </c>
      <c r="AX100" s="303">
        <f t="shared" si="175"/>
        <v>7074.85</v>
      </c>
      <c r="AY100" s="303">
        <f t="shared" si="175"/>
        <v>0</v>
      </c>
      <c r="AZ100" s="303">
        <f t="shared" si="175"/>
        <v>0</v>
      </c>
      <c r="BA100" s="303">
        <f t="shared" si="175"/>
        <v>7074.85</v>
      </c>
      <c r="BB100" s="303">
        <f t="shared" si="153"/>
        <v>0</v>
      </c>
      <c r="BC100" s="303">
        <f t="shared" si="175"/>
        <v>0</v>
      </c>
      <c r="BD100" s="303">
        <f t="shared" si="175"/>
        <v>0</v>
      </c>
      <c r="BE100" s="303">
        <f>BE101+BE119+BE132+BE148</f>
        <v>7074.85</v>
      </c>
      <c r="BF100" s="303">
        <f t="shared" si="175"/>
        <v>0</v>
      </c>
      <c r="BG100" s="479">
        <f t="shared" si="175"/>
        <v>7068.1</v>
      </c>
      <c r="BH100" s="479">
        <f t="shared" si="175"/>
        <v>0</v>
      </c>
      <c r="BI100" s="479">
        <f t="shared" si="175"/>
        <v>0</v>
      </c>
      <c r="BJ100" s="479">
        <f t="shared" si="175"/>
        <v>7068.1</v>
      </c>
      <c r="BK100" s="479">
        <f t="shared" si="175"/>
        <v>0</v>
      </c>
      <c r="BL100" s="479">
        <f t="shared" si="175"/>
        <v>0</v>
      </c>
      <c r="BM100" s="479">
        <f t="shared" si="175"/>
        <v>7068.1</v>
      </c>
      <c r="BN100" s="479">
        <f t="shared" si="175"/>
        <v>0</v>
      </c>
      <c r="BO100" s="479">
        <f t="shared" si="175"/>
        <v>0</v>
      </c>
      <c r="BP100" s="479">
        <f t="shared" si="175"/>
        <v>0</v>
      </c>
      <c r="BQ100" s="479">
        <f t="shared" si="175"/>
        <v>0</v>
      </c>
      <c r="BR100" s="479">
        <f t="shared" si="175"/>
        <v>0</v>
      </c>
      <c r="BS100" s="479">
        <f t="shared" si="175"/>
        <v>0</v>
      </c>
      <c r="BT100" s="479">
        <f t="shared" si="175"/>
        <v>0</v>
      </c>
      <c r="BU100" s="479">
        <f t="shared" si="175"/>
        <v>0</v>
      </c>
      <c r="BV100" s="479">
        <f t="shared" si="175"/>
        <v>0</v>
      </c>
      <c r="BW100" s="479">
        <f t="shared" si="175"/>
        <v>0</v>
      </c>
      <c r="BX100" s="479">
        <f t="shared" si="175"/>
        <v>0</v>
      </c>
      <c r="BY100" s="479">
        <f t="shared" si="175"/>
        <v>0</v>
      </c>
      <c r="BZ100" s="479">
        <f t="shared" si="175"/>
        <v>0</v>
      </c>
      <c r="CA100" s="479">
        <f t="shared" si="175"/>
        <v>0</v>
      </c>
      <c r="CB100" s="559">
        <v>163.190541</v>
      </c>
      <c r="CC100" s="560" t="s">
        <v>1218</v>
      </c>
    </row>
    <row r="101" spans="1:81" ht="63.75" hidden="1" customHeight="1">
      <c r="A101" s="433" t="s">
        <v>2281</v>
      </c>
      <c r="B101" s="549" t="s">
        <v>2282</v>
      </c>
      <c r="C101" s="420"/>
      <c r="D101" s="420"/>
      <c r="E101" s="431"/>
      <c r="F101" s="422"/>
      <c r="G101" s="420"/>
      <c r="H101" s="422"/>
      <c r="I101" s="420"/>
      <c r="J101" s="420"/>
      <c r="K101" s="206"/>
      <c r="L101" s="206"/>
      <c r="M101" s="169"/>
      <c r="N101" s="169"/>
      <c r="O101" s="70"/>
      <c r="P101" s="70"/>
      <c r="Q101" s="110"/>
      <c r="R101" s="70" t="s">
        <v>2194</v>
      </c>
      <c r="S101" s="70" t="s">
        <v>2196</v>
      </c>
      <c r="T101" s="70">
        <f t="shared" ref="T101" si="176">SUM(T102:T118)</f>
        <v>0</v>
      </c>
      <c r="U101" s="70"/>
      <c r="V101" s="70"/>
      <c r="W101" s="70"/>
      <c r="X101" s="70"/>
      <c r="Y101" s="70">
        <f>SUM(Y102:Y118)</f>
        <v>4410.7159999999994</v>
      </c>
      <c r="Z101" s="70">
        <f t="shared" ref="Z101:AW101" si="177">SUM(Z102:Z118)</f>
        <v>0</v>
      </c>
      <c r="AA101" s="70">
        <f t="shared" si="177"/>
        <v>0</v>
      </c>
      <c r="AB101" s="70">
        <f t="shared" si="177"/>
        <v>4410.7159999999994</v>
      </c>
      <c r="AC101" s="70">
        <f t="shared" si="152"/>
        <v>0</v>
      </c>
      <c r="AD101" s="70">
        <f t="shared" si="177"/>
        <v>0</v>
      </c>
      <c r="AE101" s="70">
        <f t="shared" si="177"/>
        <v>0</v>
      </c>
      <c r="AF101" s="70">
        <f t="shared" si="177"/>
        <v>4410.7159999999994</v>
      </c>
      <c r="AG101" s="70">
        <f t="shared" si="177"/>
        <v>0</v>
      </c>
      <c r="AH101" s="70">
        <f t="shared" si="177"/>
        <v>4391.9659999999994</v>
      </c>
      <c r="AI101" s="70">
        <f t="shared" si="177"/>
        <v>0</v>
      </c>
      <c r="AJ101" s="70">
        <f t="shared" si="177"/>
        <v>0</v>
      </c>
      <c r="AK101" s="70">
        <f t="shared" si="177"/>
        <v>4391.9659999999994</v>
      </c>
      <c r="AL101" s="70">
        <f t="shared" si="177"/>
        <v>0</v>
      </c>
      <c r="AM101" s="70">
        <f t="shared" si="177"/>
        <v>0</v>
      </c>
      <c r="AN101" s="70">
        <f t="shared" si="177"/>
        <v>4391.9659999999994</v>
      </c>
      <c r="AO101" s="70">
        <f t="shared" si="177"/>
        <v>0</v>
      </c>
      <c r="AP101" s="70">
        <f t="shared" si="177"/>
        <v>4391.9659999999994</v>
      </c>
      <c r="AQ101" s="70">
        <f t="shared" si="177"/>
        <v>0</v>
      </c>
      <c r="AR101" s="70">
        <f t="shared" si="177"/>
        <v>0</v>
      </c>
      <c r="AS101" s="70">
        <f t="shared" si="177"/>
        <v>4391.9659999999994</v>
      </c>
      <c r="AT101" s="70">
        <f t="shared" si="177"/>
        <v>0</v>
      </c>
      <c r="AU101" s="70">
        <f t="shared" si="177"/>
        <v>0</v>
      </c>
      <c r="AV101" s="70">
        <f t="shared" si="177"/>
        <v>4391.9659999999994</v>
      </c>
      <c r="AW101" s="70">
        <f t="shared" si="177"/>
        <v>0</v>
      </c>
      <c r="AX101" s="70">
        <f>SUM(AX102:AX118)</f>
        <v>18.75</v>
      </c>
      <c r="AY101" s="70">
        <f t="shared" ref="AY101:BD101" si="178">SUM(AY102:AY118)</f>
        <v>0</v>
      </c>
      <c r="AZ101" s="70">
        <f t="shared" si="178"/>
        <v>0</v>
      </c>
      <c r="BA101" s="70">
        <f t="shared" si="178"/>
        <v>18.75</v>
      </c>
      <c r="BB101" s="67">
        <f t="shared" si="153"/>
        <v>0</v>
      </c>
      <c r="BC101" s="70">
        <f t="shared" si="178"/>
        <v>0</v>
      </c>
      <c r="BD101" s="70">
        <f t="shared" si="178"/>
        <v>0</v>
      </c>
      <c r="BE101" s="70">
        <f>SUM(BE102:BE118)</f>
        <v>18.75</v>
      </c>
      <c r="BF101" s="70">
        <f t="shared" ref="BF101:BZ101" si="179">SUM(BF102:BF118)</f>
        <v>0</v>
      </c>
      <c r="BG101" s="133">
        <f t="shared" si="179"/>
        <v>12</v>
      </c>
      <c r="BH101" s="133">
        <f t="shared" si="179"/>
        <v>0</v>
      </c>
      <c r="BI101" s="133">
        <f t="shared" si="179"/>
        <v>0</v>
      </c>
      <c r="BJ101" s="133">
        <f t="shared" si="179"/>
        <v>12</v>
      </c>
      <c r="BK101" s="133">
        <f t="shared" si="179"/>
        <v>0</v>
      </c>
      <c r="BL101" s="133">
        <f t="shared" si="179"/>
        <v>0</v>
      </c>
      <c r="BM101" s="133">
        <f t="shared" si="179"/>
        <v>12</v>
      </c>
      <c r="BN101" s="133">
        <f t="shared" si="179"/>
        <v>0</v>
      </c>
      <c r="BO101" s="133">
        <f t="shared" si="179"/>
        <v>0</v>
      </c>
      <c r="BP101" s="133">
        <f t="shared" si="179"/>
        <v>0</v>
      </c>
      <c r="BQ101" s="133">
        <f t="shared" si="179"/>
        <v>0</v>
      </c>
      <c r="BR101" s="133">
        <f t="shared" si="179"/>
        <v>0</v>
      </c>
      <c r="BS101" s="133">
        <f t="shared" si="179"/>
        <v>0</v>
      </c>
      <c r="BT101" s="133">
        <f t="shared" si="179"/>
        <v>0</v>
      </c>
      <c r="BU101" s="133">
        <f t="shared" si="179"/>
        <v>0</v>
      </c>
      <c r="BV101" s="133">
        <f t="shared" si="179"/>
        <v>0</v>
      </c>
      <c r="BW101" s="133">
        <f t="shared" si="179"/>
        <v>0</v>
      </c>
      <c r="BX101" s="133">
        <f t="shared" si="179"/>
        <v>0</v>
      </c>
      <c r="BY101" s="133">
        <f t="shared" si="179"/>
        <v>0</v>
      </c>
      <c r="BZ101" s="133">
        <f t="shared" si="179"/>
        <v>0</v>
      </c>
      <c r="CA101" s="424"/>
      <c r="CB101" s="424"/>
      <c r="CC101" s="424"/>
    </row>
    <row r="102" spans="1:81" ht="66" hidden="1" customHeight="1">
      <c r="A102" s="433"/>
      <c r="B102" s="549" t="s">
        <v>2283</v>
      </c>
      <c r="C102" s="420"/>
      <c r="D102" s="420"/>
      <c r="E102" s="431"/>
      <c r="F102" s="422"/>
      <c r="G102" s="420"/>
      <c r="H102" s="422"/>
      <c r="I102" s="420"/>
      <c r="J102" s="420"/>
      <c r="K102" s="206"/>
      <c r="L102" s="206"/>
      <c r="M102" s="169"/>
      <c r="N102" s="169"/>
      <c r="O102" s="70"/>
      <c r="P102" s="70"/>
      <c r="Q102" s="70"/>
      <c r="R102" s="70"/>
      <c r="S102" s="70">
        <f t="shared" ref="S102:S107" si="180">SUM(T102:V102)</f>
        <v>0</v>
      </c>
      <c r="T102" s="70">
        <v>0</v>
      </c>
      <c r="U102" s="70"/>
      <c r="V102" s="70"/>
      <c r="W102" s="70"/>
      <c r="X102" s="70"/>
      <c r="Y102" s="70">
        <f>SUM(Z102:AB102)</f>
        <v>235</v>
      </c>
      <c r="Z102" s="70"/>
      <c r="AA102" s="70"/>
      <c r="AB102" s="70">
        <f>SUM(AD102:AG102)</f>
        <v>235</v>
      </c>
      <c r="AC102" s="70">
        <f t="shared" si="152"/>
        <v>0</v>
      </c>
      <c r="AD102" s="70"/>
      <c r="AE102" s="70"/>
      <c r="AF102" s="70">
        <v>235</v>
      </c>
      <c r="AG102" s="70"/>
      <c r="AH102" s="70">
        <f>SUM(AI102:AK102)</f>
        <v>235</v>
      </c>
      <c r="AI102" s="70"/>
      <c r="AJ102" s="70"/>
      <c r="AK102" s="70">
        <f>SUM(AL102:AO102)</f>
        <v>235</v>
      </c>
      <c r="AL102" s="70"/>
      <c r="AM102" s="70"/>
      <c r="AN102" s="70">
        <v>235</v>
      </c>
      <c r="AO102" s="70"/>
      <c r="AP102" s="70">
        <f>SUM(AQ102:AS102)</f>
        <v>235</v>
      </c>
      <c r="AQ102" s="70"/>
      <c r="AR102" s="70"/>
      <c r="AS102" s="70">
        <f>SUM(AT102:AW102)</f>
        <v>235</v>
      </c>
      <c r="AT102" s="70"/>
      <c r="AU102" s="70"/>
      <c r="AV102" s="70">
        <v>235</v>
      </c>
      <c r="AW102" s="70"/>
      <c r="AX102" s="70">
        <f>SUM(AY102:BA102)</f>
        <v>0</v>
      </c>
      <c r="AY102" s="70"/>
      <c r="AZ102" s="70"/>
      <c r="BA102" s="70">
        <f>SUM(BC102:BF102)</f>
        <v>0</v>
      </c>
      <c r="BB102" s="67">
        <f t="shared" si="153"/>
        <v>0</v>
      </c>
      <c r="BC102" s="70"/>
      <c r="BD102" s="70"/>
      <c r="BE102" s="70">
        <v>0</v>
      </c>
      <c r="BF102" s="70"/>
      <c r="BG102" s="133">
        <f>SUM(BH102:BJ102)</f>
        <v>0</v>
      </c>
      <c r="BH102" s="133"/>
      <c r="BI102" s="133"/>
      <c r="BJ102" s="133">
        <f>SUM(BK102:BN102)</f>
        <v>0</v>
      </c>
      <c r="BK102" s="133"/>
      <c r="BL102" s="133"/>
      <c r="BM102" s="133">
        <v>0</v>
      </c>
      <c r="BN102" s="133"/>
      <c r="BO102" s="133">
        <f>SUM(BP102:BR102)</f>
        <v>0</v>
      </c>
      <c r="BP102" s="133"/>
      <c r="BQ102" s="133"/>
      <c r="BR102" s="133">
        <f>SUM(BS102:BV102)</f>
        <v>0</v>
      </c>
      <c r="BS102" s="133"/>
      <c r="BT102" s="133"/>
      <c r="BU102" s="133"/>
      <c r="BV102" s="133"/>
      <c r="BW102" s="133">
        <v>0</v>
      </c>
      <c r="BX102" s="133">
        <v>0</v>
      </c>
      <c r="BY102" s="133"/>
      <c r="BZ102" s="434"/>
      <c r="CA102" s="424"/>
      <c r="CB102" s="424"/>
      <c r="CC102" s="424"/>
    </row>
    <row r="103" spans="1:81" ht="66" hidden="1" customHeight="1">
      <c r="A103" s="433"/>
      <c r="B103" s="549" t="s">
        <v>2284</v>
      </c>
      <c r="C103" s="420"/>
      <c r="D103" s="420"/>
      <c r="E103" s="431"/>
      <c r="F103" s="422"/>
      <c r="G103" s="420"/>
      <c r="H103" s="422"/>
      <c r="I103" s="420"/>
      <c r="J103" s="420"/>
      <c r="K103" s="206"/>
      <c r="L103" s="206"/>
      <c r="M103" s="169"/>
      <c r="N103" s="169"/>
      <c r="O103" s="70"/>
      <c r="P103" s="70"/>
      <c r="Q103" s="70"/>
      <c r="R103" s="70"/>
      <c r="S103" s="70">
        <f t="shared" si="180"/>
        <v>0</v>
      </c>
      <c r="T103" s="70">
        <v>0</v>
      </c>
      <c r="U103" s="70"/>
      <c r="V103" s="70"/>
      <c r="W103" s="70"/>
      <c r="X103" s="70"/>
      <c r="Y103" s="70">
        <f t="shared" ref="Y103:Y147" si="181">SUM(Z103:AB103)</f>
        <v>305.3</v>
      </c>
      <c r="Z103" s="70"/>
      <c r="AA103" s="70"/>
      <c r="AB103" s="70">
        <f t="shared" ref="AB103:AB147" si="182">SUM(AD103:AG103)</f>
        <v>305.3</v>
      </c>
      <c r="AC103" s="70">
        <f t="shared" si="152"/>
        <v>0</v>
      </c>
      <c r="AD103" s="70"/>
      <c r="AE103" s="70"/>
      <c r="AF103" s="70">
        <v>305.3</v>
      </c>
      <c r="AG103" s="70"/>
      <c r="AH103" s="70">
        <f t="shared" ref="AH103:AH118" si="183">SUM(AI103:AK103)</f>
        <v>305.3</v>
      </c>
      <c r="AI103" s="70"/>
      <c r="AJ103" s="70"/>
      <c r="AK103" s="70">
        <f t="shared" ref="AK103:AK118" si="184">SUM(AL103:AO103)</f>
        <v>305.3</v>
      </c>
      <c r="AL103" s="70"/>
      <c r="AM103" s="70"/>
      <c r="AN103" s="70">
        <v>305.3</v>
      </c>
      <c r="AO103" s="70"/>
      <c r="AP103" s="70">
        <f t="shared" ref="AP103:AP118" si="185">SUM(AQ103:AS103)</f>
        <v>305.3</v>
      </c>
      <c r="AQ103" s="70"/>
      <c r="AR103" s="70"/>
      <c r="AS103" s="70">
        <f t="shared" ref="AS103:AS118" si="186">SUM(AT103:AW103)</f>
        <v>305.3</v>
      </c>
      <c r="AT103" s="70"/>
      <c r="AU103" s="70"/>
      <c r="AV103" s="70">
        <v>305.3</v>
      </c>
      <c r="AW103" s="70"/>
      <c r="AX103" s="70">
        <f t="shared" ref="AX103:AX118" si="187">SUM(AY103:BA103)</f>
        <v>0</v>
      </c>
      <c r="AY103" s="70"/>
      <c r="AZ103" s="70"/>
      <c r="BA103" s="70">
        <f t="shared" ref="BA103:BA118" si="188">SUM(BC103:BF103)</f>
        <v>0</v>
      </c>
      <c r="BB103" s="67">
        <f t="shared" si="153"/>
        <v>0</v>
      </c>
      <c r="BC103" s="70"/>
      <c r="BD103" s="70"/>
      <c r="BE103" s="70">
        <v>0</v>
      </c>
      <c r="BF103" s="70"/>
      <c r="BG103" s="133">
        <f t="shared" ref="BG103:BG118" si="189">SUM(BH103:BJ103)</f>
        <v>0</v>
      </c>
      <c r="BH103" s="133"/>
      <c r="BI103" s="133"/>
      <c r="BJ103" s="133">
        <f t="shared" ref="BJ103:BJ118" si="190">SUM(BK103:BN103)</f>
        <v>0</v>
      </c>
      <c r="BK103" s="133"/>
      <c r="BL103" s="133"/>
      <c r="BM103" s="133">
        <v>0</v>
      </c>
      <c r="BN103" s="133"/>
      <c r="BO103" s="133">
        <f t="shared" ref="BO103:BO118" si="191">SUM(BP103:BR103)</f>
        <v>0</v>
      </c>
      <c r="BP103" s="133"/>
      <c r="BQ103" s="133"/>
      <c r="BR103" s="133">
        <f t="shared" ref="BR103:BR118" si="192">SUM(BS103:BV103)</f>
        <v>0</v>
      </c>
      <c r="BS103" s="133"/>
      <c r="BT103" s="133"/>
      <c r="BU103" s="133"/>
      <c r="BV103" s="133"/>
      <c r="BW103" s="133">
        <v>0</v>
      </c>
      <c r="BX103" s="133">
        <v>0</v>
      </c>
      <c r="BY103" s="133"/>
      <c r="BZ103" s="434"/>
      <c r="CA103" s="424"/>
      <c r="CB103" s="424"/>
      <c r="CC103" s="424"/>
    </row>
    <row r="104" spans="1:81" ht="30.75" hidden="1">
      <c r="A104" s="433"/>
      <c r="B104" s="549" t="s">
        <v>2285</v>
      </c>
      <c r="C104" s="420"/>
      <c r="D104" s="420"/>
      <c r="E104" s="431"/>
      <c r="F104" s="422"/>
      <c r="G104" s="420"/>
      <c r="H104" s="422"/>
      <c r="I104" s="420"/>
      <c r="J104" s="420"/>
      <c r="K104" s="206"/>
      <c r="L104" s="206"/>
      <c r="M104" s="169"/>
      <c r="N104" s="169"/>
      <c r="O104" s="70"/>
      <c r="P104" s="70"/>
      <c r="Q104" s="70"/>
      <c r="R104" s="70"/>
      <c r="S104" s="70">
        <f t="shared" si="180"/>
        <v>0</v>
      </c>
      <c r="T104" s="70">
        <v>0</v>
      </c>
      <c r="U104" s="70"/>
      <c r="V104" s="70"/>
      <c r="W104" s="70"/>
      <c r="X104" s="70"/>
      <c r="Y104" s="70">
        <f t="shared" si="181"/>
        <v>166</v>
      </c>
      <c r="Z104" s="70"/>
      <c r="AA104" s="70"/>
      <c r="AB104" s="70">
        <f t="shared" si="182"/>
        <v>166</v>
      </c>
      <c r="AC104" s="70">
        <f t="shared" si="152"/>
        <v>0</v>
      </c>
      <c r="AD104" s="70"/>
      <c r="AE104" s="70"/>
      <c r="AF104" s="70">
        <v>166</v>
      </c>
      <c r="AG104" s="70"/>
      <c r="AH104" s="70">
        <f t="shared" si="183"/>
        <v>166</v>
      </c>
      <c r="AI104" s="70"/>
      <c r="AJ104" s="70"/>
      <c r="AK104" s="70">
        <f t="shared" si="184"/>
        <v>166</v>
      </c>
      <c r="AL104" s="70"/>
      <c r="AM104" s="70"/>
      <c r="AN104" s="70">
        <v>166</v>
      </c>
      <c r="AO104" s="70"/>
      <c r="AP104" s="70">
        <f t="shared" si="185"/>
        <v>166</v>
      </c>
      <c r="AQ104" s="70"/>
      <c r="AR104" s="70"/>
      <c r="AS104" s="70">
        <f t="shared" si="186"/>
        <v>166</v>
      </c>
      <c r="AT104" s="70"/>
      <c r="AU104" s="70"/>
      <c r="AV104" s="70">
        <v>166</v>
      </c>
      <c r="AW104" s="70"/>
      <c r="AX104" s="70">
        <f t="shared" si="187"/>
        <v>0</v>
      </c>
      <c r="AY104" s="70"/>
      <c r="AZ104" s="70"/>
      <c r="BA104" s="70">
        <f t="shared" si="188"/>
        <v>0</v>
      </c>
      <c r="BB104" s="67">
        <f t="shared" si="153"/>
        <v>0</v>
      </c>
      <c r="BC104" s="70"/>
      <c r="BD104" s="70"/>
      <c r="BE104" s="70">
        <v>0</v>
      </c>
      <c r="BF104" s="70"/>
      <c r="BG104" s="133">
        <f t="shared" si="189"/>
        <v>0</v>
      </c>
      <c r="BH104" s="133"/>
      <c r="BI104" s="133"/>
      <c r="BJ104" s="133">
        <f t="shared" si="190"/>
        <v>0</v>
      </c>
      <c r="BK104" s="133"/>
      <c r="BL104" s="133"/>
      <c r="BM104" s="133">
        <v>0</v>
      </c>
      <c r="BN104" s="133"/>
      <c r="BO104" s="133">
        <f t="shared" si="191"/>
        <v>0</v>
      </c>
      <c r="BP104" s="133"/>
      <c r="BQ104" s="133"/>
      <c r="BR104" s="133">
        <f t="shared" si="192"/>
        <v>0</v>
      </c>
      <c r="BS104" s="133"/>
      <c r="BT104" s="133"/>
      <c r="BU104" s="133"/>
      <c r="BV104" s="133"/>
      <c r="BW104" s="133">
        <v>0</v>
      </c>
      <c r="BX104" s="133">
        <v>0</v>
      </c>
      <c r="BY104" s="133"/>
      <c r="BZ104" s="434"/>
      <c r="CA104" s="424"/>
      <c r="CB104" s="424"/>
      <c r="CC104" s="424"/>
    </row>
    <row r="105" spans="1:81" ht="15.4" hidden="1">
      <c r="A105" s="433"/>
      <c r="B105" s="549" t="s">
        <v>2286</v>
      </c>
      <c r="C105" s="420"/>
      <c r="D105" s="420"/>
      <c r="E105" s="431"/>
      <c r="F105" s="422"/>
      <c r="G105" s="420"/>
      <c r="H105" s="422"/>
      <c r="I105" s="420"/>
      <c r="J105" s="420"/>
      <c r="K105" s="206"/>
      <c r="L105" s="206"/>
      <c r="M105" s="169"/>
      <c r="N105" s="169"/>
      <c r="O105" s="70"/>
      <c r="P105" s="70"/>
      <c r="Q105" s="70"/>
      <c r="R105" s="70"/>
      <c r="S105" s="70">
        <f t="shared" si="180"/>
        <v>0</v>
      </c>
      <c r="T105" s="70">
        <v>0</v>
      </c>
      <c r="U105" s="70"/>
      <c r="V105" s="70"/>
      <c r="W105" s="70"/>
      <c r="X105" s="70"/>
      <c r="Y105" s="70">
        <f t="shared" si="181"/>
        <v>81</v>
      </c>
      <c r="Z105" s="70"/>
      <c r="AA105" s="70"/>
      <c r="AB105" s="70">
        <f t="shared" si="182"/>
        <v>81</v>
      </c>
      <c r="AC105" s="70">
        <f t="shared" si="152"/>
        <v>0</v>
      </c>
      <c r="AD105" s="70"/>
      <c r="AE105" s="70"/>
      <c r="AF105" s="70">
        <v>81</v>
      </c>
      <c r="AG105" s="70"/>
      <c r="AH105" s="70">
        <f t="shared" si="183"/>
        <v>81</v>
      </c>
      <c r="AI105" s="70"/>
      <c r="AJ105" s="70"/>
      <c r="AK105" s="70">
        <f t="shared" si="184"/>
        <v>81</v>
      </c>
      <c r="AL105" s="70"/>
      <c r="AM105" s="70"/>
      <c r="AN105" s="70">
        <v>81</v>
      </c>
      <c r="AO105" s="70"/>
      <c r="AP105" s="70">
        <f t="shared" si="185"/>
        <v>81</v>
      </c>
      <c r="AQ105" s="70"/>
      <c r="AR105" s="70"/>
      <c r="AS105" s="70">
        <f t="shared" si="186"/>
        <v>81</v>
      </c>
      <c r="AT105" s="70"/>
      <c r="AU105" s="70"/>
      <c r="AV105" s="70">
        <v>81</v>
      </c>
      <c r="AW105" s="70"/>
      <c r="AX105" s="70">
        <f t="shared" si="187"/>
        <v>0</v>
      </c>
      <c r="AY105" s="70"/>
      <c r="AZ105" s="70"/>
      <c r="BA105" s="70">
        <f t="shared" si="188"/>
        <v>0</v>
      </c>
      <c r="BB105" s="67">
        <f t="shared" si="153"/>
        <v>0</v>
      </c>
      <c r="BC105" s="70"/>
      <c r="BD105" s="70"/>
      <c r="BE105" s="70">
        <v>0</v>
      </c>
      <c r="BF105" s="70"/>
      <c r="BG105" s="133">
        <f t="shared" si="189"/>
        <v>0</v>
      </c>
      <c r="BH105" s="133"/>
      <c r="BI105" s="133"/>
      <c r="BJ105" s="133">
        <f t="shared" si="190"/>
        <v>0</v>
      </c>
      <c r="BK105" s="133"/>
      <c r="BL105" s="133"/>
      <c r="BM105" s="133">
        <v>0</v>
      </c>
      <c r="BN105" s="133"/>
      <c r="BO105" s="133">
        <f t="shared" si="191"/>
        <v>0</v>
      </c>
      <c r="BP105" s="133"/>
      <c r="BQ105" s="133"/>
      <c r="BR105" s="133">
        <f t="shared" si="192"/>
        <v>0</v>
      </c>
      <c r="BS105" s="133"/>
      <c r="BT105" s="133"/>
      <c r="BU105" s="133"/>
      <c r="BV105" s="133"/>
      <c r="BW105" s="133">
        <v>0</v>
      </c>
      <c r="BX105" s="133">
        <v>0</v>
      </c>
      <c r="BY105" s="133"/>
      <c r="BZ105" s="434"/>
      <c r="CA105" s="424"/>
      <c r="CB105" s="424"/>
      <c r="CC105" s="424"/>
    </row>
    <row r="106" spans="1:81" ht="15.4" hidden="1">
      <c r="A106" s="433"/>
      <c r="B106" s="549" t="s">
        <v>2287</v>
      </c>
      <c r="C106" s="420"/>
      <c r="D106" s="420"/>
      <c r="E106" s="431"/>
      <c r="F106" s="422"/>
      <c r="G106" s="420"/>
      <c r="H106" s="422"/>
      <c r="I106" s="420"/>
      <c r="J106" s="420"/>
      <c r="K106" s="206"/>
      <c r="L106" s="206"/>
      <c r="M106" s="169"/>
      <c r="N106" s="169"/>
      <c r="O106" s="70"/>
      <c r="P106" s="70"/>
      <c r="Q106" s="70"/>
      <c r="R106" s="70"/>
      <c r="S106" s="70">
        <f t="shared" si="180"/>
        <v>0</v>
      </c>
      <c r="T106" s="70">
        <v>0</v>
      </c>
      <c r="U106" s="70"/>
      <c r="V106" s="70"/>
      <c r="W106" s="70"/>
      <c r="X106" s="70"/>
      <c r="Y106" s="70">
        <f t="shared" si="181"/>
        <v>80</v>
      </c>
      <c r="Z106" s="70"/>
      <c r="AA106" s="70"/>
      <c r="AB106" s="70">
        <f t="shared" si="182"/>
        <v>80</v>
      </c>
      <c r="AC106" s="70">
        <f t="shared" si="152"/>
        <v>0</v>
      </c>
      <c r="AD106" s="70"/>
      <c r="AE106" s="70"/>
      <c r="AF106" s="70">
        <v>80</v>
      </c>
      <c r="AG106" s="70"/>
      <c r="AH106" s="70">
        <f t="shared" si="183"/>
        <v>80</v>
      </c>
      <c r="AI106" s="70"/>
      <c r="AJ106" s="70"/>
      <c r="AK106" s="70">
        <f t="shared" si="184"/>
        <v>80</v>
      </c>
      <c r="AL106" s="70"/>
      <c r="AM106" s="70"/>
      <c r="AN106" s="70">
        <v>80</v>
      </c>
      <c r="AO106" s="70"/>
      <c r="AP106" s="70">
        <f t="shared" si="185"/>
        <v>80</v>
      </c>
      <c r="AQ106" s="70"/>
      <c r="AR106" s="70"/>
      <c r="AS106" s="70">
        <f t="shared" si="186"/>
        <v>80</v>
      </c>
      <c r="AT106" s="70"/>
      <c r="AU106" s="70"/>
      <c r="AV106" s="70">
        <v>80</v>
      </c>
      <c r="AW106" s="70"/>
      <c r="AX106" s="70">
        <f t="shared" si="187"/>
        <v>0</v>
      </c>
      <c r="AY106" s="70"/>
      <c r="AZ106" s="70"/>
      <c r="BA106" s="70">
        <f t="shared" si="188"/>
        <v>0</v>
      </c>
      <c r="BB106" s="67">
        <f t="shared" si="153"/>
        <v>0</v>
      </c>
      <c r="BC106" s="70"/>
      <c r="BD106" s="70"/>
      <c r="BE106" s="70">
        <v>0</v>
      </c>
      <c r="BF106" s="70"/>
      <c r="BG106" s="133">
        <f t="shared" si="189"/>
        <v>0</v>
      </c>
      <c r="BH106" s="133"/>
      <c r="BI106" s="133"/>
      <c r="BJ106" s="133">
        <f t="shared" si="190"/>
        <v>0</v>
      </c>
      <c r="BK106" s="133"/>
      <c r="BL106" s="133"/>
      <c r="BM106" s="133">
        <v>0</v>
      </c>
      <c r="BN106" s="133"/>
      <c r="BO106" s="133">
        <f t="shared" si="191"/>
        <v>0</v>
      </c>
      <c r="BP106" s="133"/>
      <c r="BQ106" s="133"/>
      <c r="BR106" s="133">
        <f t="shared" si="192"/>
        <v>0</v>
      </c>
      <c r="BS106" s="133"/>
      <c r="BT106" s="133"/>
      <c r="BU106" s="133"/>
      <c r="BV106" s="133"/>
      <c r="BW106" s="133">
        <v>0</v>
      </c>
      <c r="BX106" s="133">
        <v>0</v>
      </c>
      <c r="BY106" s="133"/>
      <c r="BZ106" s="434"/>
      <c r="CA106" s="424"/>
      <c r="CB106" s="424"/>
      <c r="CC106" s="424"/>
    </row>
    <row r="107" spans="1:81" ht="50.25" hidden="1" customHeight="1">
      <c r="A107" s="433"/>
      <c r="B107" s="549" t="s">
        <v>2288</v>
      </c>
      <c r="C107" s="420"/>
      <c r="D107" s="420"/>
      <c r="E107" s="431"/>
      <c r="F107" s="422"/>
      <c r="G107" s="420"/>
      <c r="H107" s="422"/>
      <c r="I107" s="420"/>
      <c r="J107" s="420"/>
      <c r="K107" s="206"/>
      <c r="L107" s="206"/>
      <c r="M107" s="169"/>
      <c r="N107" s="169"/>
      <c r="O107" s="70"/>
      <c r="P107" s="70"/>
      <c r="Q107" s="70"/>
      <c r="R107" s="70"/>
      <c r="S107" s="70">
        <f t="shared" si="180"/>
        <v>0</v>
      </c>
      <c r="T107" s="70">
        <v>0</v>
      </c>
      <c r="U107" s="70"/>
      <c r="V107" s="70"/>
      <c r="W107" s="70"/>
      <c r="X107" s="70"/>
      <c r="Y107" s="70">
        <f t="shared" si="181"/>
        <v>763.78800000000001</v>
      </c>
      <c r="Z107" s="70"/>
      <c r="AA107" s="70"/>
      <c r="AB107" s="70">
        <f t="shared" si="182"/>
        <v>763.78800000000001</v>
      </c>
      <c r="AC107" s="70">
        <f t="shared" si="152"/>
        <v>0</v>
      </c>
      <c r="AD107" s="70"/>
      <c r="AE107" s="70"/>
      <c r="AF107" s="70">
        <f>90.4+673.388</f>
        <v>763.78800000000001</v>
      </c>
      <c r="AG107" s="70"/>
      <c r="AH107" s="70">
        <f t="shared" si="183"/>
        <v>763.78800000000001</v>
      </c>
      <c r="AI107" s="70"/>
      <c r="AJ107" s="70"/>
      <c r="AK107" s="70">
        <f t="shared" si="184"/>
        <v>763.78800000000001</v>
      </c>
      <c r="AL107" s="70"/>
      <c r="AM107" s="70"/>
      <c r="AN107" s="70">
        <f>90.4+673.388</f>
        <v>763.78800000000001</v>
      </c>
      <c r="AO107" s="70"/>
      <c r="AP107" s="70">
        <f t="shared" si="185"/>
        <v>763.78800000000001</v>
      </c>
      <c r="AQ107" s="70"/>
      <c r="AR107" s="70"/>
      <c r="AS107" s="70">
        <f t="shared" si="186"/>
        <v>763.78800000000001</v>
      </c>
      <c r="AT107" s="70"/>
      <c r="AU107" s="70"/>
      <c r="AV107" s="70">
        <f>90.4+673.388</f>
        <v>763.78800000000001</v>
      </c>
      <c r="AW107" s="70"/>
      <c r="AX107" s="70">
        <f t="shared" si="187"/>
        <v>0</v>
      </c>
      <c r="AY107" s="70"/>
      <c r="AZ107" s="70"/>
      <c r="BA107" s="70">
        <f t="shared" si="188"/>
        <v>0</v>
      </c>
      <c r="BB107" s="67">
        <f t="shared" si="153"/>
        <v>0</v>
      </c>
      <c r="BC107" s="70"/>
      <c r="BD107" s="70"/>
      <c r="BE107" s="70">
        <v>0</v>
      </c>
      <c r="BF107" s="70"/>
      <c r="BG107" s="133">
        <f t="shared" si="189"/>
        <v>0</v>
      </c>
      <c r="BH107" s="133"/>
      <c r="BI107" s="133"/>
      <c r="BJ107" s="133">
        <f t="shared" si="190"/>
        <v>0</v>
      </c>
      <c r="BK107" s="133"/>
      <c r="BL107" s="133"/>
      <c r="BM107" s="133">
        <v>0</v>
      </c>
      <c r="BN107" s="133"/>
      <c r="BO107" s="133">
        <f t="shared" si="191"/>
        <v>0</v>
      </c>
      <c r="BP107" s="133"/>
      <c r="BQ107" s="133"/>
      <c r="BR107" s="133">
        <f t="shared" si="192"/>
        <v>0</v>
      </c>
      <c r="BS107" s="133"/>
      <c r="BT107" s="133"/>
      <c r="BU107" s="133"/>
      <c r="BV107" s="133"/>
      <c r="BW107" s="133">
        <v>0</v>
      </c>
      <c r="BX107" s="133">
        <v>0</v>
      </c>
      <c r="BY107" s="133"/>
      <c r="BZ107" s="434"/>
      <c r="CA107" s="424"/>
      <c r="CB107" s="424"/>
      <c r="CC107" s="424"/>
    </row>
    <row r="108" spans="1:81" ht="57" hidden="1" customHeight="1">
      <c r="A108" s="433"/>
      <c r="B108" s="549" t="s">
        <v>2289</v>
      </c>
      <c r="C108" s="420"/>
      <c r="D108" s="420"/>
      <c r="E108" s="431"/>
      <c r="F108" s="422"/>
      <c r="G108" s="420"/>
      <c r="H108" s="422"/>
      <c r="I108" s="420"/>
      <c r="J108" s="420"/>
      <c r="K108" s="206"/>
      <c r="L108" s="206"/>
      <c r="M108" s="169"/>
      <c r="N108" s="169"/>
      <c r="O108" s="70"/>
      <c r="P108" s="70"/>
      <c r="Q108" s="70"/>
      <c r="R108" s="70"/>
      <c r="S108" s="70">
        <f t="shared" ref="S108:S118" si="193">SUM(T108:V108)</f>
        <v>0</v>
      </c>
      <c r="T108" s="70">
        <v>0</v>
      </c>
      <c r="U108" s="70"/>
      <c r="V108" s="70"/>
      <c r="W108" s="70"/>
      <c r="X108" s="70"/>
      <c r="Y108" s="70">
        <f t="shared" si="181"/>
        <v>538.6</v>
      </c>
      <c r="Z108" s="70"/>
      <c r="AA108" s="70"/>
      <c r="AB108" s="70">
        <f t="shared" si="182"/>
        <v>538.6</v>
      </c>
      <c r="AC108" s="70">
        <f t="shared" si="152"/>
        <v>0</v>
      </c>
      <c r="AD108" s="70"/>
      <c r="AE108" s="70"/>
      <c r="AF108" s="70">
        <v>538.6</v>
      </c>
      <c r="AG108" s="70"/>
      <c r="AH108" s="70">
        <f t="shared" si="183"/>
        <v>538.6</v>
      </c>
      <c r="AI108" s="70"/>
      <c r="AJ108" s="70"/>
      <c r="AK108" s="70">
        <f t="shared" si="184"/>
        <v>538.6</v>
      </c>
      <c r="AL108" s="70"/>
      <c r="AM108" s="70"/>
      <c r="AN108" s="70">
        <v>538.6</v>
      </c>
      <c r="AO108" s="70"/>
      <c r="AP108" s="70">
        <f t="shared" si="185"/>
        <v>538.6</v>
      </c>
      <c r="AQ108" s="70"/>
      <c r="AR108" s="70"/>
      <c r="AS108" s="70">
        <f t="shared" si="186"/>
        <v>538.6</v>
      </c>
      <c r="AT108" s="70"/>
      <c r="AU108" s="70"/>
      <c r="AV108" s="70">
        <v>538.6</v>
      </c>
      <c r="AW108" s="70"/>
      <c r="AX108" s="70">
        <f t="shared" si="187"/>
        <v>0</v>
      </c>
      <c r="AY108" s="70"/>
      <c r="AZ108" s="70"/>
      <c r="BA108" s="70">
        <f t="shared" si="188"/>
        <v>0</v>
      </c>
      <c r="BB108" s="67">
        <f t="shared" si="153"/>
        <v>0</v>
      </c>
      <c r="BC108" s="70"/>
      <c r="BD108" s="70"/>
      <c r="BE108" s="70">
        <v>0</v>
      </c>
      <c r="BF108" s="70"/>
      <c r="BG108" s="133">
        <f t="shared" si="189"/>
        <v>0</v>
      </c>
      <c r="BH108" s="133"/>
      <c r="BI108" s="133"/>
      <c r="BJ108" s="133">
        <f t="shared" si="190"/>
        <v>0</v>
      </c>
      <c r="BK108" s="133"/>
      <c r="BL108" s="133"/>
      <c r="BM108" s="133">
        <v>0</v>
      </c>
      <c r="BN108" s="133"/>
      <c r="BO108" s="133">
        <f t="shared" si="191"/>
        <v>0</v>
      </c>
      <c r="BP108" s="133"/>
      <c r="BQ108" s="133"/>
      <c r="BR108" s="133">
        <f t="shared" si="192"/>
        <v>0</v>
      </c>
      <c r="BS108" s="133"/>
      <c r="BT108" s="133"/>
      <c r="BU108" s="133"/>
      <c r="BV108" s="133"/>
      <c r="BW108" s="133">
        <v>0</v>
      </c>
      <c r="BX108" s="133">
        <v>0</v>
      </c>
      <c r="BY108" s="133"/>
      <c r="BZ108" s="434"/>
      <c r="CA108" s="424"/>
      <c r="CB108" s="424"/>
      <c r="CC108" s="424"/>
    </row>
    <row r="109" spans="1:81" ht="69" hidden="1" customHeight="1">
      <c r="A109" s="433"/>
      <c r="B109" s="549" t="s">
        <v>2237</v>
      </c>
      <c r="C109" s="420"/>
      <c r="D109" s="420"/>
      <c r="E109" s="431"/>
      <c r="F109" s="422"/>
      <c r="G109" s="420"/>
      <c r="H109" s="422"/>
      <c r="I109" s="420"/>
      <c r="J109" s="420"/>
      <c r="K109" s="206"/>
      <c r="L109" s="206"/>
      <c r="M109" s="169"/>
      <c r="N109" s="169"/>
      <c r="O109" s="70"/>
      <c r="P109" s="70"/>
      <c r="Q109" s="70"/>
      <c r="R109" s="70"/>
      <c r="S109" s="70">
        <f t="shared" si="193"/>
        <v>0</v>
      </c>
      <c r="T109" s="70">
        <v>0</v>
      </c>
      <c r="U109" s="70"/>
      <c r="V109" s="70"/>
      <c r="W109" s="70"/>
      <c r="X109" s="70"/>
      <c r="Y109" s="70">
        <f t="shared" si="181"/>
        <v>80</v>
      </c>
      <c r="Z109" s="70"/>
      <c r="AA109" s="70"/>
      <c r="AB109" s="70">
        <f t="shared" si="182"/>
        <v>80</v>
      </c>
      <c r="AC109" s="70">
        <f t="shared" si="152"/>
        <v>0</v>
      </c>
      <c r="AD109" s="70"/>
      <c r="AE109" s="70"/>
      <c r="AF109" s="70">
        <v>80</v>
      </c>
      <c r="AG109" s="70"/>
      <c r="AH109" s="70">
        <f t="shared" si="183"/>
        <v>80</v>
      </c>
      <c r="AI109" s="70"/>
      <c r="AJ109" s="70"/>
      <c r="AK109" s="70">
        <f t="shared" si="184"/>
        <v>80</v>
      </c>
      <c r="AL109" s="70"/>
      <c r="AM109" s="70"/>
      <c r="AN109" s="70">
        <v>80</v>
      </c>
      <c r="AO109" s="70"/>
      <c r="AP109" s="70">
        <f t="shared" si="185"/>
        <v>80</v>
      </c>
      <c r="AQ109" s="70"/>
      <c r="AR109" s="70"/>
      <c r="AS109" s="70">
        <f t="shared" si="186"/>
        <v>80</v>
      </c>
      <c r="AT109" s="70"/>
      <c r="AU109" s="70"/>
      <c r="AV109" s="70">
        <v>80</v>
      </c>
      <c r="AW109" s="70"/>
      <c r="AX109" s="70">
        <f t="shared" si="187"/>
        <v>0</v>
      </c>
      <c r="AY109" s="70"/>
      <c r="AZ109" s="70"/>
      <c r="BA109" s="70">
        <f t="shared" si="188"/>
        <v>0</v>
      </c>
      <c r="BB109" s="67">
        <f t="shared" si="153"/>
        <v>0</v>
      </c>
      <c r="BC109" s="70"/>
      <c r="BD109" s="70"/>
      <c r="BE109" s="70">
        <v>0</v>
      </c>
      <c r="BF109" s="70"/>
      <c r="BG109" s="133">
        <f t="shared" si="189"/>
        <v>0</v>
      </c>
      <c r="BH109" s="133"/>
      <c r="BI109" s="133"/>
      <c r="BJ109" s="133">
        <f t="shared" si="190"/>
        <v>0</v>
      </c>
      <c r="BK109" s="133"/>
      <c r="BL109" s="133"/>
      <c r="BM109" s="133">
        <v>0</v>
      </c>
      <c r="BN109" s="133"/>
      <c r="BO109" s="133">
        <f t="shared" si="191"/>
        <v>0</v>
      </c>
      <c r="BP109" s="133"/>
      <c r="BQ109" s="133"/>
      <c r="BR109" s="133">
        <f t="shared" si="192"/>
        <v>0</v>
      </c>
      <c r="BS109" s="133"/>
      <c r="BT109" s="133"/>
      <c r="BU109" s="133"/>
      <c r="BV109" s="133"/>
      <c r="BW109" s="133">
        <v>0</v>
      </c>
      <c r="BX109" s="133">
        <v>0</v>
      </c>
      <c r="BY109" s="133"/>
      <c r="BZ109" s="434"/>
      <c r="CA109" s="424"/>
      <c r="CB109" s="424"/>
      <c r="CC109" s="424"/>
    </row>
    <row r="110" spans="1:81" ht="30.75" hidden="1">
      <c r="A110" s="433"/>
      <c r="B110" s="549" t="s">
        <v>2290</v>
      </c>
      <c r="C110" s="420"/>
      <c r="D110" s="420"/>
      <c r="E110" s="431"/>
      <c r="F110" s="422"/>
      <c r="G110" s="420"/>
      <c r="H110" s="422"/>
      <c r="I110" s="420"/>
      <c r="J110" s="420"/>
      <c r="K110" s="206"/>
      <c r="L110" s="206"/>
      <c r="M110" s="169"/>
      <c r="N110" s="169"/>
      <c r="O110" s="70"/>
      <c r="P110" s="70"/>
      <c r="Q110" s="70"/>
      <c r="R110" s="70"/>
      <c r="S110" s="70">
        <f t="shared" si="193"/>
        <v>0</v>
      </c>
      <c r="T110" s="70">
        <v>0</v>
      </c>
      <c r="U110" s="70"/>
      <c r="V110" s="70"/>
      <c r="W110" s="70"/>
      <c r="X110" s="70"/>
      <c r="Y110" s="70">
        <f t="shared" si="181"/>
        <v>720.03500000000008</v>
      </c>
      <c r="Z110" s="70"/>
      <c r="AA110" s="70"/>
      <c r="AB110" s="70">
        <f t="shared" si="182"/>
        <v>720.03500000000008</v>
      </c>
      <c r="AC110" s="70">
        <f t="shared" si="152"/>
        <v>0</v>
      </c>
      <c r="AD110" s="70"/>
      <c r="AE110" s="70"/>
      <c r="AF110" s="70">
        <f>300+420.035</f>
        <v>720.03500000000008</v>
      </c>
      <c r="AG110" s="70"/>
      <c r="AH110" s="70">
        <f t="shared" si="183"/>
        <v>720.03500000000008</v>
      </c>
      <c r="AI110" s="70"/>
      <c r="AJ110" s="70"/>
      <c r="AK110" s="70">
        <f t="shared" si="184"/>
        <v>720.03500000000008</v>
      </c>
      <c r="AL110" s="70"/>
      <c r="AM110" s="70"/>
      <c r="AN110" s="70">
        <f>300+420.035</f>
        <v>720.03500000000008</v>
      </c>
      <c r="AO110" s="70"/>
      <c r="AP110" s="70">
        <f t="shared" si="185"/>
        <v>720.03500000000008</v>
      </c>
      <c r="AQ110" s="70"/>
      <c r="AR110" s="70"/>
      <c r="AS110" s="70">
        <f t="shared" si="186"/>
        <v>720.03500000000008</v>
      </c>
      <c r="AT110" s="70"/>
      <c r="AU110" s="70"/>
      <c r="AV110" s="70">
        <f>300+420.035</f>
        <v>720.03500000000008</v>
      </c>
      <c r="AW110" s="70"/>
      <c r="AX110" s="70">
        <f t="shared" si="187"/>
        <v>0</v>
      </c>
      <c r="AY110" s="70"/>
      <c r="AZ110" s="70"/>
      <c r="BA110" s="70">
        <f t="shared" si="188"/>
        <v>0</v>
      </c>
      <c r="BB110" s="67">
        <f t="shared" si="153"/>
        <v>0</v>
      </c>
      <c r="BC110" s="70"/>
      <c r="BD110" s="70"/>
      <c r="BE110" s="70">
        <v>0</v>
      </c>
      <c r="BF110" s="70"/>
      <c r="BG110" s="133">
        <f t="shared" si="189"/>
        <v>0</v>
      </c>
      <c r="BH110" s="133"/>
      <c r="BI110" s="133"/>
      <c r="BJ110" s="133">
        <f t="shared" si="190"/>
        <v>0</v>
      </c>
      <c r="BK110" s="133"/>
      <c r="BL110" s="133"/>
      <c r="BM110" s="133">
        <v>0</v>
      </c>
      <c r="BN110" s="133"/>
      <c r="BO110" s="133">
        <f t="shared" si="191"/>
        <v>0</v>
      </c>
      <c r="BP110" s="133"/>
      <c r="BQ110" s="133"/>
      <c r="BR110" s="133">
        <f t="shared" si="192"/>
        <v>0</v>
      </c>
      <c r="BS110" s="133"/>
      <c r="BT110" s="133"/>
      <c r="BU110" s="133"/>
      <c r="BV110" s="133"/>
      <c r="BW110" s="133">
        <v>0</v>
      </c>
      <c r="BX110" s="133">
        <v>0</v>
      </c>
      <c r="BY110" s="133"/>
      <c r="BZ110" s="434"/>
      <c r="CA110" s="424"/>
      <c r="CB110" s="424"/>
      <c r="CC110" s="424"/>
    </row>
    <row r="111" spans="1:81" ht="30.75" hidden="1">
      <c r="A111" s="433"/>
      <c r="B111" s="549" t="s">
        <v>2291</v>
      </c>
      <c r="C111" s="420"/>
      <c r="D111" s="420"/>
      <c r="E111" s="431"/>
      <c r="F111" s="422"/>
      <c r="G111" s="420"/>
      <c r="H111" s="422"/>
      <c r="I111" s="420"/>
      <c r="J111" s="420"/>
      <c r="K111" s="206"/>
      <c r="L111" s="206"/>
      <c r="M111" s="169"/>
      <c r="N111" s="169"/>
      <c r="O111" s="70"/>
      <c r="P111" s="70"/>
      <c r="Q111" s="70"/>
      <c r="R111" s="70"/>
      <c r="S111" s="70">
        <f t="shared" si="193"/>
        <v>0</v>
      </c>
      <c r="T111" s="70">
        <v>0</v>
      </c>
      <c r="U111" s="70"/>
      <c r="V111" s="70"/>
      <c r="W111" s="70"/>
      <c r="X111" s="70"/>
      <c r="Y111" s="70">
        <f t="shared" si="181"/>
        <v>671.44899999999996</v>
      </c>
      <c r="Z111" s="70"/>
      <c r="AA111" s="70"/>
      <c r="AB111" s="70">
        <f t="shared" si="182"/>
        <v>671.44899999999996</v>
      </c>
      <c r="AC111" s="70">
        <f t="shared" si="152"/>
        <v>0</v>
      </c>
      <c r="AD111" s="70"/>
      <c r="AE111" s="70"/>
      <c r="AF111" s="70">
        <f>110.8+560.649</f>
        <v>671.44899999999996</v>
      </c>
      <c r="AG111" s="70"/>
      <c r="AH111" s="70">
        <f t="shared" si="183"/>
        <v>671.44899999999996</v>
      </c>
      <c r="AI111" s="70"/>
      <c r="AJ111" s="70"/>
      <c r="AK111" s="70">
        <f t="shared" si="184"/>
        <v>671.44899999999996</v>
      </c>
      <c r="AL111" s="70"/>
      <c r="AM111" s="70"/>
      <c r="AN111" s="70">
        <f>110.8+560.649</f>
        <v>671.44899999999996</v>
      </c>
      <c r="AO111" s="70"/>
      <c r="AP111" s="70">
        <f t="shared" si="185"/>
        <v>671.44899999999996</v>
      </c>
      <c r="AQ111" s="70"/>
      <c r="AR111" s="70"/>
      <c r="AS111" s="70">
        <f t="shared" si="186"/>
        <v>671.44899999999996</v>
      </c>
      <c r="AT111" s="70"/>
      <c r="AU111" s="70"/>
      <c r="AV111" s="70">
        <f>110.8+560.649</f>
        <v>671.44899999999996</v>
      </c>
      <c r="AW111" s="70"/>
      <c r="AX111" s="70">
        <f t="shared" si="187"/>
        <v>0</v>
      </c>
      <c r="AY111" s="70"/>
      <c r="AZ111" s="70"/>
      <c r="BA111" s="70">
        <f t="shared" si="188"/>
        <v>0</v>
      </c>
      <c r="BB111" s="67">
        <f t="shared" si="153"/>
        <v>0</v>
      </c>
      <c r="BC111" s="70"/>
      <c r="BD111" s="70"/>
      <c r="BE111" s="70">
        <v>0</v>
      </c>
      <c r="BF111" s="70"/>
      <c r="BG111" s="133">
        <f t="shared" si="189"/>
        <v>0</v>
      </c>
      <c r="BH111" s="133"/>
      <c r="BI111" s="133"/>
      <c r="BJ111" s="133">
        <f t="shared" si="190"/>
        <v>0</v>
      </c>
      <c r="BK111" s="133"/>
      <c r="BL111" s="133"/>
      <c r="BM111" s="133">
        <v>0</v>
      </c>
      <c r="BN111" s="133"/>
      <c r="BO111" s="133">
        <f t="shared" si="191"/>
        <v>0</v>
      </c>
      <c r="BP111" s="133"/>
      <c r="BQ111" s="133"/>
      <c r="BR111" s="133">
        <f t="shared" si="192"/>
        <v>0</v>
      </c>
      <c r="BS111" s="133"/>
      <c r="BT111" s="133"/>
      <c r="BU111" s="133"/>
      <c r="BV111" s="133"/>
      <c r="BW111" s="133">
        <v>0</v>
      </c>
      <c r="BX111" s="133">
        <v>0</v>
      </c>
      <c r="BY111" s="133"/>
      <c r="BZ111" s="434"/>
      <c r="CA111" s="424"/>
      <c r="CB111" s="424"/>
      <c r="CC111" s="424"/>
    </row>
    <row r="112" spans="1:81" ht="46.15" hidden="1">
      <c r="A112" s="433"/>
      <c r="B112" s="549" t="s">
        <v>2292</v>
      </c>
      <c r="C112" s="420"/>
      <c r="D112" s="420"/>
      <c r="E112" s="431"/>
      <c r="F112" s="422"/>
      <c r="G112" s="420"/>
      <c r="H112" s="422"/>
      <c r="I112" s="420"/>
      <c r="J112" s="420"/>
      <c r="K112" s="206"/>
      <c r="L112" s="206"/>
      <c r="M112" s="169"/>
      <c r="N112" s="169"/>
      <c r="O112" s="70"/>
      <c r="P112" s="70"/>
      <c r="Q112" s="70"/>
      <c r="R112" s="70"/>
      <c r="S112" s="70">
        <f t="shared" si="193"/>
        <v>0</v>
      </c>
      <c r="T112" s="70">
        <v>0</v>
      </c>
      <c r="U112" s="70"/>
      <c r="V112" s="70"/>
      <c r="W112" s="70"/>
      <c r="X112" s="70"/>
      <c r="Y112" s="70">
        <f t="shared" si="181"/>
        <v>105</v>
      </c>
      <c r="Z112" s="70"/>
      <c r="AA112" s="70"/>
      <c r="AB112" s="70">
        <f t="shared" si="182"/>
        <v>105</v>
      </c>
      <c r="AC112" s="70">
        <f t="shared" si="152"/>
        <v>0</v>
      </c>
      <c r="AD112" s="70"/>
      <c r="AE112" s="70"/>
      <c r="AF112" s="70">
        <v>105</v>
      </c>
      <c r="AG112" s="70"/>
      <c r="AH112" s="70">
        <f t="shared" si="183"/>
        <v>105</v>
      </c>
      <c r="AI112" s="70"/>
      <c r="AJ112" s="70"/>
      <c r="AK112" s="70">
        <f t="shared" si="184"/>
        <v>105</v>
      </c>
      <c r="AL112" s="70"/>
      <c r="AM112" s="70"/>
      <c r="AN112" s="70">
        <v>105</v>
      </c>
      <c r="AO112" s="70"/>
      <c r="AP112" s="70">
        <f t="shared" si="185"/>
        <v>105</v>
      </c>
      <c r="AQ112" s="70"/>
      <c r="AR112" s="70"/>
      <c r="AS112" s="70">
        <f t="shared" si="186"/>
        <v>105</v>
      </c>
      <c r="AT112" s="70"/>
      <c r="AU112" s="70"/>
      <c r="AV112" s="70">
        <v>105</v>
      </c>
      <c r="AW112" s="70"/>
      <c r="AX112" s="70">
        <f t="shared" si="187"/>
        <v>0</v>
      </c>
      <c r="AY112" s="70"/>
      <c r="AZ112" s="70"/>
      <c r="BA112" s="70">
        <f t="shared" si="188"/>
        <v>0</v>
      </c>
      <c r="BB112" s="67">
        <f t="shared" si="153"/>
        <v>0</v>
      </c>
      <c r="BC112" s="70"/>
      <c r="BD112" s="70"/>
      <c r="BE112" s="70">
        <v>0</v>
      </c>
      <c r="BF112" s="70"/>
      <c r="BG112" s="133">
        <f t="shared" si="189"/>
        <v>0</v>
      </c>
      <c r="BH112" s="133"/>
      <c r="BI112" s="133"/>
      <c r="BJ112" s="133">
        <f t="shared" si="190"/>
        <v>0</v>
      </c>
      <c r="BK112" s="133"/>
      <c r="BL112" s="133"/>
      <c r="BM112" s="133">
        <v>0</v>
      </c>
      <c r="BN112" s="133"/>
      <c r="BO112" s="133">
        <f t="shared" si="191"/>
        <v>0</v>
      </c>
      <c r="BP112" s="133"/>
      <c r="BQ112" s="133"/>
      <c r="BR112" s="133">
        <f t="shared" si="192"/>
        <v>0</v>
      </c>
      <c r="BS112" s="133"/>
      <c r="BT112" s="133"/>
      <c r="BU112" s="133"/>
      <c r="BV112" s="133"/>
      <c r="BW112" s="133">
        <v>0</v>
      </c>
      <c r="BX112" s="133">
        <v>0</v>
      </c>
      <c r="BY112" s="133"/>
      <c r="BZ112" s="434"/>
      <c r="CA112" s="424"/>
      <c r="CB112" s="424"/>
      <c r="CC112" s="424"/>
    </row>
    <row r="113" spans="1:81" ht="66" hidden="1" customHeight="1">
      <c r="A113" s="433"/>
      <c r="B113" s="549" t="s">
        <v>2293</v>
      </c>
      <c r="C113" s="420"/>
      <c r="D113" s="420"/>
      <c r="E113" s="431"/>
      <c r="F113" s="422"/>
      <c r="G113" s="420"/>
      <c r="H113" s="422"/>
      <c r="I113" s="420"/>
      <c r="J113" s="420"/>
      <c r="K113" s="206"/>
      <c r="L113" s="206"/>
      <c r="M113" s="169"/>
      <c r="N113" s="169"/>
      <c r="O113" s="70"/>
      <c r="P113" s="70"/>
      <c r="Q113" s="70"/>
      <c r="R113" s="70"/>
      <c r="S113" s="70">
        <f t="shared" si="193"/>
        <v>0</v>
      </c>
      <c r="T113" s="70">
        <v>0</v>
      </c>
      <c r="U113" s="70"/>
      <c r="V113" s="70"/>
      <c r="W113" s="70"/>
      <c r="X113" s="70"/>
      <c r="Y113" s="70">
        <f t="shared" si="181"/>
        <v>51.75</v>
      </c>
      <c r="Z113" s="70"/>
      <c r="AA113" s="70"/>
      <c r="AB113" s="70">
        <f t="shared" si="182"/>
        <v>51.75</v>
      </c>
      <c r="AC113" s="70">
        <f t="shared" si="152"/>
        <v>0</v>
      </c>
      <c r="AD113" s="70"/>
      <c r="AE113" s="70"/>
      <c r="AF113" s="70">
        <f>33+18.75</f>
        <v>51.75</v>
      </c>
      <c r="AG113" s="70"/>
      <c r="AH113" s="70">
        <f t="shared" si="183"/>
        <v>33</v>
      </c>
      <c r="AI113" s="70"/>
      <c r="AJ113" s="70"/>
      <c r="AK113" s="70">
        <f t="shared" si="184"/>
        <v>33</v>
      </c>
      <c r="AL113" s="70"/>
      <c r="AM113" s="70"/>
      <c r="AN113" s="70">
        <v>33</v>
      </c>
      <c r="AO113" s="70"/>
      <c r="AP113" s="70">
        <f t="shared" si="185"/>
        <v>33</v>
      </c>
      <c r="AQ113" s="70"/>
      <c r="AR113" s="70"/>
      <c r="AS113" s="70">
        <f t="shared" si="186"/>
        <v>33</v>
      </c>
      <c r="AT113" s="70"/>
      <c r="AU113" s="70"/>
      <c r="AV113" s="70">
        <v>33</v>
      </c>
      <c r="AW113" s="70"/>
      <c r="AX113" s="70">
        <f t="shared" si="187"/>
        <v>18.75</v>
      </c>
      <c r="AY113" s="70"/>
      <c r="AZ113" s="70"/>
      <c r="BA113" s="70">
        <f t="shared" si="188"/>
        <v>18.75</v>
      </c>
      <c r="BB113" s="67">
        <f t="shared" si="153"/>
        <v>0</v>
      </c>
      <c r="BC113" s="70"/>
      <c r="BD113" s="70"/>
      <c r="BE113" s="70">
        <v>18.75</v>
      </c>
      <c r="BF113" s="70"/>
      <c r="BG113" s="133">
        <f t="shared" si="189"/>
        <v>12</v>
      </c>
      <c r="BH113" s="133"/>
      <c r="BI113" s="133"/>
      <c r="BJ113" s="133">
        <f t="shared" si="190"/>
        <v>12</v>
      </c>
      <c r="BK113" s="133"/>
      <c r="BL113" s="133"/>
      <c r="BM113" s="133">
        <v>12</v>
      </c>
      <c r="BN113" s="133"/>
      <c r="BO113" s="133">
        <f t="shared" si="191"/>
        <v>0</v>
      </c>
      <c r="BP113" s="133"/>
      <c r="BQ113" s="133"/>
      <c r="BR113" s="133">
        <f t="shared" si="192"/>
        <v>0</v>
      </c>
      <c r="BS113" s="133"/>
      <c r="BT113" s="133"/>
      <c r="BU113" s="133"/>
      <c r="BV113" s="133"/>
      <c r="BW113" s="133">
        <v>0</v>
      </c>
      <c r="BX113" s="133">
        <v>0</v>
      </c>
      <c r="BY113" s="133"/>
      <c r="BZ113" s="434"/>
      <c r="CA113" s="424"/>
      <c r="CB113" s="424"/>
      <c r="CC113" s="424"/>
    </row>
    <row r="114" spans="1:81" ht="66" hidden="1" customHeight="1">
      <c r="A114" s="433"/>
      <c r="B114" s="549" t="s">
        <v>2294</v>
      </c>
      <c r="C114" s="420"/>
      <c r="D114" s="420"/>
      <c r="E114" s="431"/>
      <c r="F114" s="422"/>
      <c r="G114" s="420"/>
      <c r="H114" s="422"/>
      <c r="I114" s="420"/>
      <c r="J114" s="420"/>
      <c r="K114" s="206"/>
      <c r="L114" s="206"/>
      <c r="M114" s="169"/>
      <c r="N114" s="169"/>
      <c r="O114" s="70"/>
      <c r="P114" s="70"/>
      <c r="Q114" s="70"/>
      <c r="R114" s="70"/>
      <c r="S114" s="70">
        <f t="shared" si="193"/>
        <v>0</v>
      </c>
      <c r="T114" s="70">
        <v>0</v>
      </c>
      <c r="U114" s="70"/>
      <c r="V114" s="70"/>
      <c r="W114" s="70"/>
      <c r="X114" s="70"/>
      <c r="Y114" s="70">
        <f t="shared" si="181"/>
        <v>16.2</v>
      </c>
      <c r="Z114" s="70"/>
      <c r="AA114" s="70"/>
      <c r="AB114" s="70">
        <f t="shared" si="182"/>
        <v>16.2</v>
      </c>
      <c r="AC114" s="70">
        <f t="shared" si="152"/>
        <v>0</v>
      </c>
      <c r="AD114" s="70"/>
      <c r="AE114" s="70"/>
      <c r="AF114" s="70">
        <v>16.2</v>
      </c>
      <c r="AG114" s="70"/>
      <c r="AH114" s="70">
        <f t="shared" si="183"/>
        <v>16.2</v>
      </c>
      <c r="AI114" s="70"/>
      <c r="AJ114" s="70"/>
      <c r="AK114" s="70">
        <f t="shared" si="184"/>
        <v>16.2</v>
      </c>
      <c r="AL114" s="70"/>
      <c r="AM114" s="70"/>
      <c r="AN114" s="70">
        <v>16.2</v>
      </c>
      <c r="AO114" s="70"/>
      <c r="AP114" s="70">
        <f t="shared" si="185"/>
        <v>16.2</v>
      </c>
      <c r="AQ114" s="70"/>
      <c r="AR114" s="70"/>
      <c r="AS114" s="70">
        <f t="shared" si="186"/>
        <v>16.2</v>
      </c>
      <c r="AT114" s="70"/>
      <c r="AU114" s="70"/>
      <c r="AV114" s="70">
        <v>16.2</v>
      </c>
      <c r="AW114" s="70"/>
      <c r="AX114" s="70">
        <f t="shared" si="187"/>
        <v>0</v>
      </c>
      <c r="AY114" s="70"/>
      <c r="AZ114" s="70"/>
      <c r="BA114" s="70">
        <f t="shared" si="188"/>
        <v>0</v>
      </c>
      <c r="BB114" s="67">
        <f t="shared" si="153"/>
        <v>0</v>
      </c>
      <c r="BC114" s="70"/>
      <c r="BD114" s="70"/>
      <c r="BE114" s="70">
        <v>0</v>
      </c>
      <c r="BF114" s="70"/>
      <c r="BG114" s="133">
        <f t="shared" si="189"/>
        <v>0</v>
      </c>
      <c r="BH114" s="133"/>
      <c r="BI114" s="133"/>
      <c r="BJ114" s="133">
        <f t="shared" si="190"/>
        <v>0</v>
      </c>
      <c r="BK114" s="133"/>
      <c r="BL114" s="133"/>
      <c r="BM114" s="133">
        <v>0</v>
      </c>
      <c r="BN114" s="133"/>
      <c r="BO114" s="133">
        <f t="shared" si="191"/>
        <v>0</v>
      </c>
      <c r="BP114" s="133"/>
      <c r="BQ114" s="133"/>
      <c r="BR114" s="133">
        <f t="shared" si="192"/>
        <v>0</v>
      </c>
      <c r="BS114" s="133"/>
      <c r="BT114" s="133"/>
      <c r="BU114" s="133"/>
      <c r="BV114" s="133"/>
      <c r="BW114" s="133">
        <v>0</v>
      </c>
      <c r="BX114" s="133">
        <v>0</v>
      </c>
      <c r="BY114" s="133"/>
      <c r="BZ114" s="434"/>
      <c r="CA114" s="424"/>
      <c r="CB114" s="424"/>
      <c r="CC114" s="424"/>
    </row>
    <row r="115" spans="1:81" ht="66" hidden="1" customHeight="1">
      <c r="A115" s="433"/>
      <c r="B115" s="549" t="s">
        <v>2295</v>
      </c>
      <c r="C115" s="420"/>
      <c r="D115" s="420"/>
      <c r="E115" s="431"/>
      <c r="F115" s="422"/>
      <c r="G115" s="420"/>
      <c r="H115" s="422"/>
      <c r="I115" s="420"/>
      <c r="J115" s="420"/>
      <c r="K115" s="206"/>
      <c r="L115" s="206"/>
      <c r="M115" s="169"/>
      <c r="N115" s="169"/>
      <c r="O115" s="70"/>
      <c r="P115" s="70"/>
      <c r="Q115" s="70"/>
      <c r="R115" s="70"/>
      <c r="S115" s="70">
        <f t="shared" si="193"/>
        <v>0</v>
      </c>
      <c r="T115" s="70">
        <v>0</v>
      </c>
      <c r="U115" s="70"/>
      <c r="V115" s="70"/>
      <c r="W115" s="70"/>
      <c r="X115" s="70"/>
      <c r="Y115" s="70">
        <f t="shared" si="181"/>
        <v>16.2</v>
      </c>
      <c r="Z115" s="70"/>
      <c r="AA115" s="70"/>
      <c r="AB115" s="70">
        <f t="shared" si="182"/>
        <v>16.2</v>
      </c>
      <c r="AC115" s="70">
        <f t="shared" si="152"/>
        <v>0</v>
      </c>
      <c r="AD115" s="70"/>
      <c r="AE115" s="70"/>
      <c r="AF115" s="70">
        <v>16.2</v>
      </c>
      <c r="AG115" s="70"/>
      <c r="AH115" s="70">
        <f t="shared" si="183"/>
        <v>16.2</v>
      </c>
      <c r="AI115" s="70"/>
      <c r="AJ115" s="70"/>
      <c r="AK115" s="70">
        <f t="shared" si="184"/>
        <v>16.2</v>
      </c>
      <c r="AL115" s="70"/>
      <c r="AM115" s="70"/>
      <c r="AN115" s="70">
        <v>16.2</v>
      </c>
      <c r="AO115" s="70"/>
      <c r="AP115" s="70">
        <f t="shared" si="185"/>
        <v>16.2</v>
      </c>
      <c r="AQ115" s="70"/>
      <c r="AR115" s="70"/>
      <c r="AS115" s="70">
        <f t="shared" si="186"/>
        <v>16.2</v>
      </c>
      <c r="AT115" s="70"/>
      <c r="AU115" s="70"/>
      <c r="AV115" s="70">
        <v>16.2</v>
      </c>
      <c r="AW115" s="70"/>
      <c r="AX115" s="70">
        <f t="shared" si="187"/>
        <v>0</v>
      </c>
      <c r="AY115" s="70"/>
      <c r="AZ115" s="70"/>
      <c r="BA115" s="70">
        <f t="shared" si="188"/>
        <v>0</v>
      </c>
      <c r="BB115" s="67">
        <f t="shared" si="153"/>
        <v>0</v>
      </c>
      <c r="BC115" s="70"/>
      <c r="BD115" s="70"/>
      <c r="BE115" s="70">
        <v>0</v>
      </c>
      <c r="BF115" s="70"/>
      <c r="BG115" s="133">
        <f t="shared" si="189"/>
        <v>0</v>
      </c>
      <c r="BH115" s="133"/>
      <c r="BI115" s="133"/>
      <c r="BJ115" s="133">
        <f t="shared" si="190"/>
        <v>0</v>
      </c>
      <c r="BK115" s="133"/>
      <c r="BL115" s="133"/>
      <c r="BM115" s="133">
        <v>0</v>
      </c>
      <c r="BN115" s="133"/>
      <c r="BO115" s="133">
        <f t="shared" si="191"/>
        <v>0</v>
      </c>
      <c r="BP115" s="133"/>
      <c r="BQ115" s="133"/>
      <c r="BR115" s="133">
        <f t="shared" si="192"/>
        <v>0</v>
      </c>
      <c r="BS115" s="133"/>
      <c r="BT115" s="133"/>
      <c r="BU115" s="133"/>
      <c r="BV115" s="133"/>
      <c r="BW115" s="133">
        <v>0</v>
      </c>
      <c r="BX115" s="133">
        <v>0</v>
      </c>
      <c r="BY115" s="133"/>
      <c r="BZ115" s="434"/>
      <c r="CA115" s="424"/>
      <c r="CB115" s="424"/>
      <c r="CC115" s="424"/>
    </row>
    <row r="116" spans="1:81" ht="66" hidden="1" customHeight="1">
      <c r="A116" s="433"/>
      <c r="B116" s="549" t="s">
        <v>2296</v>
      </c>
      <c r="C116" s="420"/>
      <c r="D116" s="420"/>
      <c r="E116" s="431"/>
      <c r="F116" s="422"/>
      <c r="G116" s="420"/>
      <c r="H116" s="422"/>
      <c r="I116" s="420"/>
      <c r="J116" s="420"/>
      <c r="K116" s="206"/>
      <c r="L116" s="206"/>
      <c r="M116" s="169"/>
      <c r="N116" s="169"/>
      <c r="O116" s="70"/>
      <c r="P116" s="70"/>
      <c r="Q116" s="70"/>
      <c r="R116" s="70"/>
      <c r="S116" s="70">
        <f t="shared" si="193"/>
        <v>0</v>
      </c>
      <c r="T116" s="70">
        <v>0</v>
      </c>
      <c r="U116" s="70"/>
      <c r="V116" s="70"/>
      <c r="W116" s="70"/>
      <c r="X116" s="70"/>
      <c r="Y116" s="70">
        <f t="shared" si="181"/>
        <v>16.2</v>
      </c>
      <c r="Z116" s="70"/>
      <c r="AA116" s="70"/>
      <c r="AB116" s="70">
        <f t="shared" si="182"/>
        <v>16.2</v>
      </c>
      <c r="AC116" s="70">
        <f t="shared" si="152"/>
        <v>0</v>
      </c>
      <c r="AD116" s="70"/>
      <c r="AE116" s="70"/>
      <c r="AF116" s="70">
        <v>16.2</v>
      </c>
      <c r="AG116" s="70"/>
      <c r="AH116" s="70">
        <f t="shared" si="183"/>
        <v>16.2</v>
      </c>
      <c r="AI116" s="70"/>
      <c r="AJ116" s="70"/>
      <c r="AK116" s="70">
        <f t="shared" si="184"/>
        <v>16.2</v>
      </c>
      <c r="AL116" s="70"/>
      <c r="AM116" s="70"/>
      <c r="AN116" s="70">
        <v>16.2</v>
      </c>
      <c r="AO116" s="70"/>
      <c r="AP116" s="70">
        <f t="shared" si="185"/>
        <v>16.2</v>
      </c>
      <c r="AQ116" s="70"/>
      <c r="AR116" s="70"/>
      <c r="AS116" s="70">
        <f t="shared" si="186"/>
        <v>16.2</v>
      </c>
      <c r="AT116" s="70"/>
      <c r="AU116" s="70"/>
      <c r="AV116" s="70">
        <v>16.2</v>
      </c>
      <c r="AW116" s="70"/>
      <c r="AX116" s="70">
        <f t="shared" si="187"/>
        <v>0</v>
      </c>
      <c r="AY116" s="70"/>
      <c r="AZ116" s="70"/>
      <c r="BA116" s="70">
        <f t="shared" si="188"/>
        <v>0</v>
      </c>
      <c r="BB116" s="67">
        <f t="shared" si="153"/>
        <v>0</v>
      </c>
      <c r="BC116" s="70"/>
      <c r="BD116" s="70"/>
      <c r="BE116" s="70">
        <v>0</v>
      </c>
      <c r="BF116" s="70"/>
      <c r="BG116" s="133">
        <f t="shared" si="189"/>
        <v>0</v>
      </c>
      <c r="BH116" s="133"/>
      <c r="BI116" s="133"/>
      <c r="BJ116" s="133">
        <f t="shared" si="190"/>
        <v>0</v>
      </c>
      <c r="BK116" s="133"/>
      <c r="BL116" s="133"/>
      <c r="BM116" s="133">
        <v>0</v>
      </c>
      <c r="BN116" s="133"/>
      <c r="BO116" s="133">
        <f t="shared" si="191"/>
        <v>0</v>
      </c>
      <c r="BP116" s="133"/>
      <c r="BQ116" s="133"/>
      <c r="BR116" s="133">
        <f t="shared" si="192"/>
        <v>0</v>
      </c>
      <c r="BS116" s="133"/>
      <c r="BT116" s="133"/>
      <c r="BU116" s="133"/>
      <c r="BV116" s="133"/>
      <c r="BW116" s="133">
        <v>0</v>
      </c>
      <c r="BX116" s="133">
        <v>0</v>
      </c>
      <c r="BY116" s="133"/>
      <c r="BZ116" s="434"/>
      <c r="CA116" s="424"/>
      <c r="CB116" s="424"/>
      <c r="CC116" s="424"/>
    </row>
    <row r="117" spans="1:81" ht="120" hidden="1" customHeight="1">
      <c r="A117" s="433"/>
      <c r="B117" s="549" t="s">
        <v>2297</v>
      </c>
      <c r="C117" s="420"/>
      <c r="D117" s="420"/>
      <c r="E117" s="431"/>
      <c r="F117" s="422"/>
      <c r="G117" s="420"/>
      <c r="H117" s="422"/>
      <c r="I117" s="420"/>
      <c r="J117" s="420"/>
      <c r="K117" s="206"/>
      <c r="L117" s="206"/>
      <c r="M117" s="169"/>
      <c r="N117" s="169"/>
      <c r="O117" s="70"/>
      <c r="P117" s="70"/>
      <c r="Q117" s="70"/>
      <c r="R117" s="70"/>
      <c r="S117" s="70">
        <f t="shared" si="193"/>
        <v>0</v>
      </c>
      <c r="T117" s="70">
        <v>0</v>
      </c>
      <c r="U117" s="70"/>
      <c r="V117" s="70"/>
      <c r="W117" s="70"/>
      <c r="X117" s="70"/>
      <c r="Y117" s="70">
        <f t="shared" si="181"/>
        <v>515.19399999999996</v>
      </c>
      <c r="Z117" s="70"/>
      <c r="AA117" s="70"/>
      <c r="AB117" s="70">
        <f t="shared" si="182"/>
        <v>515.19399999999996</v>
      </c>
      <c r="AC117" s="70">
        <f t="shared" si="152"/>
        <v>0</v>
      </c>
      <c r="AD117" s="70"/>
      <c r="AE117" s="70"/>
      <c r="AF117" s="70">
        <v>515.19399999999996</v>
      </c>
      <c r="AG117" s="70"/>
      <c r="AH117" s="70">
        <f t="shared" si="183"/>
        <v>515.19399999999996</v>
      </c>
      <c r="AI117" s="70"/>
      <c r="AJ117" s="70"/>
      <c r="AK117" s="70">
        <f t="shared" si="184"/>
        <v>515.19399999999996</v>
      </c>
      <c r="AL117" s="70"/>
      <c r="AM117" s="70"/>
      <c r="AN117" s="70">
        <v>515.19399999999996</v>
      </c>
      <c r="AO117" s="70"/>
      <c r="AP117" s="70">
        <f t="shared" si="185"/>
        <v>515.19399999999996</v>
      </c>
      <c r="AQ117" s="70"/>
      <c r="AR117" s="70"/>
      <c r="AS117" s="70">
        <f t="shared" si="186"/>
        <v>515.19399999999996</v>
      </c>
      <c r="AT117" s="70"/>
      <c r="AU117" s="70"/>
      <c r="AV117" s="70">
        <v>515.19399999999996</v>
      </c>
      <c r="AW117" s="70"/>
      <c r="AX117" s="70">
        <f t="shared" si="187"/>
        <v>0</v>
      </c>
      <c r="AY117" s="70"/>
      <c r="AZ117" s="70"/>
      <c r="BA117" s="70">
        <f t="shared" si="188"/>
        <v>0</v>
      </c>
      <c r="BB117" s="67">
        <f t="shared" si="153"/>
        <v>0</v>
      </c>
      <c r="BC117" s="70"/>
      <c r="BD117" s="70"/>
      <c r="BE117" s="70">
        <v>0</v>
      </c>
      <c r="BF117" s="70"/>
      <c r="BG117" s="133">
        <f t="shared" si="189"/>
        <v>0</v>
      </c>
      <c r="BH117" s="133"/>
      <c r="BI117" s="133"/>
      <c r="BJ117" s="133">
        <f t="shared" si="190"/>
        <v>0</v>
      </c>
      <c r="BK117" s="133"/>
      <c r="BL117" s="133"/>
      <c r="BM117" s="133">
        <v>0</v>
      </c>
      <c r="BN117" s="133"/>
      <c r="BO117" s="133">
        <f t="shared" si="191"/>
        <v>0</v>
      </c>
      <c r="BP117" s="133"/>
      <c r="BQ117" s="133"/>
      <c r="BR117" s="133">
        <f t="shared" si="192"/>
        <v>0</v>
      </c>
      <c r="BS117" s="133"/>
      <c r="BT117" s="133"/>
      <c r="BU117" s="133"/>
      <c r="BV117" s="133"/>
      <c r="BW117" s="133">
        <v>0</v>
      </c>
      <c r="BX117" s="133">
        <v>0</v>
      </c>
      <c r="BY117" s="133"/>
      <c r="BZ117" s="434"/>
      <c r="CA117" s="424"/>
      <c r="CB117" s="424"/>
      <c r="CC117" s="424"/>
    </row>
    <row r="118" spans="1:81" ht="149.25" hidden="1" customHeight="1">
      <c r="A118" s="433"/>
      <c r="B118" s="549" t="s">
        <v>2298</v>
      </c>
      <c r="C118" s="420"/>
      <c r="D118" s="420"/>
      <c r="E118" s="431"/>
      <c r="F118" s="422"/>
      <c r="G118" s="420"/>
      <c r="H118" s="422"/>
      <c r="I118" s="420"/>
      <c r="J118" s="420"/>
      <c r="K118" s="206"/>
      <c r="L118" s="206"/>
      <c r="M118" s="169"/>
      <c r="N118" s="169"/>
      <c r="O118" s="70"/>
      <c r="P118" s="70"/>
      <c r="Q118" s="70"/>
      <c r="R118" s="70"/>
      <c r="S118" s="70">
        <f t="shared" si="193"/>
        <v>0</v>
      </c>
      <c r="T118" s="70">
        <v>0</v>
      </c>
      <c r="U118" s="70"/>
      <c r="V118" s="70"/>
      <c r="W118" s="70"/>
      <c r="X118" s="70"/>
      <c r="Y118" s="70">
        <f t="shared" si="181"/>
        <v>49</v>
      </c>
      <c r="Z118" s="70"/>
      <c r="AA118" s="70"/>
      <c r="AB118" s="70">
        <f t="shared" si="182"/>
        <v>49</v>
      </c>
      <c r="AC118" s="70">
        <f t="shared" si="152"/>
        <v>0</v>
      </c>
      <c r="AD118" s="70"/>
      <c r="AE118" s="70"/>
      <c r="AF118" s="70">
        <v>49</v>
      </c>
      <c r="AG118" s="70"/>
      <c r="AH118" s="70">
        <f t="shared" si="183"/>
        <v>49</v>
      </c>
      <c r="AI118" s="70"/>
      <c r="AJ118" s="70"/>
      <c r="AK118" s="70">
        <f t="shared" si="184"/>
        <v>49</v>
      </c>
      <c r="AL118" s="70"/>
      <c r="AM118" s="70"/>
      <c r="AN118" s="70">
        <v>49</v>
      </c>
      <c r="AO118" s="70"/>
      <c r="AP118" s="70">
        <f t="shared" si="185"/>
        <v>49</v>
      </c>
      <c r="AQ118" s="70"/>
      <c r="AR118" s="70"/>
      <c r="AS118" s="70">
        <f t="shared" si="186"/>
        <v>49</v>
      </c>
      <c r="AT118" s="70"/>
      <c r="AU118" s="70"/>
      <c r="AV118" s="70">
        <v>49</v>
      </c>
      <c r="AW118" s="70"/>
      <c r="AX118" s="70">
        <f t="shared" si="187"/>
        <v>0</v>
      </c>
      <c r="AY118" s="70"/>
      <c r="AZ118" s="70"/>
      <c r="BA118" s="70">
        <f t="shared" si="188"/>
        <v>0</v>
      </c>
      <c r="BB118" s="67">
        <f t="shared" si="153"/>
        <v>0</v>
      </c>
      <c r="BC118" s="70"/>
      <c r="BD118" s="70"/>
      <c r="BE118" s="70">
        <v>0</v>
      </c>
      <c r="BF118" s="70"/>
      <c r="BG118" s="133">
        <f t="shared" si="189"/>
        <v>0</v>
      </c>
      <c r="BH118" s="133"/>
      <c r="BI118" s="133"/>
      <c r="BJ118" s="133">
        <f t="shared" si="190"/>
        <v>0</v>
      </c>
      <c r="BK118" s="133"/>
      <c r="BL118" s="133"/>
      <c r="BM118" s="133">
        <v>0</v>
      </c>
      <c r="BN118" s="133"/>
      <c r="BO118" s="133">
        <f t="shared" si="191"/>
        <v>0</v>
      </c>
      <c r="BP118" s="133"/>
      <c r="BQ118" s="133"/>
      <c r="BR118" s="133">
        <f t="shared" si="192"/>
        <v>0</v>
      </c>
      <c r="BS118" s="133"/>
      <c r="BT118" s="133"/>
      <c r="BU118" s="133"/>
      <c r="BV118" s="133"/>
      <c r="BW118" s="133">
        <v>0</v>
      </c>
      <c r="BX118" s="133">
        <v>0</v>
      </c>
      <c r="BY118" s="133"/>
      <c r="BZ118" s="434"/>
      <c r="CA118" s="424"/>
      <c r="CB118" s="424"/>
      <c r="CC118" s="424"/>
    </row>
    <row r="119" spans="1:81" ht="61.5" hidden="1">
      <c r="A119" s="433" t="s">
        <v>2299</v>
      </c>
      <c r="B119" s="549" t="s">
        <v>2300</v>
      </c>
      <c r="C119" s="420"/>
      <c r="D119" s="420"/>
      <c r="E119" s="431"/>
      <c r="F119" s="422"/>
      <c r="G119" s="420"/>
      <c r="H119" s="422"/>
      <c r="I119" s="420"/>
      <c r="J119" s="420"/>
      <c r="K119" s="206"/>
      <c r="L119" s="206"/>
      <c r="M119" s="169"/>
      <c r="N119" s="169"/>
      <c r="O119" s="70"/>
      <c r="P119" s="70" t="s">
        <v>2301</v>
      </c>
      <c r="Q119" s="70" t="s">
        <v>2122</v>
      </c>
      <c r="R119" s="70" t="s">
        <v>2302</v>
      </c>
      <c r="S119" s="70">
        <f t="shared" ref="S119:T119" si="194">SUM(S120:S131)</f>
        <v>0</v>
      </c>
      <c r="T119" s="70">
        <f t="shared" si="194"/>
        <v>0</v>
      </c>
      <c r="U119" s="70"/>
      <c r="V119" s="70"/>
      <c r="W119" s="70"/>
      <c r="X119" s="70"/>
      <c r="Y119" s="70">
        <f>SUM(Y120:Y131)</f>
        <v>1826.5260000000001</v>
      </c>
      <c r="Z119" s="70">
        <f t="shared" ref="Z119:BZ119" si="195">SUM(Z120:Z131)</f>
        <v>0</v>
      </c>
      <c r="AA119" s="70">
        <f t="shared" si="195"/>
        <v>0</v>
      </c>
      <c r="AB119" s="70">
        <f t="shared" si="195"/>
        <v>1826.5260000000001</v>
      </c>
      <c r="AC119" s="70">
        <f t="shared" si="152"/>
        <v>0</v>
      </c>
      <c r="AD119" s="70">
        <f t="shared" si="195"/>
        <v>0</v>
      </c>
      <c r="AE119" s="70">
        <f t="shared" si="195"/>
        <v>0</v>
      </c>
      <c r="AF119" s="70">
        <f t="shared" si="195"/>
        <v>1826.5260000000001</v>
      </c>
      <c r="AG119" s="70">
        <f t="shared" si="195"/>
        <v>0</v>
      </c>
      <c r="AH119" s="70">
        <f t="shared" si="195"/>
        <v>1000.2260000000001</v>
      </c>
      <c r="AI119" s="70">
        <f t="shared" si="195"/>
        <v>0</v>
      </c>
      <c r="AJ119" s="70">
        <f t="shared" si="195"/>
        <v>0</v>
      </c>
      <c r="AK119" s="70">
        <f t="shared" si="195"/>
        <v>1000.2260000000001</v>
      </c>
      <c r="AL119" s="70">
        <f t="shared" si="195"/>
        <v>0</v>
      </c>
      <c r="AM119" s="70">
        <f t="shared" si="195"/>
        <v>0</v>
      </c>
      <c r="AN119" s="70">
        <f t="shared" si="195"/>
        <v>1000.2260000000001</v>
      </c>
      <c r="AO119" s="70">
        <f t="shared" si="195"/>
        <v>0</v>
      </c>
      <c r="AP119" s="70">
        <f t="shared" si="195"/>
        <v>1000.2260000000001</v>
      </c>
      <c r="AQ119" s="70">
        <f t="shared" si="195"/>
        <v>0</v>
      </c>
      <c r="AR119" s="70">
        <f t="shared" si="195"/>
        <v>0</v>
      </c>
      <c r="AS119" s="70">
        <f t="shared" si="195"/>
        <v>1000.2260000000001</v>
      </c>
      <c r="AT119" s="70">
        <f t="shared" si="195"/>
        <v>0</v>
      </c>
      <c r="AU119" s="70">
        <f t="shared" si="195"/>
        <v>0</v>
      </c>
      <c r="AV119" s="70">
        <f t="shared" si="195"/>
        <v>1000.2260000000001</v>
      </c>
      <c r="AW119" s="70">
        <f t="shared" si="195"/>
        <v>0</v>
      </c>
      <c r="AX119" s="70">
        <f t="shared" si="195"/>
        <v>826.3</v>
      </c>
      <c r="AY119" s="70">
        <f t="shared" si="195"/>
        <v>0</v>
      </c>
      <c r="AZ119" s="70">
        <f t="shared" si="195"/>
        <v>0</v>
      </c>
      <c r="BA119" s="70">
        <f t="shared" si="195"/>
        <v>826.3</v>
      </c>
      <c r="BB119" s="67">
        <f t="shared" si="153"/>
        <v>0</v>
      </c>
      <c r="BC119" s="70">
        <f t="shared" si="195"/>
        <v>0</v>
      </c>
      <c r="BD119" s="70">
        <f t="shared" si="195"/>
        <v>0</v>
      </c>
      <c r="BE119" s="70">
        <f t="shared" si="195"/>
        <v>826.3</v>
      </c>
      <c r="BF119" s="70">
        <f t="shared" si="195"/>
        <v>0</v>
      </c>
      <c r="BG119" s="133">
        <f t="shared" si="195"/>
        <v>826.3</v>
      </c>
      <c r="BH119" s="133">
        <f t="shared" si="195"/>
        <v>0</v>
      </c>
      <c r="BI119" s="133">
        <f t="shared" si="195"/>
        <v>0</v>
      </c>
      <c r="BJ119" s="133">
        <f t="shared" si="195"/>
        <v>826.3</v>
      </c>
      <c r="BK119" s="133">
        <f t="shared" si="195"/>
        <v>0</v>
      </c>
      <c r="BL119" s="133">
        <f t="shared" si="195"/>
        <v>0</v>
      </c>
      <c r="BM119" s="133">
        <f t="shared" si="195"/>
        <v>826.3</v>
      </c>
      <c r="BN119" s="133">
        <f t="shared" si="195"/>
        <v>0</v>
      </c>
      <c r="BO119" s="133">
        <f t="shared" si="195"/>
        <v>0</v>
      </c>
      <c r="BP119" s="133">
        <f t="shared" si="195"/>
        <v>0</v>
      </c>
      <c r="BQ119" s="133">
        <f t="shared" si="195"/>
        <v>0</v>
      </c>
      <c r="BR119" s="133">
        <f t="shared" si="195"/>
        <v>0</v>
      </c>
      <c r="BS119" s="133">
        <f t="shared" si="195"/>
        <v>0</v>
      </c>
      <c r="BT119" s="133">
        <f t="shared" si="195"/>
        <v>0</v>
      </c>
      <c r="BU119" s="133">
        <f t="shared" si="195"/>
        <v>0</v>
      </c>
      <c r="BV119" s="133">
        <f t="shared" si="195"/>
        <v>0</v>
      </c>
      <c r="BW119" s="133">
        <f t="shared" si="195"/>
        <v>0</v>
      </c>
      <c r="BX119" s="133">
        <f t="shared" si="195"/>
        <v>0</v>
      </c>
      <c r="BY119" s="133">
        <f t="shared" si="195"/>
        <v>0</v>
      </c>
      <c r="BZ119" s="133">
        <f t="shared" si="195"/>
        <v>0</v>
      </c>
      <c r="CA119" s="424"/>
      <c r="CB119" s="424"/>
      <c r="CC119" s="424"/>
    </row>
    <row r="120" spans="1:81" ht="66" hidden="1" customHeight="1">
      <c r="A120" s="433"/>
      <c r="B120" s="549" t="s">
        <v>2303</v>
      </c>
      <c r="C120" s="420"/>
      <c r="D120" s="420"/>
      <c r="E120" s="431"/>
      <c r="F120" s="422"/>
      <c r="G120" s="420"/>
      <c r="H120" s="422"/>
      <c r="I120" s="420"/>
      <c r="J120" s="420"/>
      <c r="K120" s="206"/>
      <c r="L120" s="206"/>
      <c r="M120" s="169"/>
      <c r="N120" s="169"/>
      <c r="O120" s="70"/>
      <c r="P120" s="70"/>
      <c r="Q120" s="70"/>
      <c r="R120" s="70"/>
      <c r="S120" s="70">
        <f t="shared" ref="S120:S131" si="196">SUM(T120:V120)</f>
        <v>0</v>
      </c>
      <c r="T120" s="70">
        <v>0</v>
      </c>
      <c r="U120" s="70"/>
      <c r="V120" s="70"/>
      <c r="W120" s="70"/>
      <c r="X120" s="70"/>
      <c r="Y120" s="70">
        <f t="shared" si="181"/>
        <v>75</v>
      </c>
      <c r="Z120" s="70"/>
      <c r="AA120" s="70"/>
      <c r="AB120" s="70">
        <f t="shared" si="182"/>
        <v>75</v>
      </c>
      <c r="AC120" s="70">
        <f t="shared" si="152"/>
        <v>0</v>
      </c>
      <c r="AD120" s="70"/>
      <c r="AE120" s="70"/>
      <c r="AF120" s="70">
        <v>75</v>
      </c>
      <c r="AG120" s="70"/>
      <c r="AH120" s="70">
        <f t="shared" ref="AH120:AH131" si="197">SUM(AI120:AK120)</f>
        <v>75</v>
      </c>
      <c r="AI120" s="70"/>
      <c r="AJ120" s="70"/>
      <c r="AK120" s="70">
        <f t="shared" ref="AK120:AK131" si="198">SUM(AL120:AO120)</f>
        <v>75</v>
      </c>
      <c r="AL120" s="70"/>
      <c r="AM120" s="70"/>
      <c r="AN120" s="70">
        <v>75</v>
      </c>
      <c r="AO120" s="70"/>
      <c r="AP120" s="70">
        <f t="shared" ref="AP120:AP131" si="199">SUM(AQ120:AS120)</f>
        <v>75</v>
      </c>
      <c r="AQ120" s="70"/>
      <c r="AR120" s="70"/>
      <c r="AS120" s="70">
        <f t="shared" ref="AS120:AS131" si="200">SUM(AT120:AW120)</f>
        <v>75</v>
      </c>
      <c r="AT120" s="70"/>
      <c r="AU120" s="70"/>
      <c r="AV120" s="70">
        <v>75</v>
      </c>
      <c r="AW120" s="70"/>
      <c r="AX120" s="70">
        <f t="shared" ref="AX120:AX131" si="201">SUM(AY120:BA120)</f>
        <v>0</v>
      </c>
      <c r="AY120" s="70"/>
      <c r="AZ120" s="70"/>
      <c r="BA120" s="70">
        <f t="shared" ref="BA120:BA131" si="202">SUM(BC120:BF120)</f>
        <v>0</v>
      </c>
      <c r="BB120" s="67">
        <f t="shared" si="153"/>
        <v>0</v>
      </c>
      <c r="BC120" s="70"/>
      <c r="BD120" s="70"/>
      <c r="BE120" s="70">
        <v>0</v>
      </c>
      <c r="BF120" s="70"/>
      <c r="BG120" s="133">
        <f t="shared" ref="BG120:BG131" si="203">SUM(BH120:BJ120)</f>
        <v>0</v>
      </c>
      <c r="BH120" s="133"/>
      <c r="BI120" s="133"/>
      <c r="BJ120" s="133">
        <f t="shared" ref="BJ120:BJ131" si="204">SUM(BK120:BN120)</f>
        <v>0</v>
      </c>
      <c r="BK120" s="133"/>
      <c r="BL120" s="133"/>
      <c r="BM120" s="133">
        <v>0</v>
      </c>
      <c r="BN120" s="133"/>
      <c r="BO120" s="133">
        <f t="shared" ref="BO120:BO131" si="205">SUM(BP120:BR120)</f>
        <v>0</v>
      </c>
      <c r="BP120" s="133"/>
      <c r="BQ120" s="133"/>
      <c r="BR120" s="133">
        <f t="shared" ref="BR120:BR131" si="206">SUM(BS120:BV120)</f>
        <v>0</v>
      </c>
      <c r="BS120" s="133"/>
      <c r="BT120" s="133"/>
      <c r="BU120" s="133"/>
      <c r="BV120" s="133"/>
      <c r="BW120" s="133">
        <v>0</v>
      </c>
      <c r="BX120" s="133">
        <v>0</v>
      </c>
      <c r="BY120" s="133"/>
      <c r="BZ120" s="434"/>
      <c r="CA120" s="424"/>
      <c r="CB120" s="424"/>
      <c r="CC120" s="424"/>
    </row>
    <row r="121" spans="1:81" ht="66" hidden="1" customHeight="1">
      <c r="A121" s="433"/>
      <c r="B121" s="549" t="s">
        <v>2304</v>
      </c>
      <c r="C121" s="420"/>
      <c r="D121" s="420"/>
      <c r="E121" s="431"/>
      <c r="F121" s="422"/>
      <c r="G121" s="420"/>
      <c r="H121" s="422"/>
      <c r="I121" s="420"/>
      <c r="J121" s="420"/>
      <c r="K121" s="206"/>
      <c r="L121" s="206"/>
      <c r="M121" s="169"/>
      <c r="N121" s="169"/>
      <c r="O121" s="70"/>
      <c r="P121" s="70"/>
      <c r="Q121" s="70"/>
      <c r="R121" s="70"/>
      <c r="S121" s="70">
        <f t="shared" si="196"/>
        <v>0</v>
      </c>
      <c r="T121" s="70">
        <v>0</v>
      </c>
      <c r="U121" s="70"/>
      <c r="V121" s="70"/>
      <c r="W121" s="70"/>
      <c r="X121" s="70"/>
      <c r="Y121" s="70">
        <f t="shared" si="181"/>
        <v>76</v>
      </c>
      <c r="Z121" s="70"/>
      <c r="AA121" s="70"/>
      <c r="AB121" s="70">
        <f t="shared" si="182"/>
        <v>76</v>
      </c>
      <c r="AC121" s="70">
        <f t="shared" si="152"/>
        <v>0</v>
      </c>
      <c r="AD121" s="70"/>
      <c r="AE121" s="70"/>
      <c r="AF121" s="70">
        <v>76</v>
      </c>
      <c r="AG121" s="70"/>
      <c r="AH121" s="70">
        <f t="shared" si="197"/>
        <v>76</v>
      </c>
      <c r="AI121" s="70"/>
      <c r="AJ121" s="70"/>
      <c r="AK121" s="70">
        <f t="shared" si="198"/>
        <v>76</v>
      </c>
      <c r="AL121" s="70"/>
      <c r="AM121" s="70"/>
      <c r="AN121" s="70">
        <v>76</v>
      </c>
      <c r="AO121" s="70"/>
      <c r="AP121" s="70">
        <f t="shared" si="199"/>
        <v>76</v>
      </c>
      <c r="AQ121" s="70"/>
      <c r="AR121" s="70"/>
      <c r="AS121" s="70">
        <f t="shared" si="200"/>
        <v>76</v>
      </c>
      <c r="AT121" s="70"/>
      <c r="AU121" s="70"/>
      <c r="AV121" s="70">
        <v>76</v>
      </c>
      <c r="AW121" s="70"/>
      <c r="AX121" s="70">
        <f t="shared" si="201"/>
        <v>0</v>
      </c>
      <c r="AY121" s="70"/>
      <c r="AZ121" s="70"/>
      <c r="BA121" s="70">
        <f t="shared" si="202"/>
        <v>0</v>
      </c>
      <c r="BB121" s="67">
        <f t="shared" si="153"/>
        <v>0</v>
      </c>
      <c r="BC121" s="70"/>
      <c r="BD121" s="70"/>
      <c r="BE121" s="70">
        <v>0</v>
      </c>
      <c r="BF121" s="70"/>
      <c r="BG121" s="133">
        <f t="shared" si="203"/>
        <v>0</v>
      </c>
      <c r="BH121" s="133"/>
      <c r="BI121" s="133"/>
      <c r="BJ121" s="133">
        <f t="shared" si="204"/>
        <v>0</v>
      </c>
      <c r="BK121" s="133"/>
      <c r="BL121" s="133"/>
      <c r="BM121" s="133">
        <v>0</v>
      </c>
      <c r="BN121" s="133"/>
      <c r="BO121" s="133">
        <f t="shared" si="205"/>
        <v>0</v>
      </c>
      <c r="BP121" s="133"/>
      <c r="BQ121" s="133"/>
      <c r="BR121" s="133">
        <f t="shared" si="206"/>
        <v>0</v>
      </c>
      <c r="BS121" s="133"/>
      <c r="BT121" s="133"/>
      <c r="BU121" s="133"/>
      <c r="BV121" s="133"/>
      <c r="BW121" s="133">
        <v>0</v>
      </c>
      <c r="BX121" s="133">
        <v>0</v>
      </c>
      <c r="BY121" s="133"/>
      <c r="BZ121" s="434"/>
      <c r="CA121" s="424"/>
      <c r="CB121" s="424"/>
      <c r="CC121" s="424"/>
    </row>
    <row r="122" spans="1:81" ht="66" hidden="1" customHeight="1">
      <c r="A122" s="433"/>
      <c r="B122" s="549" t="s">
        <v>2305</v>
      </c>
      <c r="C122" s="420"/>
      <c r="D122" s="420"/>
      <c r="E122" s="431"/>
      <c r="F122" s="422"/>
      <c r="G122" s="420"/>
      <c r="H122" s="422"/>
      <c r="I122" s="420"/>
      <c r="J122" s="420"/>
      <c r="K122" s="206"/>
      <c r="L122" s="206"/>
      <c r="M122" s="169"/>
      <c r="N122" s="169"/>
      <c r="O122" s="70"/>
      <c r="P122" s="70"/>
      <c r="Q122" s="70"/>
      <c r="R122" s="70"/>
      <c r="S122" s="70">
        <f t="shared" si="196"/>
        <v>0</v>
      </c>
      <c r="T122" s="70">
        <v>0</v>
      </c>
      <c r="U122" s="70"/>
      <c r="V122" s="70"/>
      <c r="W122" s="70"/>
      <c r="X122" s="70"/>
      <c r="Y122" s="70">
        <f t="shared" si="181"/>
        <v>72</v>
      </c>
      <c r="Z122" s="70"/>
      <c r="AA122" s="70"/>
      <c r="AB122" s="70">
        <f t="shared" si="182"/>
        <v>72</v>
      </c>
      <c r="AC122" s="70">
        <f t="shared" si="152"/>
        <v>0</v>
      </c>
      <c r="AD122" s="70"/>
      <c r="AE122" s="70"/>
      <c r="AF122" s="70">
        <v>72</v>
      </c>
      <c r="AG122" s="70"/>
      <c r="AH122" s="70">
        <f t="shared" si="197"/>
        <v>72</v>
      </c>
      <c r="AI122" s="70"/>
      <c r="AJ122" s="70"/>
      <c r="AK122" s="70">
        <f t="shared" si="198"/>
        <v>72</v>
      </c>
      <c r="AL122" s="70"/>
      <c r="AM122" s="70"/>
      <c r="AN122" s="70">
        <v>72</v>
      </c>
      <c r="AO122" s="70"/>
      <c r="AP122" s="70">
        <f t="shared" si="199"/>
        <v>72</v>
      </c>
      <c r="AQ122" s="70"/>
      <c r="AR122" s="70"/>
      <c r="AS122" s="70">
        <f t="shared" si="200"/>
        <v>72</v>
      </c>
      <c r="AT122" s="70"/>
      <c r="AU122" s="70"/>
      <c r="AV122" s="70">
        <v>72</v>
      </c>
      <c r="AW122" s="70"/>
      <c r="AX122" s="70">
        <f t="shared" si="201"/>
        <v>0</v>
      </c>
      <c r="AY122" s="70"/>
      <c r="AZ122" s="70"/>
      <c r="BA122" s="70">
        <f t="shared" si="202"/>
        <v>0</v>
      </c>
      <c r="BB122" s="67">
        <f t="shared" si="153"/>
        <v>0</v>
      </c>
      <c r="BC122" s="70"/>
      <c r="BD122" s="70"/>
      <c r="BE122" s="70">
        <v>0</v>
      </c>
      <c r="BF122" s="70"/>
      <c r="BG122" s="133">
        <f t="shared" si="203"/>
        <v>0</v>
      </c>
      <c r="BH122" s="133"/>
      <c r="BI122" s="133"/>
      <c r="BJ122" s="133">
        <f t="shared" si="204"/>
        <v>0</v>
      </c>
      <c r="BK122" s="133"/>
      <c r="BL122" s="133"/>
      <c r="BM122" s="133">
        <v>0</v>
      </c>
      <c r="BN122" s="133"/>
      <c r="BO122" s="133">
        <f t="shared" si="205"/>
        <v>0</v>
      </c>
      <c r="BP122" s="133"/>
      <c r="BQ122" s="133"/>
      <c r="BR122" s="133">
        <f t="shared" si="206"/>
        <v>0</v>
      </c>
      <c r="BS122" s="133"/>
      <c r="BT122" s="133"/>
      <c r="BU122" s="133"/>
      <c r="BV122" s="133"/>
      <c r="BW122" s="133">
        <v>0</v>
      </c>
      <c r="BX122" s="133">
        <v>0</v>
      </c>
      <c r="BY122" s="133"/>
      <c r="BZ122" s="434"/>
      <c r="CA122" s="424"/>
      <c r="CB122" s="424"/>
      <c r="CC122" s="424"/>
    </row>
    <row r="123" spans="1:81" ht="66" hidden="1" customHeight="1">
      <c r="A123" s="433"/>
      <c r="B123" s="549" t="s">
        <v>2306</v>
      </c>
      <c r="C123" s="420"/>
      <c r="D123" s="420"/>
      <c r="E123" s="431"/>
      <c r="F123" s="422"/>
      <c r="G123" s="420"/>
      <c r="H123" s="422"/>
      <c r="I123" s="420"/>
      <c r="J123" s="420"/>
      <c r="K123" s="206"/>
      <c r="L123" s="206"/>
      <c r="M123" s="169"/>
      <c r="N123" s="169"/>
      <c r="O123" s="70"/>
      <c r="P123" s="70"/>
      <c r="Q123" s="70"/>
      <c r="R123" s="70"/>
      <c r="S123" s="70">
        <f t="shared" si="196"/>
        <v>0</v>
      </c>
      <c r="T123" s="70">
        <v>0</v>
      </c>
      <c r="U123" s="70"/>
      <c r="V123" s="70"/>
      <c r="W123" s="70"/>
      <c r="X123" s="70"/>
      <c r="Y123" s="70">
        <f t="shared" si="181"/>
        <v>82</v>
      </c>
      <c r="Z123" s="70"/>
      <c r="AA123" s="70"/>
      <c r="AB123" s="70">
        <f t="shared" si="182"/>
        <v>82</v>
      </c>
      <c r="AC123" s="70">
        <f t="shared" si="152"/>
        <v>0</v>
      </c>
      <c r="AD123" s="70"/>
      <c r="AE123" s="70"/>
      <c r="AF123" s="70">
        <v>82</v>
      </c>
      <c r="AG123" s="70"/>
      <c r="AH123" s="70">
        <f t="shared" si="197"/>
        <v>82</v>
      </c>
      <c r="AI123" s="70"/>
      <c r="AJ123" s="70"/>
      <c r="AK123" s="70">
        <f t="shared" si="198"/>
        <v>82</v>
      </c>
      <c r="AL123" s="70"/>
      <c r="AM123" s="70"/>
      <c r="AN123" s="70">
        <v>82</v>
      </c>
      <c r="AO123" s="70"/>
      <c r="AP123" s="70">
        <f t="shared" si="199"/>
        <v>82</v>
      </c>
      <c r="AQ123" s="70"/>
      <c r="AR123" s="70"/>
      <c r="AS123" s="70">
        <f t="shared" si="200"/>
        <v>82</v>
      </c>
      <c r="AT123" s="70"/>
      <c r="AU123" s="70"/>
      <c r="AV123" s="70">
        <v>82</v>
      </c>
      <c r="AW123" s="70"/>
      <c r="AX123" s="70">
        <f t="shared" si="201"/>
        <v>0</v>
      </c>
      <c r="AY123" s="70"/>
      <c r="AZ123" s="70"/>
      <c r="BA123" s="70">
        <f t="shared" si="202"/>
        <v>0</v>
      </c>
      <c r="BB123" s="67">
        <f t="shared" si="153"/>
        <v>0</v>
      </c>
      <c r="BC123" s="70"/>
      <c r="BD123" s="70"/>
      <c r="BE123" s="70">
        <v>0</v>
      </c>
      <c r="BF123" s="70"/>
      <c r="BG123" s="133">
        <f t="shared" si="203"/>
        <v>0</v>
      </c>
      <c r="BH123" s="133"/>
      <c r="BI123" s="133"/>
      <c r="BJ123" s="133">
        <f t="shared" si="204"/>
        <v>0</v>
      </c>
      <c r="BK123" s="133"/>
      <c r="BL123" s="133"/>
      <c r="BM123" s="133">
        <v>0</v>
      </c>
      <c r="BN123" s="133"/>
      <c r="BO123" s="133">
        <f t="shared" si="205"/>
        <v>0</v>
      </c>
      <c r="BP123" s="133"/>
      <c r="BQ123" s="133"/>
      <c r="BR123" s="133">
        <f t="shared" si="206"/>
        <v>0</v>
      </c>
      <c r="BS123" s="133"/>
      <c r="BT123" s="133"/>
      <c r="BU123" s="133"/>
      <c r="BV123" s="133"/>
      <c r="BW123" s="133">
        <v>0</v>
      </c>
      <c r="BX123" s="133">
        <v>0</v>
      </c>
      <c r="BY123" s="133"/>
      <c r="BZ123" s="434"/>
      <c r="CA123" s="424"/>
      <c r="CB123" s="424"/>
      <c r="CC123" s="424"/>
    </row>
    <row r="124" spans="1:81" ht="66" hidden="1" customHeight="1">
      <c r="A124" s="433"/>
      <c r="B124" s="549" t="s">
        <v>2307</v>
      </c>
      <c r="C124" s="420"/>
      <c r="D124" s="420"/>
      <c r="E124" s="431"/>
      <c r="F124" s="422"/>
      <c r="G124" s="420"/>
      <c r="H124" s="422"/>
      <c r="I124" s="420"/>
      <c r="J124" s="420"/>
      <c r="K124" s="206"/>
      <c r="L124" s="206"/>
      <c r="M124" s="169"/>
      <c r="N124" s="169"/>
      <c r="O124" s="70"/>
      <c r="P124" s="70"/>
      <c r="Q124" s="70"/>
      <c r="R124" s="70"/>
      <c r="S124" s="70">
        <f t="shared" si="196"/>
        <v>0</v>
      </c>
      <c r="T124" s="70">
        <v>0</v>
      </c>
      <c r="U124" s="70"/>
      <c r="V124" s="70"/>
      <c r="W124" s="70"/>
      <c r="X124" s="70"/>
      <c r="Y124" s="70">
        <f t="shared" si="181"/>
        <v>16.2</v>
      </c>
      <c r="Z124" s="70"/>
      <c r="AA124" s="70"/>
      <c r="AB124" s="70">
        <f t="shared" si="182"/>
        <v>16.2</v>
      </c>
      <c r="AC124" s="70">
        <f t="shared" si="152"/>
        <v>0</v>
      </c>
      <c r="AD124" s="70"/>
      <c r="AE124" s="70"/>
      <c r="AF124" s="70">
        <v>16.2</v>
      </c>
      <c r="AG124" s="70"/>
      <c r="AH124" s="70">
        <f t="shared" si="197"/>
        <v>16.2</v>
      </c>
      <c r="AI124" s="70"/>
      <c r="AJ124" s="70"/>
      <c r="AK124" s="70">
        <f t="shared" si="198"/>
        <v>16.2</v>
      </c>
      <c r="AL124" s="70"/>
      <c r="AM124" s="70"/>
      <c r="AN124" s="70">
        <v>16.2</v>
      </c>
      <c r="AO124" s="70"/>
      <c r="AP124" s="70">
        <f t="shared" si="199"/>
        <v>16.2</v>
      </c>
      <c r="AQ124" s="70"/>
      <c r="AR124" s="70"/>
      <c r="AS124" s="70">
        <f t="shared" si="200"/>
        <v>16.2</v>
      </c>
      <c r="AT124" s="70"/>
      <c r="AU124" s="70"/>
      <c r="AV124" s="70">
        <v>16.2</v>
      </c>
      <c r="AW124" s="70"/>
      <c r="AX124" s="70">
        <f t="shared" si="201"/>
        <v>0</v>
      </c>
      <c r="AY124" s="70"/>
      <c r="AZ124" s="70"/>
      <c r="BA124" s="70">
        <f t="shared" si="202"/>
        <v>0</v>
      </c>
      <c r="BB124" s="67">
        <f t="shared" si="153"/>
        <v>0</v>
      </c>
      <c r="BC124" s="70"/>
      <c r="BD124" s="70"/>
      <c r="BE124" s="70">
        <v>0</v>
      </c>
      <c r="BF124" s="70"/>
      <c r="BG124" s="133">
        <f t="shared" si="203"/>
        <v>0</v>
      </c>
      <c r="BH124" s="133"/>
      <c r="BI124" s="133"/>
      <c r="BJ124" s="133">
        <f t="shared" si="204"/>
        <v>0</v>
      </c>
      <c r="BK124" s="133"/>
      <c r="BL124" s="133"/>
      <c r="BM124" s="133">
        <v>0</v>
      </c>
      <c r="BN124" s="133"/>
      <c r="BO124" s="133">
        <f t="shared" si="205"/>
        <v>0</v>
      </c>
      <c r="BP124" s="133"/>
      <c r="BQ124" s="133"/>
      <c r="BR124" s="133">
        <f t="shared" si="206"/>
        <v>0</v>
      </c>
      <c r="BS124" s="133"/>
      <c r="BT124" s="133"/>
      <c r="BU124" s="133"/>
      <c r="BV124" s="133"/>
      <c r="BW124" s="133">
        <v>0</v>
      </c>
      <c r="BX124" s="133">
        <v>0</v>
      </c>
      <c r="BY124" s="133"/>
      <c r="BZ124" s="434"/>
      <c r="CA124" s="424"/>
      <c r="CB124" s="424"/>
      <c r="CC124" s="424"/>
    </row>
    <row r="125" spans="1:81" ht="66" hidden="1" customHeight="1">
      <c r="A125" s="433"/>
      <c r="B125" s="549" t="s">
        <v>2308</v>
      </c>
      <c r="C125" s="420"/>
      <c r="D125" s="420"/>
      <c r="E125" s="431"/>
      <c r="F125" s="422"/>
      <c r="G125" s="420"/>
      <c r="H125" s="422"/>
      <c r="I125" s="420"/>
      <c r="J125" s="420"/>
      <c r="K125" s="206"/>
      <c r="L125" s="206"/>
      <c r="M125" s="169"/>
      <c r="N125" s="169"/>
      <c r="O125" s="70"/>
      <c r="P125" s="70"/>
      <c r="Q125" s="70"/>
      <c r="R125" s="70"/>
      <c r="S125" s="70">
        <f t="shared" si="196"/>
        <v>0</v>
      </c>
      <c r="T125" s="70">
        <v>0</v>
      </c>
      <c r="U125" s="70"/>
      <c r="V125" s="70"/>
      <c r="W125" s="70"/>
      <c r="X125" s="70"/>
      <c r="Y125" s="70">
        <f t="shared" si="181"/>
        <v>200</v>
      </c>
      <c r="Z125" s="70"/>
      <c r="AA125" s="70"/>
      <c r="AB125" s="70">
        <f t="shared" si="182"/>
        <v>200</v>
      </c>
      <c r="AC125" s="70">
        <f t="shared" si="152"/>
        <v>0</v>
      </c>
      <c r="AD125" s="70"/>
      <c r="AE125" s="70"/>
      <c r="AF125" s="70">
        <v>200</v>
      </c>
      <c r="AG125" s="70"/>
      <c r="AH125" s="70">
        <f t="shared" si="197"/>
        <v>200</v>
      </c>
      <c r="AI125" s="70"/>
      <c r="AJ125" s="70"/>
      <c r="AK125" s="70">
        <f t="shared" si="198"/>
        <v>200</v>
      </c>
      <c r="AL125" s="70"/>
      <c r="AM125" s="70"/>
      <c r="AN125" s="70">
        <v>200</v>
      </c>
      <c r="AO125" s="70"/>
      <c r="AP125" s="70">
        <f t="shared" si="199"/>
        <v>200</v>
      </c>
      <c r="AQ125" s="70"/>
      <c r="AR125" s="70"/>
      <c r="AS125" s="70">
        <f t="shared" si="200"/>
        <v>200</v>
      </c>
      <c r="AT125" s="70"/>
      <c r="AU125" s="70"/>
      <c r="AV125" s="70">
        <v>200</v>
      </c>
      <c r="AW125" s="70"/>
      <c r="AX125" s="70">
        <f t="shared" si="201"/>
        <v>0</v>
      </c>
      <c r="AY125" s="70"/>
      <c r="AZ125" s="70"/>
      <c r="BA125" s="70">
        <f t="shared" si="202"/>
        <v>0</v>
      </c>
      <c r="BB125" s="67">
        <f t="shared" si="153"/>
        <v>0</v>
      </c>
      <c r="BC125" s="70"/>
      <c r="BD125" s="70"/>
      <c r="BE125" s="70">
        <v>0</v>
      </c>
      <c r="BF125" s="70"/>
      <c r="BG125" s="133">
        <f t="shared" si="203"/>
        <v>0</v>
      </c>
      <c r="BH125" s="133"/>
      <c r="BI125" s="133"/>
      <c r="BJ125" s="133">
        <f t="shared" si="204"/>
        <v>0</v>
      </c>
      <c r="BK125" s="133"/>
      <c r="BL125" s="133"/>
      <c r="BM125" s="133">
        <v>0</v>
      </c>
      <c r="BN125" s="133"/>
      <c r="BO125" s="133">
        <f t="shared" si="205"/>
        <v>0</v>
      </c>
      <c r="BP125" s="133"/>
      <c r="BQ125" s="133"/>
      <c r="BR125" s="133">
        <f t="shared" si="206"/>
        <v>0</v>
      </c>
      <c r="BS125" s="133"/>
      <c r="BT125" s="133"/>
      <c r="BU125" s="133"/>
      <c r="BV125" s="133"/>
      <c r="BW125" s="133">
        <v>0</v>
      </c>
      <c r="BX125" s="133">
        <v>0</v>
      </c>
      <c r="BY125" s="133"/>
      <c r="BZ125" s="434"/>
      <c r="CA125" s="424"/>
      <c r="CB125" s="424"/>
      <c r="CC125" s="424"/>
    </row>
    <row r="126" spans="1:81" ht="66" hidden="1" customHeight="1">
      <c r="A126" s="433"/>
      <c r="B126" s="549" t="s">
        <v>2309</v>
      </c>
      <c r="C126" s="420"/>
      <c r="D126" s="420"/>
      <c r="E126" s="431"/>
      <c r="F126" s="422"/>
      <c r="G126" s="420"/>
      <c r="H126" s="422"/>
      <c r="I126" s="420"/>
      <c r="J126" s="420"/>
      <c r="K126" s="206"/>
      <c r="L126" s="206"/>
      <c r="M126" s="169"/>
      <c r="N126" s="169"/>
      <c r="O126" s="70"/>
      <c r="P126" s="70"/>
      <c r="Q126" s="70"/>
      <c r="R126" s="70"/>
      <c r="S126" s="70">
        <f t="shared" si="196"/>
        <v>0</v>
      </c>
      <c r="T126" s="70">
        <v>0</v>
      </c>
      <c r="U126" s="70"/>
      <c r="V126" s="70"/>
      <c r="W126" s="70"/>
      <c r="X126" s="70"/>
      <c r="Y126" s="70">
        <f t="shared" si="181"/>
        <v>16.2</v>
      </c>
      <c r="Z126" s="70"/>
      <c r="AA126" s="70"/>
      <c r="AB126" s="70">
        <f t="shared" si="182"/>
        <v>16.2</v>
      </c>
      <c r="AC126" s="70">
        <f t="shared" si="152"/>
        <v>0</v>
      </c>
      <c r="AD126" s="70"/>
      <c r="AE126" s="70"/>
      <c r="AF126" s="70">
        <v>16.2</v>
      </c>
      <c r="AG126" s="70"/>
      <c r="AH126" s="70">
        <f t="shared" si="197"/>
        <v>16.2</v>
      </c>
      <c r="AI126" s="70"/>
      <c r="AJ126" s="70"/>
      <c r="AK126" s="70">
        <f t="shared" si="198"/>
        <v>16.2</v>
      </c>
      <c r="AL126" s="70"/>
      <c r="AM126" s="70"/>
      <c r="AN126" s="70">
        <v>16.2</v>
      </c>
      <c r="AO126" s="70"/>
      <c r="AP126" s="70">
        <f t="shared" si="199"/>
        <v>16.2</v>
      </c>
      <c r="AQ126" s="70"/>
      <c r="AR126" s="70"/>
      <c r="AS126" s="70">
        <f t="shared" si="200"/>
        <v>16.2</v>
      </c>
      <c r="AT126" s="70"/>
      <c r="AU126" s="70"/>
      <c r="AV126" s="70">
        <v>16.2</v>
      </c>
      <c r="AW126" s="70"/>
      <c r="AX126" s="70">
        <f t="shared" si="201"/>
        <v>0</v>
      </c>
      <c r="AY126" s="70"/>
      <c r="AZ126" s="70"/>
      <c r="BA126" s="70">
        <f t="shared" si="202"/>
        <v>0</v>
      </c>
      <c r="BB126" s="67">
        <f t="shared" si="153"/>
        <v>0</v>
      </c>
      <c r="BC126" s="70"/>
      <c r="BD126" s="70"/>
      <c r="BE126" s="70">
        <v>0</v>
      </c>
      <c r="BF126" s="70"/>
      <c r="BG126" s="133">
        <f t="shared" si="203"/>
        <v>0</v>
      </c>
      <c r="BH126" s="133"/>
      <c r="BI126" s="133"/>
      <c r="BJ126" s="133">
        <f t="shared" si="204"/>
        <v>0</v>
      </c>
      <c r="BK126" s="133"/>
      <c r="BL126" s="133"/>
      <c r="BM126" s="133">
        <v>0</v>
      </c>
      <c r="BN126" s="133"/>
      <c r="BO126" s="133">
        <f t="shared" si="205"/>
        <v>0</v>
      </c>
      <c r="BP126" s="133"/>
      <c r="BQ126" s="133"/>
      <c r="BR126" s="133">
        <f t="shared" si="206"/>
        <v>0</v>
      </c>
      <c r="BS126" s="133"/>
      <c r="BT126" s="133"/>
      <c r="BU126" s="133"/>
      <c r="BV126" s="133"/>
      <c r="BW126" s="133">
        <v>0</v>
      </c>
      <c r="BX126" s="133">
        <v>0</v>
      </c>
      <c r="BY126" s="133"/>
      <c r="BZ126" s="434"/>
      <c r="CA126" s="424"/>
      <c r="CB126" s="424"/>
      <c r="CC126" s="424"/>
    </row>
    <row r="127" spans="1:81" ht="66" hidden="1" customHeight="1">
      <c r="A127" s="433"/>
      <c r="B127" s="549" t="s">
        <v>2310</v>
      </c>
      <c r="C127" s="420"/>
      <c r="D127" s="420"/>
      <c r="E127" s="431"/>
      <c r="F127" s="422"/>
      <c r="G127" s="420"/>
      <c r="H127" s="422"/>
      <c r="I127" s="420"/>
      <c r="J127" s="420"/>
      <c r="K127" s="206"/>
      <c r="L127" s="206"/>
      <c r="M127" s="169"/>
      <c r="N127" s="169"/>
      <c r="O127" s="70"/>
      <c r="P127" s="70"/>
      <c r="Q127" s="70"/>
      <c r="R127" s="70"/>
      <c r="S127" s="70">
        <f t="shared" si="196"/>
        <v>0</v>
      </c>
      <c r="T127" s="70">
        <v>0</v>
      </c>
      <c r="U127" s="70"/>
      <c r="V127" s="70"/>
      <c r="W127" s="70"/>
      <c r="X127" s="70"/>
      <c r="Y127" s="70">
        <f t="shared" si="181"/>
        <v>16.2</v>
      </c>
      <c r="Z127" s="70"/>
      <c r="AA127" s="70"/>
      <c r="AB127" s="70">
        <f t="shared" si="182"/>
        <v>16.2</v>
      </c>
      <c r="AC127" s="70">
        <f t="shared" si="152"/>
        <v>0</v>
      </c>
      <c r="AD127" s="70"/>
      <c r="AE127" s="70"/>
      <c r="AF127" s="70">
        <v>16.2</v>
      </c>
      <c r="AG127" s="70"/>
      <c r="AH127" s="70">
        <f t="shared" si="197"/>
        <v>16.2</v>
      </c>
      <c r="AI127" s="70"/>
      <c r="AJ127" s="70"/>
      <c r="AK127" s="70">
        <f t="shared" si="198"/>
        <v>16.2</v>
      </c>
      <c r="AL127" s="70"/>
      <c r="AM127" s="70"/>
      <c r="AN127" s="70">
        <v>16.2</v>
      </c>
      <c r="AO127" s="70"/>
      <c r="AP127" s="70">
        <f t="shared" si="199"/>
        <v>16.2</v>
      </c>
      <c r="AQ127" s="70"/>
      <c r="AR127" s="70"/>
      <c r="AS127" s="70">
        <f t="shared" si="200"/>
        <v>16.2</v>
      </c>
      <c r="AT127" s="70"/>
      <c r="AU127" s="70"/>
      <c r="AV127" s="70">
        <v>16.2</v>
      </c>
      <c r="AW127" s="70"/>
      <c r="AX127" s="70">
        <f t="shared" si="201"/>
        <v>0</v>
      </c>
      <c r="AY127" s="70"/>
      <c r="AZ127" s="70"/>
      <c r="BA127" s="70">
        <f t="shared" si="202"/>
        <v>0</v>
      </c>
      <c r="BB127" s="67">
        <f t="shared" si="153"/>
        <v>0</v>
      </c>
      <c r="BC127" s="70"/>
      <c r="BD127" s="70"/>
      <c r="BE127" s="70">
        <v>0</v>
      </c>
      <c r="BF127" s="70"/>
      <c r="BG127" s="133">
        <f t="shared" si="203"/>
        <v>0</v>
      </c>
      <c r="BH127" s="133"/>
      <c r="BI127" s="133"/>
      <c r="BJ127" s="133">
        <f t="shared" si="204"/>
        <v>0</v>
      </c>
      <c r="BK127" s="133"/>
      <c r="BL127" s="133"/>
      <c r="BM127" s="133">
        <v>0</v>
      </c>
      <c r="BN127" s="133"/>
      <c r="BO127" s="133">
        <f t="shared" si="205"/>
        <v>0</v>
      </c>
      <c r="BP127" s="133"/>
      <c r="BQ127" s="133"/>
      <c r="BR127" s="133">
        <f t="shared" si="206"/>
        <v>0</v>
      </c>
      <c r="BS127" s="133"/>
      <c r="BT127" s="133"/>
      <c r="BU127" s="133"/>
      <c r="BV127" s="133"/>
      <c r="BW127" s="133">
        <v>0</v>
      </c>
      <c r="BX127" s="133">
        <v>0</v>
      </c>
      <c r="BY127" s="133"/>
      <c r="BZ127" s="434"/>
      <c r="CA127" s="424"/>
      <c r="CB127" s="424"/>
      <c r="CC127" s="424"/>
    </row>
    <row r="128" spans="1:81" ht="30.75" hidden="1">
      <c r="A128" s="433"/>
      <c r="B128" s="549" t="s">
        <v>2311</v>
      </c>
      <c r="C128" s="420"/>
      <c r="D128" s="420"/>
      <c r="E128" s="431"/>
      <c r="F128" s="422"/>
      <c r="G128" s="420"/>
      <c r="H128" s="422"/>
      <c r="I128" s="420"/>
      <c r="J128" s="420"/>
      <c r="K128" s="206"/>
      <c r="L128" s="206"/>
      <c r="M128" s="169"/>
      <c r="N128" s="169"/>
      <c r="O128" s="70"/>
      <c r="P128" s="70"/>
      <c r="Q128" s="70"/>
      <c r="R128" s="70"/>
      <c r="S128" s="70">
        <f t="shared" si="196"/>
        <v>0</v>
      </c>
      <c r="T128" s="70">
        <v>0</v>
      </c>
      <c r="U128" s="70"/>
      <c r="V128" s="70"/>
      <c r="W128" s="70"/>
      <c r="X128" s="70"/>
      <c r="Y128" s="70">
        <f t="shared" si="181"/>
        <v>206.45</v>
      </c>
      <c r="Z128" s="70"/>
      <c r="AA128" s="70"/>
      <c r="AB128" s="70">
        <f t="shared" si="182"/>
        <v>206.45</v>
      </c>
      <c r="AC128" s="70">
        <f t="shared" si="152"/>
        <v>0</v>
      </c>
      <c r="AD128" s="70"/>
      <c r="AE128" s="70"/>
      <c r="AF128" s="70">
        <v>206.45</v>
      </c>
      <c r="AG128" s="70"/>
      <c r="AH128" s="70">
        <f t="shared" si="197"/>
        <v>206.45</v>
      </c>
      <c r="AI128" s="70"/>
      <c r="AJ128" s="70"/>
      <c r="AK128" s="70">
        <f t="shared" si="198"/>
        <v>206.45</v>
      </c>
      <c r="AL128" s="70"/>
      <c r="AM128" s="70"/>
      <c r="AN128" s="70">
        <v>206.45</v>
      </c>
      <c r="AO128" s="70"/>
      <c r="AP128" s="70">
        <f t="shared" si="199"/>
        <v>206.45</v>
      </c>
      <c r="AQ128" s="70"/>
      <c r="AR128" s="70"/>
      <c r="AS128" s="70">
        <f t="shared" si="200"/>
        <v>206.45</v>
      </c>
      <c r="AT128" s="70"/>
      <c r="AU128" s="70"/>
      <c r="AV128" s="70">
        <v>206.45</v>
      </c>
      <c r="AW128" s="70"/>
      <c r="AX128" s="70">
        <f t="shared" si="201"/>
        <v>0</v>
      </c>
      <c r="AY128" s="70"/>
      <c r="AZ128" s="70"/>
      <c r="BA128" s="70">
        <f t="shared" si="202"/>
        <v>0</v>
      </c>
      <c r="BB128" s="67">
        <f t="shared" si="153"/>
        <v>0</v>
      </c>
      <c r="BC128" s="70"/>
      <c r="BD128" s="70"/>
      <c r="BE128" s="70">
        <v>0</v>
      </c>
      <c r="BF128" s="70"/>
      <c r="BG128" s="133">
        <f t="shared" si="203"/>
        <v>0</v>
      </c>
      <c r="BH128" s="133"/>
      <c r="BI128" s="133"/>
      <c r="BJ128" s="133">
        <f t="shared" si="204"/>
        <v>0</v>
      </c>
      <c r="BK128" s="133"/>
      <c r="BL128" s="133"/>
      <c r="BM128" s="133">
        <v>0</v>
      </c>
      <c r="BN128" s="133"/>
      <c r="BO128" s="133">
        <f t="shared" si="205"/>
        <v>0</v>
      </c>
      <c r="BP128" s="133"/>
      <c r="BQ128" s="133"/>
      <c r="BR128" s="133">
        <f t="shared" si="206"/>
        <v>0</v>
      </c>
      <c r="BS128" s="133"/>
      <c r="BT128" s="133"/>
      <c r="BU128" s="133"/>
      <c r="BV128" s="133"/>
      <c r="BW128" s="133">
        <v>0</v>
      </c>
      <c r="BX128" s="133">
        <v>0</v>
      </c>
      <c r="BY128" s="133"/>
      <c r="BZ128" s="434"/>
      <c r="CA128" s="424"/>
      <c r="CB128" s="424"/>
      <c r="CC128" s="424"/>
    </row>
    <row r="129" spans="1:81" ht="66" hidden="1" customHeight="1">
      <c r="A129" s="433"/>
      <c r="B129" s="549" t="s">
        <v>2312</v>
      </c>
      <c r="C129" s="420"/>
      <c r="D129" s="420"/>
      <c r="E129" s="431"/>
      <c r="F129" s="422"/>
      <c r="G129" s="420"/>
      <c r="H129" s="422"/>
      <c r="I129" s="420"/>
      <c r="J129" s="420"/>
      <c r="K129" s="206"/>
      <c r="L129" s="206"/>
      <c r="M129" s="169"/>
      <c r="N129" s="169"/>
      <c r="O129" s="70"/>
      <c r="P129" s="70"/>
      <c r="Q129" s="70"/>
      <c r="R129" s="70"/>
      <c r="S129" s="70">
        <f t="shared" si="196"/>
        <v>0</v>
      </c>
      <c r="T129" s="70">
        <v>0</v>
      </c>
      <c r="U129" s="70"/>
      <c r="V129" s="70"/>
      <c r="W129" s="70"/>
      <c r="X129" s="70"/>
      <c r="Y129" s="70">
        <f t="shared" si="181"/>
        <v>240.17599999999999</v>
      </c>
      <c r="Z129" s="70"/>
      <c r="AA129" s="70"/>
      <c r="AB129" s="70">
        <f t="shared" si="182"/>
        <v>240.17599999999999</v>
      </c>
      <c r="AC129" s="70">
        <f t="shared" si="152"/>
        <v>0</v>
      </c>
      <c r="AD129" s="70"/>
      <c r="AE129" s="70"/>
      <c r="AF129" s="70">
        <v>240.17599999999999</v>
      </c>
      <c r="AG129" s="70"/>
      <c r="AH129" s="70">
        <f t="shared" si="197"/>
        <v>240.17599999999999</v>
      </c>
      <c r="AI129" s="70"/>
      <c r="AJ129" s="70"/>
      <c r="AK129" s="70">
        <f t="shared" si="198"/>
        <v>240.17599999999999</v>
      </c>
      <c r="AL129" s="70"/>
      <c r="AM129" s="70"/>
      <c r="AN129" s="70">
        <v>240.17599999999999</v>
      </c>
      <c r="AO129" s="70"/>
      <c r="AP129" s="70">
        <f t="shared" si="199"/>
        <v>240.17599999999999</v>
      </c>
      <c r="AQ129" s="70"/>
      <c r="AR129" s="70"/>
      <c r="AS129" s="70">
        <f t="shared" si="200"/>
        <v>240.17599999999999</v>
      </c>
      <c r="AT129" s="70"/>
      <c r="AU129" s="70"/>
      <c r="AV129" s="70">
        <v>240.17599999999999</v>
      </c>
      <c r="AW129" s="70"/>
      <c r="AX129" s="70">
        <f t="shared" si="201"/>
        <v>0</v>
      </c>
      <c r="AY129" s="70"/>
      <c r="AZ129" s="70"/>
      <c r="BA129" s="70">
        <f t="shared" si="202"/>
        <v>0</v>
      </c>
      <c r="BB129" s="67">
        <f t="shared" si="153"/>
        <v>0</v>
      </c>
      <c r="BC129" s="70"/>
      <c r="BD129" s="70"/>
      <c r="BE129" s="70">
        <v>0</v>
      </c>
      <c r="BF129" s="70"/>
      <c r="BG129" s="133">
        <f t="shared" si="203"/>
        <v>0</v>
      </c>
      <c r="BH129" s="133"/>
      <c r="BI129" s="133"/>
      <c r="BJ129" s="133">
        <f t="shared" si="204"/>
        <v>0</v>
      </c>
      <c r="BK129" s="133"/>
      <c r="BL129" s="133"/>
      <c r="BM129" s="133">
        <v>0</v>
      </c>
      <c r="BN129" s="133"/>
      <c r="BO129" s="133">
        <f t="shared" si="205"/>
        <v>0</v>
      </c>
      <c r="BP129" s="133"/>
      <c r="BQ129" s="133"/>
      <c r="BR129" s="133">
        <f t="shared" si="206"/>
        <v>0</v>
      </c>
      <c r="BS129" s="133"/>
      <c r="BT129" s="133"/>
      <c r="BU129" s="133"/>
      <c r="BV129" s="133"/>
      <c r="BW129" s="133">
        <v>0</v>
      </c>
      <c r="BX129" s="133">
        <v>0</v>
      </c>
      <c r="BY129" s="133"/>
      <c r="BZ129" s="434"/>
      <c r="CA129" s="424"/>
      <c r="CB129" s="424"/>
      <c r="CC129" s="424"/>
    </row>
    <row r="130" spans="1:81" ht="149.25" hidden="1" customHeight="1">
      <c r="A130" s="433"/>
      <c r="B130" s="549" t="s">
        <v>2313</v>
      </c>
      <c r="C130" s="420"/>
      <c r="D130" s="420"/>
      <c r="E130" s="431"/>
      <c r="F130" s="422"/>
      <c r="G130" s="420"/>
      <c r="H130" s="422"/>
      <c r="I130" s="420"/>
      <c r="J130" s="420"/>
      <c r="K130" s="206"/>
      <c r="L130" s="206"/>
      <c r="M130" s="169"/>
      <c r="N130" s="169"/>
      <c r="O130" s="70"/>
      <c r="P130" s="70"/>
      <c r="Q130" s="70"/>
      <c r="R130" s="70"/>
      <c r="S130" s="70">
        <f t="shared" si="196"/>
        <v>0</v>
      </c>
      <c r="T130" s="70">
        <v>0</v>
      </c>
      <c r="U130" s="70"/>
      <c r="V130" s="70"/>
      <c r="W130" s="70"/>
      <c r="X130" s="70"/>
      <c r="Y130" s="70">
        <f t="shared" si="181"/>
        <v>625</v>
      </c>
      <c r="Z130" s="70"/>
      <c r="AA130" s="70"/>
      <c r="AB130" s="70">
        <f t="shared" si="182"/>
        <v>625</v>
      </c>
      <c r="AC130" s="70">
        <f t="shared" si="152"/>
        <v>0</v>
      </c>
      <c r="AD130" s="70"/>
      <c r="AE130" s="70"/>
      <c r="AF130" s="70">
        <v>625</v>
      </c>
      <c r="AG130" s="70"/>
      <c r="AH130" s="70">
        <f t="shared" si="197"/>
        <v>0</v>
      </c>
      <c r="AI130" s="70"/>
      <c r="AJ130" s="70"/>
      <c r="AK130" s="70">
        <f t="shared" si="198"/>
        <v>0</v>
      </c>
      <c r="AL130" s="70"/>
      <c r="AM130" s="70"/>
      <c r="AN130" s="70">
        <v>0</v>
      </c>
      <c r="AO130" s="70"/>
      <c r="AP130" s="70">
        <f t="shared" si="199"/>
        <v>0</v>
      </c>
      <c r="AQ130" s="70"/>
      <c r="AR130" s="70"/>
      <c r="AS130" s="70">
        <f t="shared" si="200"/>
        <v>0</v>
      </c>
      <c r="AT130" s="70"/>
      <c r="AU130" s="70"/>
      <c r="AV130" s="70">
        <v>0</v>
      </c>
      <c r="AW130" s="70"/>
      <c r="AX130" s="70">
        <f t="shared" si="201"/>
        <v>625</v>
      </c>
      <c r="AY130" s="70"/>
      <c r="AZ130" s="70"/>
      <c r="BA130" s="70">
        <f t="shared" si="202"/>
        <v>625</v>
      </c>
      <c r="BB130" s="67">
        <f t="shared" si="153"/>
        <v>0</v>
      </c>
      <c r="BC130" s="70"/>
      <c r="BD130" s="70"/>
      <c r="BE130" s="70">
        <v>625</v>
      </c>
      <c r="BF130" s="70"/>
      <c r="BG130" s="133">
        <f t="shared" si="203"/>
        <v>625</v>
      </c>
      <c r="BH130" s="133"/>
      <c r="BI130" s="133"/>
      <c r="BJ130" s="133">
        <f t="shared" si="204"/>
        <v>625</v>
      </c>
      <c r="BK130" s="133"/>
      <c r="BL130" s="133"/>
      <c r="BM130" s="133">
        <v>625</v>
      </c>
      <c r="BN130" s="133"/>
      <c r="BO130" s="133">
        <f t="shared" si="205"/>
        <v>0</v>
      </c>
      <c r="BP130" s="133"/>
      <c r="BQ130" s="133"/>
      <c r="BR130" s="133">
        <f t="shared" si="206"/>
        <v>0</v>
      </c>
      <c r="BS130" s="133"/>
      <c r="BT130" s="133"/>
      <c r="BU130" s="133"/>
      <c r="BV130" s="133"/>
      <c r="BW130" s="133">
        <v>0</v>
      </c>
      <c r="BX130" s="133">
        <v>0</v>
      </c>
      <c r="BY130" s="133"/>
      <c r="BZ130" s="434"/>
      <c r="CA130" s="424"/>
      <c r="CB130" s="424"/>
      <c r="CC130" s="424"/>
    </row>
    <row r="131" spans="1:81" ht="149.25" hidden="1" customHeight="1">
      <c r="A131" s="433"/>
      <c r="B131" s="549" t="s">
        <v>2314</v>
      </c>
      <c r="C131" s="420"/>
      <c r="D131" s="420"/>
      <c r="E131" s="431"/>
      <c r="F131" s="422"/>
      <c r="G131" s="420"/>
      <c r="H131" s="422"/>
      <c r="I131" s="420"/>
      <c r="J131" s="420"/>
      <c r="K131" s="206"/>
      <c r="L131" s="206"/>
      <c r="M131" s="169"/>
      <c r="N131" s="169"/>
      <c r="O131" s="70"/>
      <c r="P131" s="70"/>
      <c r="Q131" s="70"/>
      <c r="R131" s="70"/>
      <c r="S131" s="70">
        <f t="shared" si="196"/>
        <v>0</v>
      </c>
      <c r="T131" s="70">
        <v>0</v>
      </c>
      <c r="U131" s="70"/>
      <c r="V131" s="70"/>
      <c r="W131" s="70"/>
      <c r="X131" s="70"/>
      <c r="Y131" s="70">
        <f t="shared" si="181"/>
        <v>201.3</v>
      </c>
      <c r="Z131" s="70"/>
      <c r="AA131" s="70"/>
      <c r="AB131" s="70">
        <f t="shared" si="182"/>
        <v>201.3</v>
      </c>
      <c r="AC131" s="70">
        <f t="shared" si="152"/>
        <v>0</v>
      </c>
      <c r="AD131" s="70"/>
      <c r="AE131" s="70"/>
      <c r="AF131" s="70">
        <v>201.3</v>
      </c>
      <c r="AG131" s="70"/>
      <c r="AH131" s="70">
        <f t="shared" si="197"/>
        <v>0</v>
      </c>
      <c r="AI131" s="70"/>
      <c r="AJ131" s="70"/>
      <c r="AK131" s="70">
        <f t="shared" si="198"/>
        <v>0</v>
      </c>
      <c r="AL131" s="70"/>
      <c r="AM131" s="70"/>
      <c r="AN131" s="70">
        <v>0</v>
      </c>
      <c r="AO131" s="70"/>
      <c r="AP131" s="70">
        <f t="shared" si="199"/>
        <v>0</v>
      </c>
      <c r="AQ131" s="70"/>
      <c r="AR131" s="70"/>
      <c r="AS131" s="70">
        <f t="shared" si="200"/>
        <v>0</v>
      </c>
      <c r="AT131" s="70"/>
      <c r="AU131" s="70"/>
      <c r="AV131" s="70">
        <v>0</v>
      </c>
      <c r="AW131" s="70"/>
      <c r="AX131" s="70">
        <f t="shared" si="201"/>
        <v>201.3</v>
      </c>
      <c r="AY131" s="70"/>
      <c r="AZ131" s="70"/>
      <c r="BA131" s="70">
        <f t="shared" si="202"/>
        <v>201.3</v>
      </c>
      <c r="BB131" s="67">
        <f t="shared" si="153"/>
        <v>0</v>
      </c>
      <c r="BC131" s="70"/>
      <c r="BD131" s="70"/>
      <c r="BE131" s="70">
        <v>201.3</v>
      </c>
      <c r="BF131" s="70"/>
      <c r="BG131" s="133">
        <f t="shared" si="203"/>
        <v>201.3</v>
      </c>
      <c r="BH131" s="133"/>
      <c r="BI131" s="133"/>
      <c r="BJ131" s="133">
        <f t="shared" si="204"/>
        <v>201.3</v>
      </c>
      <c r="BK131" s="133"/>
      <c r="BL131" s="133"/>
      <c r="BM131" s="133">
        <v>201.3</v>
      </c>
      <c r="BN131" s="133"/>
      <c r="BO131" s="133">
        <f t="shared" si="205"/>
        <v>0</v>
      </c>
      <c r="BP131" s="133"/>
      <c r="BQ131" s="133"/>
      <c r="BR131" s="133">
        <f t="shared" si="206"/>
        <v>0</v>
      </c>
      <c r="BS131" s="133"/>
      <c r="BT131" s="133"/>
      <c r="BU131" s="133"/>
      <c r="BV131" s="133"/>
      <c r="BW131" s="133">
        <v>0</v>
      </c>
      <c r="BX131" s="133">
        <v>0</v>
      </c>
      <c r="BY131" s="133"/>
      <c r="BZ131" s="434"/>
      <c r="CA131" s="424"/>
      <c r="CB131" s="424"/>
      <c r="CC131" s="424"/>
    </row>
    <row r="132" spans="1:81" ht="55.5" hidden="1" customHeight="1">
      <c r="A132" s="433" t="s">
        <v>2315</v>
      </c>
      <c r="B132" s="549" t="s">
        <v>2316</v>
      </c>
      <c r="C132" s="420"/>
      <c r="D132" s="420"/>
      <c r="E132" s="431"/>
      <c r="F132" s="422"/>
      <c r="G132" s="420"/>
      <c r="H132" s="422"/>
      <c r="I132" s="420"/>
      <c r="J132" s="420"/>
      <c r="K132" s="206"/>
      <c r="L132" s="206"/>
      <c r="M132" s="169"/>
      <c r="N132" s="169"/>
      <c r="O132" s="70"/>
      <c r="P132" s="110"/>
      <c r="Q132" s="110"/>
      <c r="R132" s="70" t="s">
        <v>2317</v>
      </c>
      <c r="S132" s="70" t="s">
        <v>2112</v>
      </c>
      <c r="T132" s="70" t="s">
        <v>2244</v>
      </c>
      <c r="U132" s="70"/>
      <c r="V132" s="70"/>
      <c r="W132" s="70"/>
      <c r="X132" s="70"/>
      <c r="Y132" s="70">
        <f>SUM(Y133:Y147)</f>
        <v>10779.907999999999</v>
      </c>
      <c r="Z132" s="70">
        <f t="shared" ref="Z132:BZ132" si="207">SUM(Z133:Z147)</f>
        <v>0</v>
      </c>
      <c r="AA132" s="70">
        <f t="shared" si="207"/>
        <v>0</v>
      </c>
      <c r="AB132" s="70">
        <f t="shared" si="207"/>
        <v>10779.907999999999</v>
      </c>
      <c r="AC132" s="70">
        <f t="shared" si="152"/>
        <v>0</v>
      </c>
      <c r="AD132" s="70">
        <f t="shared" si="207"/>
        <v>0</v>
      </c>
      <c r="AE132" s="70">
        <f t="shared" si="207"/>
        <v>0</v>
      </c>
      <c r="AF132" s="70">
        <f t="shared" si="207"/>
        <v>10779.907999999999</v>
      </c>
      <c r="AG132" s="70">
        <f t="shared" si="207"/>
        <v>0</v>
      </c>
      <c r="AH132" s="70">
        <f t="shared" si="207"/>
        <v>4550.1080000000002</v>
      </c>
      <c r="AI132" s="70">
        <f t="shared" si="207"/>
        <v>0</v>
      </c>
      <c r="AJ132" s="70">
        <f t="shared" si="207"/>
        <v>0</v>
      </c>
      <c r="AK132" s="70">
        <f t="shared" si="207"/>
        <v>4550.1080000000002</v>
      </c>
      <c r="AL132" s="70">
        <f t="shared" si="207"/>
        <v>0</v>
      </c>
      <c r="AM132" s="70">
        <f t="shared" si="207"/>
        <v>0</v>
      </c>
      <c r="AN132" s="70">
        <f t="shared" si="207"/>
        <v>4550.1080000000002</v>
      </c>
      <c r="AO132" s="70">
        <f t="shared" si="207"/>
        <v>0</v>
      </c>
      <c r="AP132" s="70">
        <f t="shared" si="207"/>
        <v>4550.1080000000002</v>
      </c>
      <c r="AQ132" s="70">
        <f t="shared" si="207"/>
        <v>0</v>
      </c>
      <c r="AR132" s="70">
        <f t="shared" si="207"/>
        <v>0</v>
      </c>
      <c r="AS132" s="70">
        <f t="shared" si="207"/>
        <v>4550.1080000000002</v>
      </c>
      <c r="AT132" s="70">
        <f t="shared" si="207"/>
        <v>0</v>
      </c>
      <c r="AU132" s="70">
        <f t="shared" si="207"/>
        <v>0</v>
      </c>
      <c r="AV132" s="70">
        <f t="shared" si="207"/>
        <v>4550.1080000000002</v>
      </c>
      <c r="AW132" s="70">
        <f t="shared" si="207"/>
        <v>0</v>
      </c>
      <c r="AX132" s="70">
        <f t="shared" si="207"/>
        <v>6229.8</v>
      </c>
      <c r="AY132" s="70">
        <f t="shared" si="207"/>
        <v>0</v>
      </c>
      <c r="AZ132" s="70">
        <f t="shared" si="207"/>
        <v>0</v>
      </c>
      <c r="BA132" s="70">
        <f t="shared" si="207"/>
        <v>6229.8</v>
      </c>
      <c r="BB132" s="67">
        <f t="shared" si="153"/>
        <v>0</v>
      </c>
      <c r="BC132" s="70">
        <f t="shared" si="207"/>
        <v>0</v>
      </c>
      <c r="BD132" s="70">
        <f t="shared" si="207"/>
        <v>0</v>
      </c>
      <c r="BE132" s="70">
        <f t="shared" si="207"/>
        <v>6229.8</v>
      </c>
      <c r="BF132" s="70">
        <f t="shared" si="207"/>
        <v>0</v>
      </c>
      <c r="BG132" s="133">
        <f t="shared" si="207"/>
        <v>6229.8</v>
      </c>
      <c r="BH132" s="133">
        <f t="shared" si="207"/>
        <v>0</v>
      </c>
      <c r="BI132" s="133">
        <f t="shared" si="207"/>
        <v>0</v>
      </c>
      <c r="BJ132" s="133">
        <f t="shared" si="207"/>
        <v>6229.8</v>
      </c>
      <c r="BK132" s="133">
        <f t="shared" si="207"/>
        <v>0</v>
      </c>
      <c r="BL132" s="133">
        <f t="shared" si="207"/>
        <v>0</v>
      </c>
      <c r="BM132" s="133">
        <f t="shared" si="207"/>
        <v>6229.8</v>
      </c>
      <c r="BN132" s="133">
        <f t="shared" si="207"/>
        <v>0</v>
      </c>
      <c r="BO132" s="133">
        <f t="shared" si="207"/>
        <v>0</v>
      </c>
      <c r="BP132" s="133">
        <f t="shared" si="207"/>
        <v>0</v>
      </c>
      <c r="BQ132" s="133">
        <f t="shared" si="207"/>
        <v>0</v>
      </c>
      <c r="BR132" s="133">
        <f t="shared" si="207"/>
        <v>0</v>
      </c>
      <c r="BS132" s="133">
        <f t="shared" si="207"/>
        <v>0</v>
      </c>
      <c r="BT132" s="133">
        <f t="shared" si="207"/>
        <v>0</v>
      </c>
      <c r="BU132" s="133">
        <f t="shared" si="207"/>
        <v>0</v>
      </c>
      <c r="BV132" s="133">
        <f t="shared" si="207"/>
        <v>0</v>
      </c>
      <c r="BW132" s="133">
        <f t="shared" si="207"/>
        <v>0</v>
      </c>
      <c r="BX132" s="133">
        <f t="shared" si="207"/>
        <v>0</v>
      </c>
      <c r="BY132" s="133">
        <f t="shared" si="207"/>
        <v>0</v>
      </c>
      <c r="BZ132" s="133">
        <f t="shared" si="207"/>
        <v>0</v>
      </c>
      <c r="CA132" s="424"/>
      <c r="CB132" s="424"/>
      <c r="CC132" s="424"/>
    </row>
    <row r="133" spans="1:81" ht="66" hidden="1" customHeight="1">
      <c r="A133" s="433"/>
      <c r="B133" s="549" t="s">
        <v>2318</v>
      </c>
      <c r="C133" s="420"/>
      <c r="D133" s="420"/>
      <c r="E133" s="431"/>
      <c r="F133" s="422"/>
      <c r="G133" s="420"/>
      <c r="H133" s="422"/>
      <c r="I133" s="420"/>
      <c r="J133" s="420"/>
      <c r="K133" s="206"/>
      <c r="L133" s="206"/>
      <c r="M133" s="169"/>
      <c r="N133" s="169"/>
      <c r="O133" s="70"/>
      <c r="P133" s="70"/>
      <c r="Q133" s="70"/>
      <c r="R133" s="70"/>
      <c r="S133" s="70">
        <f t="shared" ref="S133:S146" si="208">SUM(T133:V133)</f>
        <v>0</v>
      </c>
      <c r="T133" s="70">
        <v>0</v>
      </c>
      <c r="U133" s="70"/>
      <c r="V133" s="70"/>
      <c r="W133" s="70"/>
      <c r="X133" s="70"/>
      <c r="Y133" s="70">
        <f t="shared" si="181"/>
        <v>73</v>
      </c>
      <c r="Z133" s="70"/>
      <c r="AA133" s="70"/>
      <c r="AB133" s="70">
        <f t="shared" si="182"/>
        <v>73</v>
      </c>
      <c r="AC133" s="70">
        <f t="shared" si="152"/>
        <v>0</v>
      </c>
      <c r="AD133" s="70"/>
      <c r="AE133" s="70"/>
      <c r="AF133" s="70">
        <v>73</v>
      </c>
      <c r="AG133" s="70"/>
      <c r="AH133" s="70">
        <f t="shared" ref="AH133:AH147" si="209">SUM(AI133:AK133)</f>
        <v>73</v>
      </c>
      <c r="AI133" s="70"/>
      <c r="AJ133" s="70"/>
      <c r="AK133" s="70">
        <f t="shared" ref="AK133:AK147" si="210">SUM(AL133:AO133)</f>
        <v>73</v>
      </c>
      <c r="AL133" s="70"/>
      <c r="AM133" s="70"/>
      <c r="AN133" s="70">
        <v>73</v>
      </c>
      <c r="AO133" s="70"/>
      <c r="AP133" s="70">
        <f t="shared" ref="AP133:AP147" si="211">SUM(AQ133:AS133)</f>
        <v>73</v>
      </c>
      <c r="AQ133" s="70"/>
      <c r="AR133" s="70"/>
      <c r="AS133" s="70">
        <f t="shared" ref="AS133:AS147" si="212">SUM(AT133:AW133)</f>
        <v>73</v>
      </c>
      <c r="AT133" s="70"/>
      <c r="AU133" s="70"/>
      <c r="AV133" s="70">
        <v>73</v>
      </c>
      <c r="AW133" s="70"/>
      <c r="AX133" s="70">
        <f t="shared" ref="AX133:AX147" si="213">SUM(AY133:BA133)</f>
        <v>0</v>
      </c>
      <c r="AY133" s="70"/>
      <c r="AZ133" s="70"/>
      <c r="BA133" s="70">
        <f t="shared" ref="BA133:BA147" si="214">SUM(BC133:BF133)</f>
        <v>0</v>
      </c>
      <c r="BB133" s="67">
        <f t="shared" si="153"/>
        <v>0</v>
      </c>
      <c r="BC133" s="70"/>
      <c r="BD133" s="70"/>
      <c r="BE133" s="70">
        <v>0</v>
      </c>
      <c r="BF133" s="70"/>
      <c r="BG133" s="133">
        <f t="shared" ref="BG133:BG147" si="215">SUM(BH133:BJ133)</f>
        <v>0</v>
      </c>
      <c r="BH133" s="133"/>
      <c r="BI133" s="133"/>
      <c r="BJ133" s="133">
        <f t="shared" ref="BJ133:BJ147" si="216">SUM(BK133:BN133)</f>
        <v>0</v>
      </c>
      <c r="BK133" s="133"/>
      <c r="BL133" s="133"/>
      <c r="BM133" s="133">
        <v>0</v>
      </c>
      <c r="BN133" s="133"/>
      <c r="BO133" s="133">
        <f t="shared" ref="BO133:BO147" si="217">SUM(BP133:BR133)</f>
        <v>0</v>
      </c>
      <c r="BP133" s="133"/>
      <c r="BQ133" s="133"/>
      <c r="BR133" s="133">
        <f t="shared" ref="BR133:BR147" si="218">SUM(BS133:BV133)</f>
        <v>0</v>
      </c>
      <c r="BS133" s="133"/>
      <c r="BT133" s="133"/>
      <c r="BU133" s="133"/>
      <c r="BV133" s="133"/>
      <c r="BW133" s="133">
        <v>0</v>
      </c>
      <c r="BX133" s="133">
        <v>0</v>
      </c>
      <c r="BY133" s="133"/>
      <c r="BZ133" s="434"/>
      <c r="CA133" s="424"/>
      <c r="CB133" s="424"/>
      <c r="CC133" s="424"/>
    </row>
    <row r="134" spans="1:81" ht="66" hidden="1" customHeight="1">
      <c r="A134" s="433"/>
      <c r="B134" s="549" t="s">
        <v>2319</v>
      </c>
      <c r="C134" s="420"/>
      <c r="D134" s="420"/>
      <c r="E134" s="431"/>
      <c r="F134" s="422"/>
      <c r="G134" s="420"/>
      <c r="H134" s="422"/>
      <c r="I134" s="420"/>
      <c r="J134" s="420"/>
      <c r="K134" s="206"/>
      <c r="L134" s="206"/>
      <c r="M134" s="169"/>
      <c r="N134" s="169"/>
      <c r="O134" s="70"/>
      <c r="P134" s="70"/>
      <c r="Q134" s="70"/>
      <c r="R134" s="70"/>
      <c r="S134" s="70">
        <f t="shared" si="208"/>
        <v>0</v>
      </c>
      <c r="T134" s="70">
        <v>0</v>
      </c>
      <c r="U134" s="70"/>
      <c r="V134" s="70"/>
      <c r="W134" s="70"/>
      <c r="X134" s="70"/>
      <c r="Y134" s="70">
        <f t="shared" si="181"/>
        <v>83</v>
      </c>
      <c r="Z134" s="70"/>
      <c r="AA134" s="70"/>
      <c r="AB134" s="70">
        <f t="shared" si="182"/>
        <v>83</v>
      </c>
      <c r="AC134" s="70">
        <f t="shared" si="152"/>
        <v>0</v>
      </c>
      <c r="AD134" s="70"/>
      <c r="AE134" s="70"/>
      <c r="AF134" s="70">
        <v>83</v>
      </c>
      <c r="AG134" s="70"/>
      <c r="AH134" s="70">
        <f t="shared" si="209"/>
        <v>83</v>
      </c>
      <c r="AI134" s="70"/>
      <c r="AJ134" s="70"/>
      <c r="AK134" s="70">
        <f t="shared" si="210"/>
        <v>83</v>
      </c>
      <c r="AL134" s="70"/>
      <c r="AM134" s="70"/>
      <c r="AN134" s="70">
        <v>83</v>
      </c>
      <c r="AO134" s="70"/>
      <c r="AP134" s="70">
        <f t="shared" si="211"/>
        <v>83</v>
      </c>
      <c r="AQ134" s="70"/>
      <c r="AR134" s="70"/>
      <c r="AS134" s="70">
        <f t="shared" si="212"/>
        <v>83</v>
      </c>
      <c r="AT134" s="70"/>
      <c r="AU134" s="70"/>
      <c r="AV134" s="70">
        <v>83</v>
      </c>
      <c r="AW134" s="70"/>
      <c r="AX134" s="70">
        <f t="shared" si="213"/>
        <v>0</v>
      </c>
      <c r="AY134" s="70"/>
      <c r="AZ134" s="70"/>
      <c r="BA134" s="70">
        <f t="shared" si="214"/>
        <v>0</v>
      </c>
      <c r="BB134" s="67">
        <f t="shared" si="153"/>
        <v>0</v>
      </c>
      <c r="BC134" s="70"/>
      <c r="BD134" s="70"/>
      <c r="BE134" s="70">
        <v>0</v>
      </c>
      <c r="BF134" s="70"/>
      <c r="BG134" s="133">
        <f t="shared" si="215"/>
        <v>0</v>
      </c>
      <c r="BH134" s="133"/>
      <c r="BI134" s="133"/>
      <c r="BJ134" s="133">
        <f t="shared" si="216"/>
        <v>0</v>
      </c>
      <c r="BK134" s="133"/>
      <c r="BL134" s="133"/>
      <c r="BM134" s="133">
        <v>0</v>
      </c>
      <c r="BN134" s="133"/>
      <c r="BO134" s="133">
        <f t="shared" si="217"/>
        <v>0</v>
      </c>
      <c r="BP134" s="133"/>
      <c r="BQ134" s="133"/>
      <c r="BR134" s="133">
        <f t="shared" si="218"/>
        <v>0</v>
      </c>
      <c r="BS134" s="133"/>
      <c r="BT134" s="133"/>
      <c r="BU134" s="133"/>
      <c r="BV134" s="133"/>
      <c r="BW134" s="133">
        <v>0</v>
      </c>
      <c r="BX134" s="133">
        <v>0</v>
      </c>
      <c r="BY134" s="133"/>
      <c r="BZ134" s="434"/>
      <c r="CA134" s="424"/>
      <c r="CB134" s="424"/>
      <c r="CC134" s="424"/>
    </row>
    <row r="135" spans="1:81" ht="66" hidden="1" customHeight="1">
      <c r="A135" s="433"/>
      <c r="B135" s="549" t="s">
        <v>2320</v>
      </c>
      <c r="C135" s="420"/>
      <c r="D135" s="420"/>
      <c r="E135" s="431"/>
      <c r="F135" s="422"/>
      <c r="G135" s="420"/>
      <c r="H135" s="422"/>
      <c r="I135" s="420"/>
      <c r="J135" s="420"/>
      <c r="K135" s="206"/>
      <c r="L135" s="206"/>
      <c r="M135" s="169"/>
      <c r="N135" s="169"/>
      <c r="O135" s="70"/>
      <c r="P135" s="70"/>
      <c r="Q135" s="70"/>
      <c r="R135" s="70"/>
      <c r="S135" s="70">
        <f t="shared" si="208"/>
        <v>0</v>
      </c>
      <c r="T135" s="70">
        <v>0</v>
      </c>
      <c r="U135" s="70"/>
      <c r="V135" s="70"/>
      <c r="W135" s="70"/>
      <c r="X135" s="70"/>
      <c r="Y135" s="70">
        <f t="shared" si="181"/>
        <v>277.5</v>
      </c>
      <c r="Z135" s="70"/>
      <c r="AA135" s="70"/>
      <c r="AB135" s="70">
        <f t="shared" si="182"/>
        <v>277.5</v>
      </c>
      <c r="AC135" s="70">
        <f t="shared" si="152"/>
        <v>0</v>
      </c>
      <c r="AD135" s="70"/>
      <c r="AE135" s="70"/>
      <c r="AF135" s="70">
        <v>277.5</v>
      </c>
      <c r="AG135" s="70"/>
      <c r="AH135" s="70">
        <f t="shared" si="209"/>
        <v>277.5</v>
      </c>
      <c r="AI135" s="70"/>
      <c r="AJ135" s="70"/>
      <c r="AK135" s="70">
        <f t="shared" si="210"/>
        <v>277.5</v>
      </c>
      <c r="AL135" s="70"/>
      <c r="AM135" s="70"/>
      <c r="AN135" s="70">
        <v>277.5</v>
      </c>
      <c r="AO135" s="70"/>
      <c r="AP135" s="70">
        <f t="shared" si="211"/>
        <v>277.5</v>
      </c>
      <c r="AQ135" s="70"/>
      <c r="AR135" s="70"/>
      <c r="AS135" s="70">
        <f t="shared" si="212"/>
        <v>277.5</v>
      </c>
      <c r="AT135" s="70"/>
      <c r="AU135" s="70"/>
      <c r="AV135" s="70">
        <v>277.5</v>
      </c>
      <c r="AW135" s="70"/>
      <c r="AX135" s="70">
        <f t="shared" si="213"/>
        <v>0</v>
      </c>
      <c r="AY135" s="70"/>
      <c r="AZ135" s="70"/>
      <c r="BA135" s="70">
        <f t="shared" si="214"/>
        <v>0</v>
      </c>
      <c r="BB135" s="67">
        <f t="shared" si="153"/>
        <v>0</v>
      </c>
      <c r="BC135" s="70"/>
      <c r="BD135" s="70"/>
      <c r="BE135" s="70">
        <v>0</v>
      </c>
      <c r="BF135" s="70"/>
      <c r="BG135" s="133">
        <f t="shared" si="215"/>
        <v>0</v>
      </c>
      <c r="BH135" s="133"/>
      <c r="BI135" s="133"/>
      <c r="BJ135" s="133">
        <f t="shared" si="216"/>
        <v>0</v>
      </c>
      <c r="BK135" s="133"/>
      <c r="BL135" s="133"/>
      <c r="BM135" s="133">
        <v>0</v>
      </c>
      <c r="BN135" s="133"/>
      <c r="BO135" s="133">
        <f t="shared" si="217"/>
        <v>0</v>
      </c>
      <c r="BP135" s="133"/>
      <c r="BQ135" s="133"/>
      <c r="BR135" s="133">
        <f t="shared" si="218"/>
        <v>0</v>
      </c>
      <c r="BS135" s="133"/>
      <c r="BT135" s="133"/>
      <c r="BU135" s="133"/>
      <c r="BV135" s="133"/>
      <c r="BW135" s="133">
        <v>0</v>
      </c>
      <c r="BX135" s="133">
        <v>0</v>
      </c>
      <c r="BY135" s="133"/>
      <c r="BZ135" s="434"/>
      <c r="CA135" s="424"/>
      <c r="CB135" s="424"/>
      <c r="CC135" s="424"/>
    </row>
    <row r="136" spans="1:81" ht="66" hidden="1" customHeight="1">
      <c r="A136" s="433"/>
      <c r="B136" s="549" t="s">
        <v>2321</v>
      </c>
      <c r="C136" s="420"/>
      <c r="D136" s="420"/>
      <c r="E136" s="431"/>
      <c r="F136" s="422"/>
      <c r="G136" s="420"/>
      <c r="H136" s="422"/>
      <c r="I136" s="420"/>
      <c r="J136" s="420"/>
      <c r="K136" s="206"/>
      <c r="L136" s="206"/>
      <c r="M136" s="169"/>
      <c r="N136" s="169"/>
      <c r="O136" s="70"/>
      <c r="P136" s="70"/>
      <c r="Q136" s="70"/>
      <c r="R136" s="70"/>
      <c r="S136" s="70">
        <f t="shared" si="208"/>
        <v>0</v>
      </c>
      <c r="T136" s="70">
        <v>0</v>
      </c>
      <c r="U136" s="70"/>
      <c r="V136" s="70"/>
      <c r="W136" s="70"/>
      <c r="X136" s="70"/>
      <c r="Y136" s="70">
        <f t="shared" si="181"/>
        <v>18.600000000000001</v>
      </c>
      <c r="Z136" s="70"/>
      <c r="AA136" s="70"/>
      <c r="AB136" s="70">
        <f t="shared" si="182"/>
        <v>18.600000000000001</v>
      </c>
      <c r="AC136" s="70">
        <f t="shared" si="152"/>
        <v>0</v>
      </c>
      <c r="AD136" s="70"/>
      <c r="AE136" s="70"/>
      <c r="AF136" s="70">
        <v>18.600000000000001</v>
      </c>
      <c r="AG136" s="70"/>
      <c r="AH136" s="70">
        <f t="shared" si="209"/>
        <v>18.600000000000001</v>
      </c>
      <c r="AI136" s="70"/>
      <c r="AJ136" s="70"/>
      <c r="AK136" s="70">
        <f t="shared" si="210"/>
        <v>18.600000000000001</v>
      </c>
      <c r="AL136" s="70"/>
      <c r="AM136" s="70"/>
      <c r="AN136" s="70">
        <v>18.600000000000001</v>
      </c>
      <c r="AO136" s="70"/>
      <c r="AP136" s="70">
        <f t="shared" si="211"/>
        <v>18.600000000000001</v>
      </c>
      <c r="AQ136" s="70"/>
      <c r="AR136" s="70"/>
      <c r="AS136" s="70">
        <f t="shared" si="212"/>
        <v>18.600000000000001</v>
      </c>
      <c r="AT136" s="70"/>
      <c r="AU136" s="70"/>
      <c r="AV136" s="70">
        <v>18.600000000000001</v>
      </c>
      <c r="AW136" s="70"/>
      <c r="AX136" s="70">
        <f t="shared" si="213"/>
        <v>0</v>
      </c>
      <c r="AY136" s="70"/>
      <c r="AZ136" s="70"/>
      <c r="BA136" s="70">
        <f t="shared" si="214"/>
        <v>0</v>
      </c>
      <c r="BB136" s="67">
        <f t="shared" si="153"/>
        <v>0</v>
      </c>
      <c r="BC136" s="70"/>
      <c r="BD136" s="70"/>
      <c r="BE136" s="70">
        <v>0</v>
      </c>
      <c r="BF136" s="70"/>
      <c r="BG136" s="133">
        <f t="shared" si="215"/>
        <v>0</v>
      </c>
      <c r="BH136" s="133"/>
      <c r="BI136" s="133"/>
      <c r="BJ136" s="133">
        <f t="shared" si="216"/>
        <v>0</v>
      </c>
      <c r="BK136" s="133"/>
      <c r="BL136" s="133"/>
      <c r="BM136" s="133">
        <v>0</v>
      </c>
      <c r="BN136" s="133"/>
      <c r="BO136" s="133">
        <f t="shared" si="217"/>
        <v>0</v>
      </c>
      <c r="BP136" s="133"/>
      <c r="BQ136" s="133"/>
      <c r="BR136" s="133">
        <f t="shared" si="218"/>
        <v>0</v>
      </c>
      <c r="BS136" s="133"/>
      <c r="BT136" s="133"/>
      <c r="BU136" s="133"/>
      <c r="BV136" s="133"/>
      <c r="BW136" s="133">
        <v>0</v>
      </c>
      <c r="BX136" s="133">
        <v>0</v>
      </c>
      <c r="BY136" s="133"/>
      <c r="BZ136" s="434"/>
      <c r="CA136" s="424"/>
      <c r="CB136" s="424"/>
      <c r="CC136" s="424"/>
    </row>
    <row r="137" spans="1:81" ht="66" hidden="1" customHeight="1">
      <c r="A137" s="433"/>
      <c r="B137" s="549" t="s">
        <v>2289</v>
      </c>
      <c r="C137" s="420"/>
      <c r="D137" s="420"/>
      <c r="E137" s="431"/>
      <c r="F137" s="422"/>
      <c r="G137" s="420"/>
      <c r="H137" s="422"/>
      <c r="I137" s="420"/>
      <c r="J137" s="420"/>
      <c r="K137" s="206"/>
      <c r="L137" s="206"/>
      <c r="M137" s="169"/>
      <c r="N137" s="169"/>
      <c r="O137" s="70"/>
      <c r="P137" s="70"/>
      <c r="Q137" s="70"/>
      <c r="R137" s="70"/>
      <c r="S137" s="70">
        <f t="shared" si="208"/>
        <v>0</v>
      </c>
      <c r="T137" s="70">
        <v>0</v>
      </c>
      <c r="U137" s="70"/>
      <c r="V137" s="70"/>
      <c r="W137" s="70"/>
      <c r="X137" s="70"/>
      <c r="Y137" s="70">
        <f t="shared" si="181"/>
        <v>2410.6</v>
      </c>
      <c r="Z137" s="70"/>
      <c r="AA137" s="70"/>
      <c r="AB137" s="70">
        <f t="shared" si="182"/>
        <v>2410.6</v>
      </c>
      <c r="AC137" s="70">
        <f t="shared" si="152"/>
        <v>0</v>
      </c>
      <c r="AD137" s="70"/>
      <c r="AE137" s="70"/>
      <c r="AF137" s="70">
        <f>538.6+722+1150</f>
        <v>2410.6</v>
      </c>
      <c r="AG137" s="70"/>
      <c r="AH137" s="70">
        <f t="shared" si="209"/>
        <v>2410.6</v>
      </c>
      <c r="AI137" s="70"/>
      <c r="AJ137" s="70"/>
      <c r="AK137" s="70">
        <f t="shared" si="210"/>
        <v>2410.6</v>
      </c>
      <c r="AL137" s="70"/>
      <c r="AM137" s="70"/>
      <c r="AN137" s="70">
        <f>538.6+722+1150</f>
        <v>2410.6</v>
      </c>
      <c r="AO137" s="70"/>
      <c r="AP137" s="70">
        <f t="shared" si="211"/>
        <v>2410.6</v>
      </c>
      <c r="AQ137" s="70"/>
      <c r="AR137" s="70"/>
      <c r="AS137" s="70">
        <f t="shared" si="212"/>
        <v>2410.6</v>
      </c>
      <c r="AT137" s="70"/>
      <c r="AU137" s="70"/>
      <c r="AV137" s="70">
        <f>538.6+722+1150</f>
        <v>2410.6</v>
      </c>
      <c r="AW137" s="70"/>
      <c r="AX137" s="70">
        <f t="shared" si="213"/>
        <v>0</v>
      </c>
      <c r="AY137" s="70"/>
      <c r="AZ137" s="70"/>
      <c r="BA137" s="70">
        <f t="shared" si="214"/>
        <v>0</v>
      </c>
      <c r="BB137" s="67">
        <f t="shared" si="153"/>
        <v>0</v>
      </c>
      <c r="BC137" s="70"/>
      <c r="BD137" s="70"/>
      <c r="BE137" s="70">
        <v>0</v>
      </c>
      <c r="BF137" s="70"/>
      <c r="BG137" s="133">
        <f t="shared" si="215"/>
        <v>0</v>
      </c>
      <c r="BH137" s="133"/>
      <c r="BI137" s="133"/>
      <c r="BJ137" s="133">
        <f t="shared" si="216"/>
        <v>0</v>
      </c>
      <c r="BK137" s="133"/>
      <c r="BL137" s="133"/>
      <c r="BM137" s="133">
        <v>0</v>
      </c>
      <c r="BN137" s="133"/>
      <c r="BO137" s="133">
        <f t="shared" si="217"/>
        <v>0</v>
      </c>
      <c r="BP137" s="133"/>
      <c r="BQ137" s="133"/>
      <c r="BR137" s="133">
        <f t="shared" si="218"/>
        <v>0</v>
      </c>
      <c r="BS137" s="133"/>
      <c r="BT137" s="133"/>
      <c r="BU137" s="133"/>
      <c r="BV137" s="133"/>
      <c r="BW137" s="133">
        <v>0</v>
      </c>
      <c r="BX137" s="133">
        <v>0</v>
      </c>
      <c r="BY137" s="133"/>
      <c r="BZ137" s="434"/>
      <c r="CA137" s="424"/>
      <c r="CB137" s="424"/>
      <c r="CC137" s="424"/>
    </row>
    <row r="138" spans="1:81" ht="61.5" hidden="1">
      <c r="A138" s="433"/>
      <c r="B138" s="549" t="s">
        <v>2322</v>
      </c>
      <c r="C138" s="420"/>
      <c r="D138" s="420"/>
      <c r="E138" s="431"/>
      <c r="F138" s="422"/>
      <c r="G138" s="420"/>
      <c r="H138" s="422"/>
      <c r="I138" s="420"/>
      <c r="J138" s="420"/>
      <c r="K138" s="206"/>
      <c r="L138" s="206"/>
      <c r="M138" s="169"/>
      <c r="N138" s="169"/>
      <c r="O138" s="70"/>
      <c r="P138" s="70"/>
      <c r="Q138" s="70"/>
      <c r="R138" s="70"/>
      <c r="S138" s="70">
        <f t="shared" si="208"/>
        <v>0</v>
      </c>
      <c r="T138" s="70">
        <v>0</v>
      </c>
      <c r="U138" s="70"/>
      <c r="V138" s="70"/>
      <c r="W138" s="70"/>
      <c r="X138" s="70"/>
      <c r="Y138" s="70">
        <f t="shared" si="181"/>
        <v>99.5</v>
      </c>
      <c r="Z138" s="70"/>
      <c r="AA138" s="70"/>
      <c r="AB138" s="70">
        <f t="shared" si="182"/>
        <v>99.5</v>
      </c>
      <c r="AC138" s="70">
        <f t="shared" si="152"/>
        <v>0</v>
      </c>
      <c r="AD138" s="70"/>
      <c r="AE138" s="70"/>
      <c r="AF138" s="70">
        <f>6.5+93</f>
        <v>99.5</v>
      </c>
      <c r="AG138" s="70"/>
      <c r="AH138" s="70">
        <f t="shared" si="209"/>
        <v>99.5</v>
      </c>
      <c r="AI138" s="70"/>
      <c r="AJ138" s="70"/>
      <c r="AK138" s="70">
        <f t="shared" si="210"/>
        <v>99.5</v>
      </c>
      <c r="AL138" s="70"/>
      <c r="AM138" s="70"/>
      <c r="AN138" s="70">
        <f>6.5+93</f>
        <v>99.5</v>
      </c>
      <c r="AO138" s="70"/>
      <c r="AP138" s="70">
        <f t="shared" si="211"/>
        <v>99.5</v>
      </c>
      <c r="AQ138" s="70"/>
      <c r="AR138" s="70"/>
      <c r="AS138" s="70">
        <f t="shared" si="212"/>
        <v>99.5</v>
      </c>
      <c r="AT138" s="70"/>
      <c r="AU138" s="70"/>
      <c r="AV138" s="70">
        <f>6.5+93</f>
        <v>99.5</v>
      </c>
      <c r="AW138" s="70"/>
      <c r="AX138" s="70">
        <f t="shared" si="213"/>
        <v>0</v>
      </c>
      <c r="AY138" s="70"/>
      <c r="AZ138" s="70"/>
      <c r="BA138" s="70">
        <f t="shared" si="214"/>
        <v>0</v>
      </c>
      <c r="BB138" s="67">
        <f t="shared" si="153"/>
        <v>0</v>
      </c>
      <c r="BC138" s="70"/>
      <c r="BD138" s="70"/>
      <c r="BE138" s="70">
        <v>0</v>
      </c>
      <c r="BF138" s="70"/>
      <c r="BG138" s="133">
        <f t="shared" si="215"/>
        <v>0</v>
      </c>
      <c r="BH138" s="133"/>
      <c r="BI138" s="133"/>
      <c r="BJ138" s="133">
        <f t="shared" si="216"/>
        <v>0</v>
      </c>
      <c r="BK138" s="133"/>
      <c r="BL138" s="133"/>
      <c r="BM138" s="133">
        <v>0</v>
      </c>
      <c r="BN138" s="133"/>
      <c r="BO138" s="133">
        <f t="shared" si="217"/>
        <v>0</v>
      </c>
      <c r="BP138" s="133"/>
      <c r="BQ138" s="133"/>
      <c r="BR138" s="133">
        <f t="shared" si="218"/>
        <v>0</v>
      </c>
      <c r="BS138" s="133"/>
      <c r="BT138" s="133"/>
      <c r="BU138" s="133"/>
      <c r="BV138" s="133"/>
      <c r="BW138" s="133">
        <v>0</v>
      </c>
      <c r="BX138" s="133">
        <v>0</v>
      </c>
      <c r="BY138" s="133"/>
      <c r="BZ138" s="434"/>
      <c r="CA138" s="424"/>
      <c r="CB138" s="424"/>
      <c r="CC138" s="424"/>
    </row>
    <row r="139" spans="1:81" ht="30.75" hidden="1">
      <c r="A139" s="433"/>
      <c r="B139" s="549" t="s">
        <v>2323</v>
      </c>
      <c r="C139" s="420"/>
      <c r="D139" s="420"/>
      <c r="E139" s="431"/>
      <c r="F139" s="422"/>
      <c r="G139" s="420"/>
      <c r="H139" s="422"/>
      <c r="I139" s="420"/>
      <c r="J139" s="420"/>
      <c r="K139" s="206"/>
      <c r="L139" s="206"/>
      <c r="M139" s="169"/>
      <c r="N139" s="169"/>
      <c r="O139" s="70"/>
      <c r="P139" s="70"/>
      <c r="Q139" s="70"/>
      <c r="R139" s="70"/>
      <c r="S139" s="70">
        <f t="shared" si="208"/>
        <v>0</v>
      </c>
      <c r="T139" s="70">
        <v>0</v>
      </c>
      <c r="U139" s="70"/>
      <c r="V139" s="70"/>
      <c r="W139" s="70"/>
      <c r="X139" s="70"/>
      <c r="Y139" s="70">
        <f t="shared" si="181"/>
        <v>519.36900000000003</v>
      </c>
      <c r="Z139" s="70"/>
      <c r="AA139" s="70"/>
      <c r="AB139" s="70">
        <f t="shared" si="182"/>
        <v>519.36900000000003</v>
      </c>
      <c r="AC139" s="70">
        <f t="shared" si="152"/>
        <v>0</v>
      </c>
      <c r="AD139" s="70"/>
      <c r="AE139" s="70"/>
      <c r="AF139" s="70">
        <v>519.36900000000003</v>
      </c>
      <c r="AG139" s="70"/>
      <c r="AH139" s="70">
        <f t="shared" si="209"/>
        <v>519.36900000000003</v>
      </c>
      <c r="AI139" s="70"/>
      <c r="AJ139" s="70"/>
      <c r="AK139" s="70">
        <f t="shared" si="210"/>
        <v>519.36900000000003</v>
      </c>
      <c r="AL139" s="70"/>
      <c r="AM139" s="70"/>
      <c r="AN139" s="70">
        <v>519.36900000000003</v>
      </c>
      <c r="AO139" s="70"/>
      <c r="AP139" s="70">
        <f t="shared" si="211"/>
        <v>519.36900000000003</v>
      </c>
      <c r="AQ139" s="70"/>
      <c r="AR139" s="70"/>
      <c r="AS139" s="70">
        <f t="shared" si="212"/>
        <v>519.36900000000003</v>
      </c>
      <c r="AT139" s="70"/>
      <c r="AU139" s="70"/>
      <c r="AV139" s="70">
        <v>519.36900000000003</v>
      </c>
      <c r="AW139" s="70"/>
      <c r="AX139" s="70">
        <f t="shared" si="213"/>
        <v>0</v>
      </c>
      <c r="AY139" s="70"/>
      <c r="AZ139" s="70"/>
      <c r="BA139" s="70">
        <f t="shared" si="214"/>
        <v>0</v>
      </c>
      <c r="BB139" s="67">
        <f t="shared" si="153"/>
        <v>0</v>
      </c>
      <c r="BC139" s="70"/>
      <c r="BD139" s="70"/>
      <c r="BE139" s="70">
        <v>0</v>
      </c>
      <c r="BF139" s="70"/>
      <c r="BG139" s="133">
        <f t="shared" si="215"/>
        <v>0</v>
      </c>
      <c r="BH139" s="133"/>
      <c r="BI139" s="133"/>
      <c r="BJ139" s="133">
        <f t="shared" si="216"/>
        <v>0</v>
      </c>
      <c r="BK139" s="133"/>
      <c r="BL139" s="133"/>
      <c r="BM139" s="133">
        <v>0</v>
      </c>
      <c r="BN139" s="133"/>
      <c r="BO139" s="133">
        <f t="shared" si="217"/>
        <v>0</v>
      </c>
      <c r="BP139" s="133"/>
      <c r="BQ139" s="133"/>
      <c r="BR139" s="133">
        <f t="shared" si="218"/>
        <v>0</v>
      </c>
      <c r="BS139" s="133"/>
      <c r="BT139" s="133"/>
      <c r="BU139" s="133"/>
      <c r="BV139" s="133"/>
      <c r="BW139" s="133">
        <v>0</v>
      </c>
      <c r="BX139" s="133">
        <v>0</v>
      </c>
      <c r="BY139" s="133"/>
      <c r="BZ139" s="434"/>
      <c r="CA139" s="424"/>
      <c r="CB139" s="424"/>
      <c r="CC139" s="424"/>
    </row>
    <row r="140" spans="1:81" ht="50.25" hidden="1" customHeight="1">
      <c r="A140" s="433"/>
      <c r="B140" s="549" t="s">
        <v>2324</v>
      </c>
      <c r="C140" s="420"/>
      <c r="D140" s="420"/>
      <c r="E140" s="431"/>
      <c r="F140" s="422"/>
      <c r="G140" s="420"/>
      <c r="H140" s="422"/>
      <c r="I140" s="420"/>
      <c r="J140" s="420"/>
      <c r="K140" s="206"/>
      <c r="L140" s="206"/>
      <c r="M140" s="169"/>
      <c r="N140" s="169"/>
      <c r="O140" s="70"/>
      <c r="P140" s="70"/>
      <c r="Q140" s="70"/>
      <c r="R140" s="70"/>
      <c r="S140" s="70">
        <f t="shared" si="208"/>
        <v>0</v>
      </c>
      <c r="T140" s="70">
        <v>0</v>
      </c>
      <c r="U140" s="70"/>
      <c r="V140" s="70"/>
      <c r="W140" s="70"/>
      <c r="X140" s="70"/>
      <c r="Y140" s="70">
        <f t="shared" si="181"/>
        <v>46.213999999999999</v>
      </c>
      <c r="Z140" s="70"/>
      <c r="AA140" s="70"/>
      <c r="AB140" s="70">
        <f t="shared" si="182"/>
        <v>46.213999999999999</v>
      </c>
      <c r="AC140" s="70">
        <f t="shared" si="152"/>
        <v>0</v>
      </c>
      <c r="AD140" s="70"/>
      <c r="AE140" s="70"/>
      <c r="AF140" s="70">
        <v>46.213999999999999</v>
      </c>
      <c r="AG140" s="70"/>
      <c r="AH140" s="70">
        <f t="shared" si="209"/>
        <v>46.213999999999999</v>
      </c>
      <c r="AI140" s="70"/>
      <c r="AJ140" s="70"/>
      <c r="AK140" s="70">
        <f t="shared" si="210"/>
        <v>46.213999999999999</v>
      </c>
      <c r="AL140" s="70"/>
      <c r="AM140" s="70"/>
      <c r="AN140" s="70">
        <v>46.213999999999999</v>
      </c>
      <c r="AO140" s="70"/>
      <c r="AP140" s="70">
        <f t="shared" si="211"/>
        <v>46.213999999999999</v>
      </c>
      <c r="AQ140" s="70"/>
      <c r="AR140" s="70"/>
      <c r="AS140" s="70">
        <f t="shared" si="212"/>
        <v>46.213999999999999</v>
      </c>
      <c r="AT140" s="70"/>
      <c r="AU140" s="70"/>
      <c r="AV140" s="70">
        <v>46.213999999999999</v>
      </c>
      <c r="AW140" s="70"/>
      <c r="AX140" s="70">
        <f t="shared" si="213"/>
        <v>0</v>
      </c>
      <c r="AY140" s="70"/>
      <c r="AZ140" s="70"/>
      <c r="BA140" s="70">
        <f t="shared" si="214"/>
        <v>0</v>
      </c>
      <c r="BB140" s="67">
        <f t="shared" ref="BB140:BB151" si="219">SUM(BC140:BD140)</f>
        <v>0</v>
      </c>
      <c r="BC140" s="70"/>
      <c r="BD140" s="70"/>
      <c r="BE140" s="70">
        <v>0</v>
      </c>
      <c r="BF140" s="70"/>
      <c r="BG140" s="133">
        <f t="shared" si="215"/>
        <v>0</v>
      </c>
      <c r="BH140" s="133"/>
      <c r="BI140" s="133"/>
      <c r="BJ140" s="133">
        <f t="shared" si="216"/>
        <v>0</v>
      </c>
      <c r="BK140" s="133"/>
      <c r="BL140" s="133"/>
      <c r="BM140" s="133">
        <v>0</v>
      </c>
      <c r="BN140" s="133"/>
      <c r="BO140" s="133">
        <f t="shared" si="217"/>
        <v>0</v>
      </c>
      <c r="BP140" s="133"/>
      <c r="BQ140" s="133"/>
      <c r="BR140" s="133">
        <f t="shared" si="218"/>
        <v>0</v>
      </c>
      <c r="BS140" s="133"/>
      <c r="BT140" s="133"/>
      <c r="BU140" s="133"/>
      <c r="BV140" s="133"/>
      <c r="BW140" s="133">
        <v>0</v>
      </c>
      <c r="BX140" s="133">
        <v>0</v>
      </c>
      <c r="BY140" s="133"/>
      <c r="BZ140" s="434"/>
      <c r="CA140" s="424"/>
      <c r="CB140" s="424"/>
      <c r="CC140" s="424"/>
    </row>
    <row r="141" spans="1:81" ht="68.25" hidden="1" customHeight="1">
      <c r="A141" s="433"/>
      <c r="B141" s="549" t="s">
        <v>2325</v>
      </c>
      <c r="C141" s="420"/>
      <c r="D141" s="420"/>
      <c r="E141" s="431"/>
      <c r="F141" s="422"/>
      <c r="G141" s="420"/>
      <c r="H141" s="422"/>
      <c r="I141" s="420"/>
      <c r="J141" s="420"/>
      <c r="K141" s="206"/>
      <c r="L141" s="206"/>
      <c r="M141" s="169"/>
      <c r="N141" s="169"/>
      <c r="O141" s="70"/>
      <c r="P141" s="70"/>
      <c r="Q141" s="70"/>
      <c r="R141" s="70"/>
      <c r="S141" s="70">
        <f t="shared" si="208"/>
        <v>0</v>
      </c>
      <c r="T141" s="70">
        <v>0</v>
      </c>
      <c r="U141" s="70"/>
      <c r="V141" s="70"/>
      <c r="W141" s="70"/>
      <c r="X141" s="70"/>
      <c r="Y141" s="70">
        <f t="shared" si="181"/>
        <v>194.88</v>
      </c>
      <c r="Z141" s="70"/>
      <c r="AA141" s="70"/>
      <c r="AB141" s="70">
        <f t="shared" si="182"/>
        <v>194.88</v>
      </c>
      <c r="AC141" s="70">
        <f t="shared" si="152"/>
        <v>0</v>
      </c>
      <c r="AD141" s="70"/>
      <c r="AE141" s="70"/>
      <c r="AF141" s="70">
        <v>194.88</v>
      </c>
      <c r="AG141" s="70"/>
      <c r="AH141" s="70">
        <f t="shared" si="209"/>
        <v>194.88</v>
      </c>
      <c r="AI141" s="70"/>
      <c r="AJ141" s="70"/>
      <c r="AK141" s="70">
        <f t="shared" si="210"/>
        <v>194.88</v>
      </c>
      <c r="AL141" s="70"/>
      <c r="AM141" s="70"/>
      <c r="AN141" s="70">
        <v>194.88</v>
      </c>
      <c r="AO141" s="70"/>
      <c r="AP141" s="70">
        <f t="shared" si="211"/>
        <v>194.88</v>
      </c>
      <c r="AQ141" s="70"/>
      <c r="AR141" s="70"/>
      <c r="AS141" s="70">
        <f t="shared" si="212"/>
        <v>194.88</v>
      </c>
      <c r="AT141" s="70"/>
      <c r="AU141" s="70"/>
      <c r="AV141" s="70">
        <v>194.88</v>
      </c>
      <c r="AW141" s="70"/>
      <c r="AX141" s="70">
        <f t="shared" si="213"/>
        <v>0</v>
      </c>
      <c r="AY141" s="70"/>
      <c r="AZ141" s="70"/>
      <c r="BA141" s="70">
        <f t="shared" si="214"/>
        <v>0</v>
      </c>
      <c r="BB141" s="67">
        <f t="shared" si="219"/>
        <v>0</v>
      </c>
      <c r="BC141" s="70"/>
      <c r="BD141" s="70"/>
      <c r="BE141" s="70">
        <v>0</v>
      </c>
      <c r="BF141" s="70"/>
      <c r="BG141" s="133">
        <f t="shared" si="215"/>
        <v>0</v>
      </c>
      <c r="BH141" s="133"/>
      <c r="BI141" s="133"/>
      <c r="BJ141" s="133">
        <f t="shared" si="216"/>
        <v>0</v>
      </c>
      <c r="BK141" s="133"/>
      <c r="BL141" s="133"/>
      <c r="BM141" s="133">
        <v>0</v>
      </c>
      <c r="BN141" s="133"/>
      <c r="BO141" s="133">
        <f t="shared" si="217"/>
        <v>0</v>
      </c>
      <c r="BP141" s="133"/>
      <c r="BQ141" s="133"/>
      <c r="BR141" s="133">
        <f t="shared" si="218"/>
        <v>0</v>
      </c>
      <c r="BS141" s="133"/>
      <c r="BT141" s="133"/>
      <c r="BU141" s="133"/>
      <c r="BV141" s="133"/>
      <c r="BW141" s="133">
        <v>0</v>
      </c>
      <c r="BX141" s="133">
        <v>0</v>
      </c>
      <c r="BY141" s="133"/>
      <c r="BZ141" s="434"/>
      <c r="CA141" s="424"/>
      <c r="CB141" s="424"/>
      <c r="CC141" s="424"/>
    </row>
    <row r="142" spans="1:81" ht="68.25" hidden="1" customHeight="1">
      <c r="A142" s="433"/>
      <c r="B142" s="549" t="s">
        <v>2326</v>
      </c>
      <c r="C142" s="420"/>
      <c r="D142" s="420"/>
      <c r="E142" s="431"/>
      <c r="F142" s="422"/>
      <c r="G142" s="420"/>
      <c r="H142" s="422"/>
      <c r="I142" s="420"/>
      <c r="J142" s="420"/>
      <c r="K142" s="206"/>
      <c r="L142" s="206"/>
      <c r="M142" s="169"/>
      <c r="N142" s="169"/>
      <c r="O142" s="70"/>
      <c r="P142" s="70"/>
      <c r="Q142" s="70"/>
      <c r="R142" s="70"/>
      <c r="S142" s="70">
        <f t="shared" si="208"/>
        <v>0</v>
      </c>
      <c r="T142" s="70">
        <v>0</v>
      </c>
      <c r="U142" s="70"/>
      <c r="V142" s="70"/>
      <c r="W142" s="70"/>
      <c r="X142" s="70"/>
      <c r="Y142" s="70">
        <f t="shared" si="181"/>
        <v>663.23400000000004</v>
      </c>
      <c r="Z142" s="70"/>
      <c r="AA142" s="70"/>
      <c r="AB142" s="70">
        <f t="shared" si="182"/>
        <v>663.23400000000004</v>
      </c>
      <c r="AC142" s="70">
        <f t="shared" si="152"/>
        <v>0</v>
      </c>
      <c r="AD142" s="70"/>
      <c r="AE142" s="70"/>
      <c r="AF142" s="70">
        <v>663.23400000000004</v>
      </c>
      <c r="AG142" s="70"/>
      <c r="AH142" s="70">
        <f t="shared" si="209"/>
        <v>663.23400000000004</v>
      </c>
      <c r="AI142" s="70"/>
      <c r="AJ142" s="70"/>
      <c r="AK142" s="70">
        <f t="shared" si="210"/>
        <v>663.23400000000004</v>
      </c>
      <c r="AL142" s="70"/>
      <c r="AM142" s="70"/>
      <c r="AN142" s="70">
        <v>663.23400000000004</v>
      </c>
      <c r="AO142" s="70"/>
      <c r="AP142" s="70">
        <f t="shared" si="211"/>
        <v>663.23400000000004</v>
      </c>
      <c r="AQ142" s="70"/>
      <c r="AR142" s="70"/>
      <c r="AS142" s="70">
        <f t="shared" si="212"/>
        <v>663.23400000000004</v>
      </c>
      <c r="AT142" s="70"/>
      <c r="AU142" s="70"/>
      <c r="AV142" s="70">
        <v>663.23400000000004</v>
      </c>
      <c r="AW142" s="70"/>
      <c r="AX142" s="70">
        <f t="shared" si="213"/>
        <v>0</v>
      </c>
      <c r="AY142" s="70"/>
      <c r="AZ142" s="70"/>
      <c r="BA142" s="70">
        <f t="shared" si="214"/>
        <v>0</v>
      </c>
      <c r="BB142" s="67">
        <f t="shared" si="219"/>
        <v>0</v>
      </c>
      <c r="BC142" s="70"/>
      <c r="BD142" s="70"/>
      <c r="BE142" s="70">
        <v>0</v>
      </c>
      <c r="BF142" s="70"/>
      <c r="BG142" s="133">
        <f t="shared" si="215"/>
        <v>0</v>
      </c>
      <c r="BH142" s="133"/>
      <c r="BI142" s="133"/>
      <c r="BJ142" s="133">
        <f t="shared" si="216"/>
        <v>0</v>
      </c>
      <c r="BK142" s="133"/>
      <c r="BL142" s="133"/>
      <c r="BM142" s="133">
        <v>0</v>
      </c>
      <c r="BN142" s="133"/>
      <c r="BO142" s="133">
        <f t="shared" si="217"/>
        <v>0</v>
      </c>
      <c r="BP142" s="133"/>
      <c r="BQ142" s="133"/>
      <c r="BR142" s="133">
        <f t="shared" si="218"/>
        <v>0</v>
      </c>
      <c r="BS142" s="133"/>
      <c r="BT142" s="133"/>
      <c r="BU142" s="133"/>
      <c r="BV142" s="133"/>
      <c r="BW142" s="133">
        <v>0</v>
      </c>
      <c r="BX142" s="133">
        <v>0</v>
      </c>
      <c r="BY142" s="133"/>
      <c r="BZ142" s="434"/>
      <c r="CA142" s="424"/>
      <c r="CB142" s="424"/>
      <c r="CC142" s="424"/>
    </row>
    <row r="143" spans="1:81" ht="76.5" hidden="1" customHeight="1">
      <c r="A143" s="433"/>
      <c r="B143" s="549" t="s">
        <v>2327</v>
      </c>
      <c r="C143" s="420"/>
      <c r="D143" s="420"/>
      <c r="E143" s="431"/>
      <c r="F143" s="422"/>
      <c r="G143" s="420"/>
      <c r="H143" s="422"/>
      <c r="I143" s="420"/>
      <c r="J143" s="420"/>
      <c r="K143" s="206"/>
      <c r="L143" s="206"/>
      <c r="M143" s="169"/>
      <c r="N143" s="169"/>
      <c r="O143" s="70"/>
      <c r="P143" s="70"/>
      <c r="Q143" s="70"/>
      <c r="R143" s="70"/>
      <c r="S143" s="70">
        <f t="shared" si="208"/>
        <v>0</v>
      </c>
      <c r="T143" s="70">
        <v>0</v>
      </c>
      <c r="U143" s="70"/>
      <c r="V143" s="70"/>
      <c r="W143" s="70"/>
      <c r="X143" s="70"/>
      <c r="Y143" s="70">
        <f t="shared" si="181"/>
        <v>132.21100000000001</v>
      </c>
      <c r="Z143" s="70"/>
      <c r="AA143" s="70"/>
      <c r="AB143" s="70">
        <f t="shared" si="182"/>
        <v>132.21100000000001</v>
      </c>
      <c r="AC143" s="70">
        <f t="shared" ref="AC143:AC151" si="220">AD143+AE143</f>
        <v>0</v>
      </c>
      <c r="AD143" s="70"/>
      <c r="AE143" s="70"/>
      <c r="AF143" s="70">
        <v>132.21100000000001</v>
      </c>
      <c r="AG143" s="70"/>
      <c r="AH143" s="70">
        <f t="shared" si="209"/>
        <v>132.21100000000001</v>
      </c>
      <c r="AI143" s="70"/>
      <c r="AJ143" s="70"/>
      <c r="AK143" s="70">
        <f t="shared" si="210"/>
        <v>132.21100000000001</v>
      </c>
      <c r="AL143" s="70"/>
      <c r="AM143" s="70"/>
      <c r="AN143" s="70">
        <v>132.21100000000001</v>
      </c>
      <c r="AO143" s="70"/>
      <c r="AP143" s="70">
        <f t="shared" si="211"/>
        <v>132.21100000000001</v>
      </c>
      <c r="AQ143" s="70"/>
      <c r="AR143" s="70"/>
      <c r="AS143" s="70">
        <f t="shared" si="212"/>
        <v>132.21100000000001</v>
      </c>
      <c r="AT143" s="70"/>
      <c r="AU143" s="70"/>
      <c r="AV143" s="70">
        <v>132.21100000000001</v>
      </c>
      <c r="AW143" s="70"/>
      <c r="AX143" s="70">
        <f t="shared" si="213"/>
        <v>0</v>
      </c>
      <c r="AY143" s="70"/>
      <c r="AZ143" s="70"/>
      <c r="BA143" s="70">
        <f t="shared" si="214"/>
        <v>0</v>
      </c>
      <c r="BB143" s="67">
        <f t="shared" si="219"/>
        <v>0</v>
      </c>
      <c r="BC143" s="70"/>
      <c r="BD143" s="70"/>
      <c r="BE143" s="70">
        <v>0</v>
      </c>
      <c r="BF143" s="70"/>
      <c r="BG143" s="133">
        <f t="shared" si="215"/>
        <v>0</v>
      </c>
      <c r="BH143" s="133"/>
      <c r="BI143" s="133"/>
      <c r="BJ143" s="133">
        <f t="shared" si="216"/>
        <v>0</v>
      </c>
      <c r="BK143" s="133"/>
      <c r="BL143" s="133"/>
      <c r="BM143" s="133">
        <v>0</v>
      </c>
      <c r="BN143" s="133"/>
      <c r="BO143" s="133">
        <f t="shared" si="217"/>
        <v>0</v>
      </c>
      <c r="BP143" s="133"/>
      <c r="BQ143" s="133"/>
      <c r="BR143" s="133">
        <f t="shared" si="218"/>
        <v>0</v>
      </c>
      <c r="BS143" s="133"/>
      <c r="BT143" s="133"/>
      <c r="BU143" s="133"/>
      <c r="BV143" s="133"/>
      <c r="BW143" s="133">
        <v>0</v>
      </c>
      <c r="BX143" s="133">
        <v>0</v>
      </c>
      <c r="BY143" s="133"/>
      <c r="BZ143" s="434"/>
      <c r="CA143" s="424"/>
      <c r="CB143" s="424"/>
      <c r="CC143" s="424"/>
    </row>
    <row r="144" spans="1:81" ht="66" hidden="1" customHeight="1">
      <c r="A144" s="433"/>
      <c r="B144" s="549" t="s">
        <v>2328</v>
      </c>
      <c r="C144" s="420"/>
      <c r="D144" s="420"/>
      <c r="E144" s="431"/>
      <c r="F144" s="422"/>
      <c r="G144" s="420"/>
      <c r="H144" s="422"/>
      <c r="I144" s="420"/>
      <c r="J144" s="420"/>
      <c r="K144" s="206"/>
      <c r="L144" s="206"/>
      <c r="M144" s="169"/>
      <c r="N144" s="169"/>
      <c r="O144" s="70"/>
      <c r="P144" s="70"/>
      <c r="Q144" s="70"/>
      <c r="R144" s="70"/>
      <c r="S144" s="70">
        <f t="shared" si="208"/>
        <v>0</v>
      </c>
      <c r="T144" s="70">
        <v>0</v>
      </c>
      <c r="U144" s="70"/>
      <c r="V144" s="70"/>
      <c r="W144" s="70"/>
      <c r="X144" s="70"/>
      <c r="Y144" s="70">
        <f t="shared" si="181"/>
        <v>16</v>
      </c>
      <c r="Z144" s="70"/>
      <c r="AA144" s="70"/>
      <c r="AB144" s="70">
        <f t="shared" si="182"/>
        <v>16</v>
      </c>
      <c r="AC144" s="70">
        <f t="shared" si="220"/>
        <v>0</v>
      </c>
      <c r="AD144" s="70"/>
      <c r="AE144" s="70"/>
      <c r="AF144" s="70">
        <v>16</v>
      </c>
      <c r="AG144" s="70"/>
      <c r="AH144" s="70">
        <f t="shared" si="209"/>
        <v>16</v>
      </c>
      <c r="AI144" s="70"/>
      <c r="AJ144" s="70"/>
      <c r="AK144" s="70">
        <f t="shared" si="210"/>
        <v>16</v>
      </c>
      <c r="AL144" s="70"/>
      <c r="AM144" s="70"/>
      <c r="AN144" s="70">
        <v>16</v>
      </c>
      <c r="AO144" s="70"/>
      <c r="AP144" s="70">
        <f t="shared" si="211"/>
        <v>16</v>
      </c>
      <c r="AQ144" s="70"/>
      <c r="AR144" s="70"/>
      <c r="AS144" s="70">
        <f t="shared" si="212"/>
        <v>16</v>
      </c>
      <c r="AT144" s="70"/>
      <c r="AU144" s="70"/>
      <c r="AV144" s="70">
        <v>16</v>
      </c>
      <c r="AW144" s="70"/>
      <c r="AX144" s="70">
        <f t="shared" si="213"/>
        <v>0</v>
      </c>
      <c r="AY144" s="70"/>
      <c r="AZ144" s="70"/>
      <c r="BA144" s="70">
        <f t="shared" si="214"/>
        <v>0</v>
      </c>
      <c r="BB144" s="67">
        <f t="shared" si="219"/>
        <v>0</v>
      </c>
      <c r="BC144" s="70"/>
      <c r="BD144" s="70"/>
      <c r="BE144" s="70">
        <v>0</v>
      </c>
      <c r="BF144" s="70"/>
      <c r="BG144" s="133">
        <f t="shared" si="215"/>
        <v>0</v>
      </c>
      <c r="BH144" s="133"/>
      <c r="BI144" s="133"/>
      <c r="BJ144" s="133">
        <f t="shared" si="216"/>
        <v>0</v>
      </c>
      <c r="BK144" s="133"/>
      <c r="BL144" s="133"/>
      <c r="BM144" s="133">
        <v>0</v>
      </c>
      <c r="BN144" s="133"/>
      <c r="BO144" s="133">
        <f t="shared" si="217"/>
        <v>0</v>
      </c>
      <c r="BP144" s="133"/>
      <c r="BQ144" s="133"/>
      <c r="BR144" s="133">
        <f t="shared" si="218"/>
        <v>0</v>
      </c>
      <c r="BS144" s="133"/>
      <c r="BT144" s="133"/>
      <c r="BU144" s="133"/>
      <c r="BV144" s="133"/>
      <c r="BW144" s="133">
        <v>0</v>
      </c>
      <c r="BX144" s="133">
        <v>0</v>
      </c>
      <c r="BY144" s="133"/>
      <c r="BZ144" s="434"/>
      <c r="CA144" s="424"/>
      <c r="CB144" s="424"/>
      <c r="CC144" s="424"/>
    </row>
    <row r="145" spans="1:81" ht="66" hidden="1" customHeight="1">
      <c r="A145" s="433"/>
      <c r="B145" s="549" t="s">
        <v>2329</v>
      </c>
      <c r="C145" s="420"/>
      <c r="D145" s="420"/>
      <c r="E145" s="431"/>
      <c r="F145" s="422"/>
      <c r="G145" s="420"/>
      <c r="H145" s="422"/>
      <c r="I145" s="420"/>
      <c r="J145" s="420"/>
      <c r="K145" s="206"/>
      <c r="L145" s="206"/>
      <c r="M145" s="169"/>
      <c r="N145" s="169"/>
      <c r="O145" s="70"/>
      <c r="P145" s="70"/>
      <c r="Q145" s="70"/>
      <c r="R145" s="70"/>
      <c r="S145" s="70">
        <f t="shared" si="208"/>
        <v>0</v>
      </c>
      <c r="T145" s="70">
        <v>0</v>
      </c>
      <c r="U145" s="70"/>
      <c r="V145" s="70"/>
      <c r="W145" s="70"/>
      <c r="X145" s="70"/>
      <c r="Y145" s="70">
        <f t="shared" si="181"/>
        <v>16</v>
      </c>
      <c r="Z145" s="70"/>
      <c r="AA145" s="70"/>
      <c r="AB145" s="70">
        <f t="shared" si="182"/>
        <v>16</v>
      </c>
      <c r="AC145" s="70">
        <f t="shared" si="220"/>
        <v>0</v>
      </c>
      <c r="AD145" s="70"/>
      <c r="AE145" s="70"/>
      <c r="AF145" s="70">
        <v>16</v>
      </c>
      <c r="AG145" s="70"/>
      <c r="AH145" s="70">
        <f t="shared" si="209"/>
        <v>16</v>
      </c>
      <c r="AI145" s="70"/>
      <c r="AJ145" s="70"/>
      <c r="AK145" s="70">
        <f t="shared" si="210"/>
        <v>16</v>
      </c>
      <c r="AL145" s="70"/>
      <c r="AM145" s="70"/>
      <c r="AN145" s="70">
        <v>16</v>
      </c>
      <c r="AO145" s="70"/>
      <c r="AP145" s="70">
        <f t="shared" si="211"/>
        <v>16</v>
      </c>
      <c r="AQ145" s="70"/>
      <c r="AR145" s="70"/>
      <c r="AS145" s="70">
        <f t="shared" si="212"/>
        <v>16</v>
      </c>
      <c r="AT145" s="70"/>
      <c r="AU145" s="70"/>
      <c r="AV145" s="70">
        <v>16</v>
      </c>
      <c r="AW145" s="70"/>
      <c r="AX145" s="70">
        <f t="shared" si="213"/>
        <v>0</v>
      </c>
      <c r="AY145" s="70"/>
      <c r="AZ145" s="70"/>
      <c r="BA145" s="70">
        <f t="shared" si="214"/>
        <v>0</v>
      </c>
      <c r="BB145" s="67">
        <f t="shared" si="219"/>
        <v>0</v>
      </c>
      <c r="BC145" s="70"/>
      <c r="BD145" s="70"/>
      <c r="BE145" s="70">
        <v>0</v>
      </c>
      <c r="BF145" s="70"/>
      <c r="BG145" s="133">
        <f t="shared" si="215"/>
        <v>0</v>
      </c>
      <c r="BH145" s="133"/>
      <c r="BI145" s="133"/>
      <c r="BJ145" s="133">
        <f t="shared" si="216"/>
        <v>0</v>
      </c>
      <c r="BK145" s="133"/>
      <c r="BL145" s="133"/>
      <c r="BM145" s="133">
        <v>0</v>
      </c>
      <c r="BN145" s="133"/>
      <c r="BO145" s="133">
        <f t="shared" si="217"/>
        <v>0</v>
      </c>
      <c r="BP145" s="133"/>
      <c r="BQ145" s="133"/>
      <c r="BR145" s="133">
        <f t="shared" si="218"/>
        <v>0</v>
      </c>
      <c r="BS145" s="133"/>
      <c r="BT145" s="133"/>
      <c r="BU145" s="133"/>
      <c r="BV145" s="133"/>
      <c r="BW145" s="133">
        <v>0</v>
      </c>
      <c r="BX145" s="133">
        <v>0</v>
      </c>
      <c r="BY145" s="133"/>
      <c r="BZ145" s="434"/>
      <c r="CA145" s="424"/>
      <c r="CB145" s="424"/>
      <c r="CC145" s="424"/>
    </row>
    <row r="146" spans="1:81" ht="75" hidden="1" customHeight="1">
      <c r="A146" s="433"/>
      <c r="B146" s="549" t="s">
        <v>2330</v>
      </c>
      <c r="C146" s="420"/>
      <c r="D146" s="420"/>
      <c r="E146" s="431"/>
      <c r="F146" s="422"/>
      <c r="G146" s="420"/>
      <c r="H146" s="422"/>
      <c r="I146" s="420"/>
      <c r="J146" s="420"/>
      <c r="K146" s="206"/>
      <c r="L146" s="206"/>
      <c r="M146" s="169"/>
      <c r="N146" s="169"/>
      <c r="O146" s="70"/>
      <c r="P146" s="70"/>
      <c r="Q146" s="70"/>
      <c r="R146" s="70"/>
      <c r="S146" s="70">
        <f t="shared" si="208"/>
        <v>0</v>
      </c>
      <c r="T146" s="70">
        <v>0</v>
      </c>
      <c r="U146" s="70"/>
      <c r="V146" s="70"/>
      <c r="W146" s="70"/>
      <c r="X146" s="70"/>
      <c r="Y146" s="70">
        <f t="shared" si="181"/>
        <v>5501.8</v>
      </c>
      <c r="Z146" s="70"/>
      <c r="AA146" s="70"/>
      <c r="AB146" s="70">
        <f t="shared" si="182"/>
        <v>5501.8</v>
      </c>
      <c r="AC146" s="70">
        <f t="shared" si="220"/>
        <v>0</v>
      </c>
      <c r="AD146" s="70"/>
      <c r="AE146" s="70"/>
      <c r="AF146" s="70">
        <f>62.3+5439.5</f>
        <v>5501.8</v>
      </c>
      <c r="AG146" s="70"/>
      <c r="AH146" s="70">
        <f t="shared" si="209"/>
        <v>0</v>
      </c>
      <c r="AI146" s="70"/>
      <c r="AJ146" s="70"/>
      <c r="AK146" s="70">
        <f t="shared" si="210"/>
        <v>0</v>
      </c>
      <c r="AL146" s="70"/>
      <c r="AM146" s="70"/>
      <c r="AN146" s="70">
        <v>0</v>
      </c>
      <c r="AO146" s="70"/>
      <c r="AP146" s="70">
        <f t="shared" si="211"/>
        <v>0</v>
      </c>
      <c r="AQ146" s="70"/>
      <c r="AR146" s="70"/>
      <c r="AS146" s="70">
        <f t="shared" si="212"/>
        <v>0</v>
      </c>
      <c r="AT146" s="70"/>
      <c r="AU146" s="70"/>
      <c r="AV146" s="70">
        <v>0</v>
      </c>
      <c r="AW146" s="70"/>
      <c r="AX146" s="70">
        <f t="shared" si="213"/>
        <v>5501.8</v>
      </c>
      <c r="AY146" s="70"/>
      <c r="AZ146" s="70"/>
      <c r="BA146" s="70">
        <f t="shared" si="214"/>
        <v>5501.8</v>
      </c>
      <c r="BB146" s="67">
        <f t="shared" si="219"/>
        <v>0</v>
      </c>
      <c r="BC146" s="70"/>
      <c r="BD146" s="70"/>
      <c r="BE146" s="70">
        <f>62.3+5439.5</f>
        <v>5501.8</v>
      </c>
      <c r="BF146" s="70"/>
      <c r="BG146" s="133">
        <f t="shared" si="215"/>
        <v>5501.8</v>
      </c>
      <c r="BH146" s="133"/>
      <c r="BI146" s="133"/>
      <c r="BJ146" s="133">
        <f t="shared" si="216"/>
        <v>5501.8</v>
      </c>
      <c r="BK146" s="133"/>
      <c r="BL146" s="133"/>
      <c r="BM146" s="133">
        <f>62.3+5439.5</f>
        <v>5501.8</v>
      </c>
      <c r="BN146" s="133"/>
      <c r="BO146" s="133">
        <f t="shared" si="217"/>
        <v>0</v>
      </c>
      <c r="BP146" s="133"/>
      <c r="BQ146" s="133"/>
      <c r="BR146" s="133">
        <f t="shared" si="218"/>
        <v>0</v>
      </c>
      <c r="BS146" s="133"/>
      <c r="BT146" s="133"/>
      <c r="BU146" s="133"/>
      <c r="BV146" s="133"/>
      <c r="BW146" s="133">
        <v>0</v>
      </c>
      <c r="BX146" s="133">
        <v>0</v>
      </c>
      <c r="BY146" s="133"/>
      <c r="BZ146" s="434"/>
      <c r="CA146" s="424"/>
      <c r="CB146" s="424"/>
      <c r="CC146" s="424"/>
    </row>
    <row r="147" spans="1:81" ht="30.75" hidden="1">
      <c r="A147" s="433"/>
      <c r="B147" s="549" t="s">
        <v>2331</v>
      </c>
      <c r="C147" s="420"/>
      <c r="D147" s="420"/>
      <c r="E147" s="431"/>
      <c r="F147" s="422"/>
      <c r="G147" s="420"/>
      <c r="H147" s="422"/>
      <c r="I147" s="420"/>
      <c r="J147" s="420"/>
      <c r="K147" s="206"/>
      <c r="L147" s="206"/>
      <c r="M147" s="169"/>
      <c r="N147" s="169"/>
      <c r="O147" s="70"/>
      <c r="P147" s="70"/>
      <c r="Q147" s="70"/>
      <c r="R147" s="70"/>
      <c r="S147" s="70">
        <f t="shared" ref="S147" si="221">SUM(T147:V147)</f>
        <v>0</v>
      </c>
      <c r="T147" s="70">
        <v>0</v>
      </c>
      <c r="U147" s="70"/>
      <c r="V147" s="70"/>
      <c r="W147" s="70"/>
      <c r="X147" s="70"/>
      <c r="Y147" s="70">
        <f t="shared" si="181"/>
        <v>728</v>
      </c>
      <c r="Z147" s="70"/>
      <c r="AA147" s="70"/>
      <c r="AB147" s="70">
        <f t="shared" si="182"/>
        <v>728</v>
      </c>
      <c r="AC147" s="70">
        <f t="shared" si="220"/>
        <v>0</v>
      </c>
      <c r="AD147" s="70"/>
      <c r="AE147" s="70"/>
      <c r="AF147" s="70">
        <v>728</v>
      </c>
      <c r="AG147" s="70"/>
      <c r="AH147" s="70">
        <f t="shared" si="209"/>
        <v>0</v>
      </c>
      <c r="AI147" s="70"/>
      <c r="AJ147" s="70"/>
      <c r="AK147" s="70">
        <f t="shared" si="210"/>
        <v>0</v>
      </c>
      <c r="AL147" s="70"/>
      <c r="AM147" s="70"/>
      <c r="AN147" s="70">
        <v>0</v>
      </c>
      <c r="AO147" s="70"/>
      <c r="AP147" s="70">
        <f t="shared" si="211"/>
        <v>0</v>
      </c>
      <c r="AQ147" s="70"/>
      <c r="AR147" s="70"/>
      <c r="AS147" s="70">
        <f t="shared" si="212"/>
        <v>0</v>
      </c>
      <c r="AT147" s="70"/>
      <c r="AU147" s="70"/>
      <c r="AV147" s="70">
        <v>0</v>
      </c>
      <c r="AW147" s="70"/>
      <c r="AX147" s="70">
        <f t="shared" si="213"/>
        <v>728</v>
      </c>
      <c r="AY147" s="70"/>
      <c r="AZ147" s="70"/>
      <c r="BA147" s="70">
        <f t="shared" si="214"/>
        <v>728</v>
      </c>
      <c r="BB147" s="67">
        <f t="shared" si="219"/>
        <v>0</v>
      </c>
      <c r="BC147" s="70"/>
      <c r="BD147" s="70"/>
      <c r="BE147" s="70">
        <v>728</v>
      </c>
      <c r="BF147" s="70"/>
      <c r="BG147" s="133">
        <f t="shared" si="215"/>
        <v>728</v>
      </c>
      <c r="BH147" s="133"/>
      <c r="BI147" s="133"/>
      <c r="BJ147" s="133">
        <f t="shared" si="216"/>
        <v>728</v>
      </c>
      <c r="BK147" s="133"/>
      <c r="BL147" s="133"/>
      <c r="BM147" s="133">
        <v>728</v>
      </c>
      <c r="BN147" s="133"/>
      <c r="BO147" s="133">
        <f t="shared" si="217"/>
        <v>0</v>
      </c>
      <c r="BP147" s="133"/>
      <c r="BQ147" s="133"/>
      <c r="BR147" s="133">
        <f t="shared" si="218"/>
        <v>0</v>
      </c>
      <c r="BS147" s="133"/>
      <c r="BT147" s="133"/>
      <c r="BU147" s="133"/>
      <c r="BV147" s="133"/>
      <c r="BW147" s="133">
        <v>0</v>
      </c>
      <c r="BX147" s="133">
        <v>0</v>
      </c>
      <c r="BY147" s="133"/>
      <c r="BZ147" s="434"/>
      <c r="CA147" s="424"/>
      <c r="CB147" s="424"/>
      <c r="CC147" s="424"/>
    </row>
    <row r="148" spans="1:81" ht="26.25" hidden="1" customHeight="1">
      <c r="A148" s="433" t="s">
        <v>2332</v>
      </c>
      <c r="B148" s="549" t="s">
        <v>9</v>
      </c>
      <c r="C148" s="420"/>
      <c r="D148" s="420"/>
      <c r="E148" s="431"/>
      <c r="F148" s="422"/>
      <c r="G148" s="420"/>
      <c r="H148" s="422"/>
      <c r="I148" s="420"/>
      <c r="J148" s="420"/>
      <c r="K148" s="206"/>
      <c r="L148" s="206"/>
      <c r="M148" s="169"/>
      <c r="N148" s="169"/>
      <c r="O148" s="70"/>
      <c r="P148" s="70"/>
      <c r="Q148" s="70"/>
      <c r="R148" s="70"/>
      <c r="S148" s="70"/>
      <c r="T148" s="70"/>
      <c r="U148" s="70"/>
      <c r="V148" s="70"/>
      <c r="W148" s="70"/>
      <c r="X148" s="70"/>
      <c r="Y148" s="70"/>
      <c r="Z148" s="70"/>
      <c r="AA148" s="70"/>
      <c r="AB148" s="70"/>
      <c r="AC148" s="70">
        <f t="shared" si="220"/>
        <v>0</v>
      </c>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67">
        <f t="shared" si="219"/>
        <v>0</v>
      </c>
      <c r="BC148" s="70"/>
      <c r="BD148" s="70"/>
      <c r="BE148" s="70"/>
      <c r="BF148" s="70"/>
      <c r="BG148" s="133"/>
      <c r="BH148" s="133"/>
      <c r="BI148" s="133"/>
      <c r="BJ148" s="133"/>
      <c r="BK148" s="133"/>
      <c r="BL148" s="133"/>
      <c r="BM148" s="133"/>
      <c r="BN148" s="133"/>
      <c r="BO148" s="133"/>
      <c r="BP148" s="133"/>
      <c r="BQ148" s="133"/>
      <c r="BR148" s="133"/>
      <c r="BS148" s="133"/>
      <c r="BT148" s="133"/>
      <c r="BU148" s="133"/>
      <c r="BV148" s="133"/>
      <c r="BW148" s="133"/>
      <c r="BX148" s="133"/>
      <c r="BY148" s="133"/>
      <c r="BZ148" s="434"/>
      <c r="CA148" s="424"/>
      <c r="CB148" s="424"/>
      <c r="CC148" s="424"/>
    </row>
    <row r="149" spans="1:81" ht="36.75" customHeight="1">
      <c r="A149" s="477" t="s">
        <v>62</v>
      </c>
      <c r="B149" s="418" t="s">
        <v>3637</v>
      </c>
      <c r="C149" s="191"/>
      <c r="D149" s="478"/>
      <c r="E149" s="191"/>
      <c r="F149" s="191"/>
      <c r="G149" s="191"/>
      <c r="H149" s="191"/>
      <c r="I149" s="479"/>
      <c r="J149" s="479"/>
      <c r="K149" s="478"/>
      <c r="L149" s="478"/>
      <c r="M149" s="303"/>
      <c r="N149" s="303"/>
      <c r="O149" s="303"/>
      <c r="P149" s="303"/>
      <c r="Q149" s="303"/>
      <c r="R149" s="303"/>
      <c r="S149" s="303"/>
      <c r="T149" s="303"/>
      <c r="U149" s="303"/>
      <c r="V149" s="303"/>
      <c r="W149" s="303"/>
      <c r="X149" s="303"/>
      <c r="Y149" s="303" t="e">
        <f>Y150+#REF!+Y151</f>
        <v>#REF!</v>
      </c>
      <c r="Z149" s="303" t="e">
        <f>Z150+#REF!+Z151</f>
        <v>#REF!</v>
      </c>
      <c r="AA149" s="303" t="e">
        <f>AA150+#REF!+AA151</f>
        <v>#REF!</v>
      </c>
      <c r="AB149" s="303">
        <f>AB150+AB151</f>
        <v>22014.165756000002</v>
      </c>
      <c r="AC149" s="303">
        <f t="shared" ref="AC149:BF149" si="222">AC150+AC151</f>
        <v>0</v>
      </c>
      <c r="AD149" s="303">
        <f t="shared" si="222"/>
        <v>0</v>
      </c>
      <c r="AE149" s="303">
        <f t="shared" si="222"/>
        <v>0</v>
      </c>
      <c r="AF149" s="303">
        <f t="shared" si="222"/>
        <v>22014.165756000002</v>
      </c>
      <c r="AG149" s="303">
        <f t="shared" si="222"/>
        <v>0</v>
      </c>
      <c r="AH149" s="303">
        <f t="shared" si="222"/>
        <v>0</v>
      </c>
      <c r="AI149" s="303">
        <f t="shared" si="222"/>
        <v>0</v>
      </c>
      <c r="AJ149" s="303">
        <f t="shared" si="222"/>
        <v>0</v>
      </c>
      <c r="AK149" s="303">
        <f t="shared" si="222"/>
        <v>13846</v>
      </c>
      <c r="AL149" s="303">
        <f t="shared" si="222"/>
        <v>0</v>
      </c>
      <c r="AM149" s="303">
        <f t="shared" si="222"/>
        <v>0</v>
      </c>
      <c r="AN149" s="303">
        <f t="shared" si="222"/>
        <v>13846</v>
      </c>
      <c r="AO149" s="303">
        <f t="shared" si="222"/>
        <v>0</v>
      </c>
      <c r="AP149" s="303">
        <f t="shared" si="222"/>
        <v>0</v>
      </c>
      <c r="AQ149" s="303">
        <f t="shared" si="222"/>
        <v>0</v>
      </c>
      <c r="AR149" s="303">
        <f t="shared" si="222"/>
        <v>0</v>
      </c>
      <c r="AS149" s="303">
        <f t="shared" si="222"/>
        <v>0</v>
      </c>
      <c r="AT149" s="303">
        <f t="shared" si="222"/>
        <v>0</v>
      </c>
      <c r="AU149" s="303">
        <f t="shared" si="222"/>
        <v>0</v>
      </c>
      <c r="AV149" s="303">
        <f t="shared" si="222"/>
        <v>0</v>
      </c>
      <c r="AW149" s="303">
        <f t="shared" si="222"/>
        <v>0</v>
      </c>
      <c r="AX149" s="303">
        <f t="shared" si="222"/>
        <v>0</v>
      </c>
      <c r="AY149" s="303">
        <f t="shared" si="222"/>
        <v>0</v>
      </c>
      <c r="AZ149" s="303">
        <f t="shared" si="222"/>
        <v>0</v>
      </c>
      <c r="BA149" s="303">
        <f t="shared" si="222"/>
        <v>18635.150000000001</v>
      </c>
      <c r="BB149" s="303">
        <f t="shared" si="222"/>
        <v>0</v>
      </c>
      <c r="BC149" s="303">
        <f t="shared" si="222"/>
        <v>0</v>
      </c>
      <c r="BD149" s="303">
        <f t="shared" si="222"/>
        <v>0</v>
      </c>
      <c r="BE149" s="303">
        <f t="shared" si="222"/>
        <v>18635.150000000001</v>
      </c>
      <c r="BF149" s="303">
        <f t="shared" si="222"/>
        <v>0</v>
      </c>
      <c r="BG149" s="479" t="e">
        <f>BG150+#REF!+BG151</f>
        <v>#REF!</v>
      </c>
      <c r="BH149" s="479" t="e">
        <f>BH150+#REF!+BH151</f>
        <v>#REF!</v>
      </c>
      <c r="BI149" s="479" t="e">
        <f>BI150+#REF!+BI151</f>
        <v>#REF!</v>
      </c>
      <c r="BJ149" s="479" t="e">
        <f>BJ150+#REF!+BJ151</f>
        <v>#REF!</v>
      </c>
      <c r="BK149" s="479" t="e">
        <f>BK150+#REF!+BK151</f>
        <v>#REF!</v>
      </c>
      <c r="BL149" s="479" t="e">
        <f>BL150+#REF!+BL151</f>
        <v>#REF!</v>
      </c>
      <c r="BM149" s="479" t="e">
        <f>BM150+#REF!+BM151</f>
        <v>#REF!</v>
      </c>
      <c r="BN149" s="479" t="e">
        <f>BN150+#REF!+BN151</f>
        <v>#REF!</v>
      </c>
      <c r="BO149" s="479" t="e">
        <f>BO150+#REF!+BO151</f>
        <v>#REF!</v>
      </c>
      <c r="BP149" s="479" t="e">
        <f>BP150+#REF!+BP151</f>
        <v>#REF!</v>
      </c>
      <c r="BQ149" s="479" t="e">
        <f>BQ150+#REF!+BQ151</f>
        <v>#REF!</v>
      </c>
      <c r="BR149" s="479" t="e">
        <f>BR150+#REF!+BR151</f>
        <v>#REF!</v>
      </c>
      <c r="BS149" s="479" t="e">
        <f>BS150+#REF!+BS151</f>
        <v>#REF!</v>
      </c>
      <c r="BT149" s="479" t="e">
        <f>BT150+#REF!+BT151</f>
        <v>#REF!</v>
      </c>
      <c r="BU149" s="479" t="e">
        <f>BU150+#REF!+BU151</f>
        <v>#REF!</v>
      </c>
      <c r="BV149" s="479" t="e">
        <f>BV150+#REF!+BV151</f>
        <v>#REF!</v>
      </c>
      <c r="BW149" s="479" t="e">
        <f>BW150+#REF!</f>
        <v>#REF!</v>
      </c>
      <c r="BX149" s="479" t="e">
        <f>BX150+#REF!</f>
        <v>#REF!</v>
      </c>
      <c r="BY149" s="479" t="e">
        <f>BY150+#REF!</f>
        <v>#REF!</v>
      </c>
      <c r="BZ149" s="479" t="e">
        <f>BZ150+#REF!</f>
        <v>#REF!</v>
      </c>
      <c r="CA149" s="479"/>
      <c r="CB149" s="479"/>
      <c r="CC149" s="479"/>
    </row>
    <row r="150" spans="1:81" ht="46.15" outlineLevel="1">
      <c r="A150" s="550">
        <v>1</v>
      </c>
      <c r="B150" s="549" t="s">
        <v>2333</v>
      </c>
      <c r="C150" s="420"/>
      <c r="D150" s="420"/>
      <c r="E150" s="420"/>
      <c r="F150" s="431"/>
      <c r="G150" s="422"/>
      <c r="H150" s="420"/>
      <c r="I150" s="420"/>
      <c r="J150" s="422"/>
      <c r="K150" s="420"/>
      <c r="L150" s="420"/>
      <c r="M150" s="169"/>
      <c r="N150" s="169">
        <v>0</v>
      </c>
      <c r="O150" s="169">
        <v>0</v>
      </c>
      <c r="P150" s="169"/>
      <c r="Q150" s="70"/>
      <c r="R150" s="70"/>
      <c r="S150" s="169"/>
      <c r="T150" s="70"/>
      <c r="U150" s="70"/>
      <c r="V150" s="70"/>
      <c r="W150" s="70"/>
      <c r="X150" s="70"/>
      <c r="Y150" s="70">
        <f t="shared" ref="Y150" si="223">SUM(Z150:AB150)</f>
        <v>16900</v>
      </c>
      <c r="Z150" s="70"/>
      <c r="AA150" s="70"/>
      <c r="AB150" s="70">
        <f>SUM(AD150:AG150)</f>
        <v>16900</v>
      </c>
      <c r="AC150" s="70">
        <f t="shared" si="220"/>
        <v>0</v>
      </c>
      <c r="AD150" s="70"/>
      <c r="AE150" s="70"/>
      <c r="AF150" s="70">
        <v>16900</v>
      </c>
      <c r="AG150" s="70"/>
      <c r="AH150" s="70"/>
      <c r="AI150" s="70"/>
      <c r="AJ150" s="70"/>
      <c r="AK150" s="70">
        <f t="shared" ref="AK150" si="224">SUM(AL150:AO150)</f>
        <v>13846</v>
      </c>
      <c r="AL150" s="70"/>
      <c r="AM150" s="70"/>
      <c r="AN150" s="70">
        <v>13846</v>
      </c>
      <c r="AO150" s="70"/>
      <c r="AP150" s="70"/>
      <c r="AQ150" s="70"/>
      <c r="AR150" s="70"/>
      <c r="AS150" s="70"/>
      <c r="AT150" s="70"/>
      <c r="AU150" s="70"/>
      <c r="AV150" s="70"/>
      <c r="AW150" s="70"/>
      <c r="AX150" s="70"/>
      <c r="AY150" s="70"/>
      <c r="AZ150" s="70"/>
      <c r="BA150" s="70">
        <f t="shared" ref="BA150" si="225">SUM(BC150:BF150)</f>
        <v>4500</v>
      </c>
      <c r="BB150" s="67">
        <f t="shared" si="219"/>
        <v>0</v>
      </c>
      <c r="BC150" s="70"/>
      <c r="BD150" s="70"/>
      <c r="BE150" s="70">
        <v>4500</v>
      </c>
      <c r="BF150" s="70"/>
      <c r="BG150" s="133"/>
      <c r="BH150" s="133"/>
      <c r="BI150" s="133"/>
      <c r="BJ150" s="133"/>
      <c r="BK150" s="133"/>
      <c r="BL150" s="133"/>
      <c r="BM150" s="133"/>
      <c r="BN150" s="133"/>
      <c r="BO150" s="133"/>
      <c r="BP150" s="133"/>
      <c r="BQ150" s="133"/>
      <c r="BR150" s="133"/>
      <c r="BS150" s="133"/>
      <c r="BT150" s="133"/>
      <c r="BU150" s="133"/>
      <c r="BV150" s="133"/>
      <c r="BW150" s="133"/>
      <c r="BX150" s="133"/>
      <c r="BY150" s="133"/>
      <c r="BZ150" s="133"/>
      <c r="CA150" s="133"/>
      <c r="CB150" s="133"/>
      <c r="CC150" s="133" t="s">
        <v>1219</v>
      </c>
    </row>
    <row r="151" spans="1:81" ht="33" customHeight="1" outlineLevel="1">
      <c r="A151" s="561">
        <v>2</v>
      </c>
      <c r="B151" s="562" t="s">
        <v>1220</v>
      </c>
      <c r="C151" s="563"/>
      <c r="D151" s="563"/>
      <c r="E151" s="563"/>
      <c r="F151" s="564"/>
      <c r="G151" s="565"/>
      <c r="H151" s="563"/>
      <c r="I151" s="563"/>
      <c r="J151" s="565"/>
      <c r="K151" s="563"/>
      <c r="L151" s="563"/>
      <c r="M151" s="366"/>
      <c r="N151" s="366">
        <v>0</v>
      </c>
      <c r="O151" s="366">
        <v>0</v>
      </c>
      <c r="P151" s="366"/>
      <c r="Q151" s="205"/>
      <c r="R151" s="205"/>
      <c r="S151" s="366"/>
      <c r="T151" s="205"/>
      <c r="U151" s="205"/>
      <c r="V151" s="205"/>
      <c r="W151" s="205"/>
      <c r="X151" s="205"/>
      <c r="Y151" s="205">
        <f t="shared" ref="Y151" si="226">SUM(Z151:AB151)</f>
        <v>5114.1657560000021</v>
      </c>
      <c r="Z151" s="205"/>
      <c r="AA151" s="205"/>
      <c r="AB151" s="205">
        <f t="shared" ref="AB151" si="227">SUM(AD151:AG151)</f>
        <v>5114.1657560000021</v>
      </c>
      <c r="AC151" s="205">
        <f t="shared" si="220"/>
        <v>0</v>
      </c>
      <c r="AD151" s="205"/>
      <c r="AE151" s="205"/>
      <c r="AF151" s="205">
        <f>23000-AF16-AF100+2729</f>
        <v>5114.1657560000021</v>
      </c>
      <c r="AG151" s="205"/>
      <c r="AH151" s="205"/>
      <c r="AI151" s="205"/>
      <c r="AJ151" s="205"/>
      <c r="AK151" s="205">
        <f t="shared" ref="AK151" si="228">SUM(AL151:AO151)</f>
        <v>0</v>
      </c>
      <c r="AL151" s="205"/>
      <c r="AM151" s="205"/>
      <c r="AN151" s="205"/>
      <c r="AO151" s="205"/>
      <c r="AP151" s="205"/>
      <c r="AQ151" s="205"/>
      <c r="AR151" s="205"/>
      <c r="AS151" s="205"/>
      <c r="AT151" s="205"/>
      <c r="AU151" s="205"/>
      <c r="AV151" s="205"/>
      <c r="AW151" s="205"/>
      <c r="AX151" s="205"/>
      <c r="AY151" s="205"/>
      <c r="AZ151" s="205"/>
      <c r="BA151" s="205">
        <f t="shared" ref="BA151" si="229">SUM(BC151:BF151)</f>
        <v>14135.15</v>
      </c>
      <c r="BB151" s="257">
        <f t="shared" si="219"/>
        <v>0</v>
      </c>
      <c r="BC151" s="205"/>
      <c r="BD151" s="205"/>
      <c r="BE151" s="205">
        <f>12000+9300-BE100-BE16+930</f>
        <v>14135.15</v>
      </c>
      <c r="BF151" s="205"/>
      <c r="BG151" s="367"/>
      <c r="BH151" s="367"/>
      <c r="BI151" s="367"/>
      <c r="BJ151" s="367"/>
      <c r="BK151" s="367"/>
      <c r="BL151" s="367"/>
      <c r="BM151" s="367"/>
      <c r="BN151" s="367"/>
      <c r="BO151" s="367"/>
      <c r="BP151" s="367"/>
      <c r="BQ151" s="367"/>
      <c r="BR151" s="367"/>
      <c r="BS151" s="367"/>
      <c r="BT151" s="367"/>
      <c r="BU151" s="367"/>
      <c r="BV151" s="367"/>
      <c r="BW151" s="367"/>
      <c r="BX151" s="367"/>
      <c r="BY151" s="367"/>
      <c r="BZ151" s="367"/>
      <c r="CA151" s="367"/>
      <c r="CB151" s="367"/>
      <c r="CC151" s="566"/>
    </row>
    <row r="152" spans="1:81" ht="34.5" customHeight="1">
      <c r="A152" s="841" t="s">
        <v>3689</v>
      </c>
      <c r="B152" s="842"/>
      <c r="C152" s="842"/>
      <c r="D152" s="842"/>
      <c r="E152" s="842"/>
      <c r="F152" s="842"/>
      <c r="G152" s="842"/>
      <c r="H152" s="842"/>
      <c r="I152" s="842"/>
      <c r="J152" s="842"/>
      <c r="K152" s="842"/>
      <c r="L152" s="842"/>
      <c r="M152" s="842"/>
      <c r="N152" s="842"/>
      <c r="O152" s="842"/>
      <c r="P152" s="842"/>
      <c r="Q152" s="842"/>
      <c r="R152" s="842"/>
      <c r="S152" s="842"/>
      <c r="T152" s="842"/>
      <c r="U152" s="842"/>
      <c r="V152" s="842"/>
      <c r="W152" s="842"/>
      <c r="X152" s="842"/>
      <c r="Y152" s="842"/>
      <c r="Z152" s="842"/>
      <c r="AA152" s="842"/>
      <c r="AB152" s="842"/>
      <c r="AC152" s="842"/>
      <c r="AD152" s="842"/>
      <c r="AE152" s="842"/>
      <c r="AF152" s="842"/>
      <c r="AG152" s="842"/>
      <c r="AH152" s="842"/>
      <c r="AI152" s="842"/>
      <c r="AJ152" s="842"/>
      <c r="AK152" s="842"/>
      <c r="AL152" s="842"/>
      <c r="AM152" s="842"/>
      <c r="AN152" s="842"/>
      <c r="AO152" s="842"/>
      <c r="AP152" s="842"/>
      <c r="AQ152" s="842"/>
      <c r="AR152" s="842"/>
      <c r="AS152" s="842"/>
      <c r="AT152" s="842"/>
      <c r="AU152" s="842"/>
      <c r="AV152" s="842"/>
      <c r="AW152" s="842"/>
      <c r="AX152" s="842"/>
      <c r="AY152" s="842"/>
      <c r="AZ152" s="842"/>
      <c r="BA152" s="842"/>
      <c r="BB152" s="842"/>
      <c r="BC152" s="842"/>
      <c r="BD152" s="842"/>
      <c r="BE152" s="842"/>
      <c r="BF152" s="842"/>
      <c r="BG152" s="842"/>
      <c r="BH152" s="842"/>
      <c r="BI152" s="842"/>
      <c r="BJ152" s="842"/>
      <c r="BK152" s="842"/>
      <c r="BL152" s="842"/>
      <c r="BM152" s="842"/>
      <c r="BN152" s="842"/>
      <c r="BO152" s="842"/>
      <c r="BP152" s="842"/>
      <c r="BQ152" s="842"/>
      <c r="BR152" s="842"/>
      <c r="BS152" s="842"/>
      <c r="BT152" s="842"/>
      <c r="BU152" s="842"/>
      <c r="BV152" s="842"/>
      <c r="BW152" s="842"/>
      <c r="BX152" s="842"/>
      <c r="BY152" s="842"/>
      <c r="BZ152" s="90"/>
      <c r="CA152" s="90"/>
      <c r="CB152" s="90"/>
      <c r="CC152" s="90"/>
    </row>
    <row r="153" spans="1:81" ht="21.75" customHeight="1">
      <c r="A153" s="842"/>
      <c r="B153" s="842"/>
      <c r="C153" s="842"/>
      <c r="D153" s="842"/>
      <c r="E153" s="842"/>
      <c r="F153" s="842"/>
      <c r="G153" s="842"/>
      <c r="H153" s="842"/>
      <c r="I153" s="842"/>
      <c r="J153" s="842"/>
      <c r="K153" s="842"/>
      <c r="L153" s="842"/>
      <c r="M153" s="842"/>
      <c r="N153" s="842"/>
      <c r="O153" s="842"/>
      <c r="P153" s="842"/>
      <c r="Q153" s="842"/>
      <c r="R153" s="842"/>
      <c r="S153" s="842"/>
      <c r="T153" s="842"/>
      <c r="U153" s="842"/>
      <c r="V153" s="842"/>
      <c r="W153" s="842"/>
      <c r="X153" s="842"/>
      <c r="Y153" s="842"/>
      <c r="Z153" s="842"/>
      <c r="AA153" s="842"/>
      <c r="AB153" s="842"/>
      <c r="AC153" s="842"/>
      <c r="AD153" s="842"/>
      <c r="AE153" s="842"/>
      <c r="AF153" s="842"/>
      <c r="AG153" s="842"/>
      <c r="AH153" s="842"/>
      <c r="AI153" s="842"/>
      <c r="AJ153" s="842"/>
      <c r="AK153" s="842"/>
      <c r="AL153" s="842"/>
      <c r="AM153" s="842"/>
      <c r="AN153" s="842"/>
      <c r="AO153" s="842"/>
      <c r="AP153" s="842"/>
      <c r="AQ153" s="842"/>
      <c r="AR153" s="842"/>
      <c r="AS153" s="842"/>
      <c r="AT153" s="842"/>
      <c r="AU153" s="842"/>
      <c r="AV153" s="842"/>
      <c r="AW153" s="842"/>
      <c r="AX153" s="842"/>
      <c r="AY153" s="842"/>
      <c r="AZ153" s="842"/>
      <c r="BA153" s="842"/>
      <c r="BB153" s="842"/>
      <c r="BC153" s="842"/>
      <c r="BD153" s="842"/>
      <c r="BE153" s="842"/>
      <c r="BF153" s="842"/>
      <c r="BG153" s="842"/>
      <c r="BH153" s="842"/>
      <c r="BI153" s="842"/>
      <c r="BJ153" s="842"/>
      <c r="BK153" s="842"/>
      <c r="BL153" s="842"/>
      <c r="BM153" s="842"/>
      <c r="BN153" s="842"/>
      <c r="BO153" s="842"/>
      <c r="BP153" s="842"/>
      <c r="BQ153" s="842"/>
      <c r="BR153" s="842"/>
      <c r="BS153" s="842"/>
      <c r="BT153" s="842"/>
      <c r="BU153" s="842"/>
      <c r="BV153" s="842"/>
      <c r="BW153" s="842"/>
      <c r="BX153" s="842"/>
      <c r="BY153" s="842"/>
      <c r="BZ153" s="90"/>
      <c r="CA153" s="90"/>
      <c r="CB153" s="90"/>
      <c r="CC153" s="90"/>
    </row>
  </sheetData>
  <mergeCells count="100">
    <mergeCell ref="BE6:CC6"/>
    <mergeCell ref="CB7:CB11"/>
    <mergeCell ref="A7:A11"/>
    <mergeCell ref="B7:B11"/>
    <mergeCell ref="C7:C11"/>
    <mergeCell ref="D7:D11"/>
    <mergeCell ref="E7:E11"/>
    <mergeCell ref="AA9:AA11"/>
    <mergeCell ref="AC9:AC11"/>
    <mergeCell ref="F7:F11"/>
    <mergeCell ref="G7:G11"/>
    <mergeCell ref="H7:H11"/>
    <mergeCell ref="I7:I11"/>
    <mergeCell ref="J7:J11"/>
    <mergeCell ref="K7:P8"/>
    <mergeCell ref="K9:K11"/>
    <mergeCell ref="L9:L11"/>
    <mergeCell ref="A1:CC1"/>
    <mergeCell ref="A4:CC4"/>
    <mergeCell ref="A5:CC5"/>
    <mergeCell ref="A2:CC3"/>
    <mergeCell ref="M9:M11"/>
    <mergeCell ref="N9:P9"/>
    <mergeCell ref="N10:N11"/>
    <mergeCell ref="O10:O11"/>
    <mergeCell ref="P10:P11"/>
    <mergeCell ref="AB8:AB11"/>
    <mergeCell ref="AG9:AG11"/>
    <mergeCell ref="AC8:AG8"/>
    <mergeCell ref="AF9:AF11"/>
    <mergeCell ref="AD10:AD11"/>
    <mergeCell ref="AE10:AE11"/>
    <mergeCell ref="CC7:CC11"/>
    <mergeCell ref="BO8:BR8"/>
    <mergeCell ref="BS8:BV8"/>
    <mergeCell ref="BW8:BZ8"/>
    <mergeCell ref="AX7:BN7"/>
    <mergeCell ref="BO7:BV7"/>
    <mergeCell ref="BW7:BZ7"/>
    <mergeCell ref="CA7:CA11"/>
    <mergeCell ref="BG8:BN8"/>
    <mergeCell ref="BG9:BG11"/>
    <mergeCell ref="BH9:BN9"/>
    <mergeCell ref="BX10:BX11"/>
    <mergeCell ref="BW9:BW11"/>
    <mergeCell ref="BX9:BZ9"/>
    <mergeCell ref="BO9:BO11"/>
    <mergeCell ref="BP9:BR9"/>
    <mergeCell ref="BS9:BS11"/>
    <mergeCell ref="BT9:BV9"/>
    <mergeCell ref="BY10:BY11"/>
    <mergeCell ref="BZ10:BZ11"/>
    <mergeCell ref="BP10:BP11"/>
    <mergeCell ref="BQ10:BQ11"/>
    <mergeCell ref="BR10:BR11"/>
    <mergeCell ref="BT10:BT11"/>
    <mergeCell ref="BU10:BU11"/>
    <mergeCell ref="BV10:BV11"/>
    <mergeCell ref="BK10:BN10"/>
    <mergeCell ref="AX9:AX11"/>
    <mergeCell ref="BB9:BB11"/>
    <mergeCell ref="BC9:BC11"/>
    <mergeCell ref="BD9:BD11"/>
    <mergeCell ref="AY10:AY11"/>
    <mergeCell ref="BA8:BA11"/>
    <mergeCell ref="BB8:BF8"/>
    <mergeCell ref="BF9:BF11"/>
    <mergeCell ref="AZ10:AZ11"/>
    <mergeCell ref="BE9:BE11"/>
    <mergeCell ref="BH10:BH11"/>
    <mergeCell ref="BI10:BI11"/>
    <mergeCell ref="BJ10:BJ11"/>
    <mergeCell ref="Y8:Y11"/>
    <mergeCell ref="Q7:Q11"/>
    <mergeCell ref="R7:R11"/>
    <mergeCell ref="S7:S11"/>
    <mergeCell ref="T7:T11"/>
    <mergeCell ref="U7:X7"/>
    <mergeCell ref="U8:U11"/>
    <mergeCell ref="V8:X8"/>
    <mergeCell ref="V9:V11"/>
    <mergeCell ref="W9:W11"/>
    <mergeCell ref="X9:X11"/>
    <mergeCell ref="Y7:AG7"/>
    <mergeCell ref="A152:BY153"/>
    <mergeCell ref="AQ9:AW9"/>
    <mergeCell ref="AH7:AW7"/>
    <mergeCell ref="AH9:AH11"/>
    <mergeCell ref="AI9:AO9"/>
    <mergeCell ref="AP9:AP11"/>
    <mergeCell ref="AR10:AR11"/>
    <mergeCell ref="AS10:AS11"/>
    <mergeCell ref="AT10:AW10"/>
    <mergeCell ref="AI10:AI11"/>
    <mergeCell ref="AJ10:AJ11"/>
    <mergeCell ref="AK10:AK11"/>
    <mergeCell ref="AH8:AO8"/>
    <mergeCell ref="AP8:AW8"/>
    <mergeCell ref="AL10:AO10"/>
    <mergeCell ref="AQ10:AQ11"/>
  </mergeCells>
  <printOptions horizontalCentered="1"/>
  <pageMargins left="0.39370078740157483" right="0.19685039370078741" top="0.59055118110236227" bottom="0.55118110236220474" header="0.31496062992125984" footer="0.31496062992125984"/>
  <pageSetup paperSize="9" scale="45" orientation="landscape" r:id="rId1"/>
  <headerFooter>
    <oddHeader>&amp;R&amp;"times,Bold Italic"&amp;12Ngọc Hồi</oddHeader>
    <oddFooter>&amp;R&amp;P/&amp;N</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4"/>
  <sheetViews>
    <sheetView zoomScale="70" zoomScaleNormal="70" workbookViewId="0">
      <selection activeCell="CC17" sqref="A1:CC153"/>
    </sheetView>
  </sheetViews>
  <sheetFormatPr defaultColWidth="9" defaultRowHeight="17.649999999999999" outlineLevelRow="1"/>
  <cols>
    <col min="1" max="1" width="6.73046875" style="2" customWidth="1"/>
    <col min="2" max="2" width="51.86328125" style="1" customWidth="1"/>
    <col min="3" max="3" width="17.265625" style="1" customWidth="1"/>
    <col min="4" max="4" width="14.73046875" style="1" customWidth="1"/>
    <col min="5" max="5" width="10.73046875" style="1" customWidth="1"/>
    <col min="6" max="6" width="10.1328125" style="2" hidden="1" customWidth="1"/>
    <col min="7" max="7" width="14.73046875" style="2" customWidth="1"/>
    <col min="8" max="8" width="11.73046875" style="1" hidden="1" customWidth="1"/>
    <col min="9" max="9" width="10.73046875" style="1" customWidth="1"/>
    <col min="10" max="10" width="13" style="1" hidden="1" customWidth="1"/>
    <col min="11" max="11" width="11.59765625" style="1" hidden="1" customWidth="1"/>
    <col min="12" max="12" width="11.73046875" style="1" customWidth="1"/>
    <col min="13" max="13" width="13.265625" style="1" customWidth="1"/>
    <col min="14" max="15" width="11.73046875" style="1" hidden="1" customWidth="1"/>
    <col min="16" max="16" width="14.59765625" style="1" customWidth="1"/>
    <col min="17" max="17" width="10.59765625" style="1" hidden="1" customWidth="1"/>
    <col min="18" max="18" width="13.265625" style="2" hidden="1" customWidth="1"/>
    <col min="19" max="19" width="11.73046875" style="1" customWidth="1"/>
    <col min="20" max="21" width="12.3984375" style="1" hidden="1" customWidth="1"/>
    <col min="22" max="22" width="11.73046875" style="1" customWidth="1"/>
    <col min="23" max="23" width="14" style="1" customWidth="1"/>
    <col min="24" max="24" width="13.86328125" style="1" hidden="1" customWidth="1"/>
    <col min="25" max="25" width="12.3984375" style="1" hidden="1" customWidth="1"/>
    <col min="26" max="26" width="14" style="1" hidden="1" customWidth="1"/>
    <col min="27" max="27" width="11.73046875" style="18" customWidth="1"/>
    <col min="28" max="28" width="13" style="3" customWidth="1"/>
    <col min="29" max="29" width="11.73046875" style="3" customWidth="1"/>
    <col min="30" max="30" width="13.73046875" style="1" hidden="1" customWidth="1"/>
    <col min="31" max="32" width="11.86328125" style="1" hidden="1" customWidth="1"/>
    <col min="33" max="33" width="13.3984375" style="3" hidden="1" customWidth="1"/>
    <col min="34" max="34" width="11.86328125" style="1" hidden="1" customWidth="1"/>
    <col min="35" max="35" width="11" style="1" hidden="1" customWidth="1"/>
    <col min="36" max="36" width="9.86328125" style="1" hidden="1" customWidth="1"/>
    <col min="37" max="37" width="11.73046875" style="1" hidden="1" customWidth="1"/>
    <col min="38" max="38" width="14.3984375" style="1" hidden="1" customWidth="1"/>
    <col min="39" max="40" width="11.265625" style="1" hidden="1" customWidth="1"/>
    <col min="41" max="41" width="14.3984375" style="1" hidden="1" customWidth="1"/>
    <col min="42" max="42" width="14.73046875" style="1" hidden="1" customWidth="1"/>
    <col min="43" max="43" width="14" style="1" hidden="1" customWidth="1"/>
    <col min="44" max="44" width="11" style="1" hidden="1" customWidth="1"/>
    <col min="45" max="45" width="9.59765625" style="1" hidden="1" customWidth="1"/>
    <col min="46" max="46" width="11.73046875" style="1" customWidth="1"/>
    <col min="47" max="48" width="12.86328125" style="1" hidden="1" customWidth="1"/>
    <col min="49" max="49" width="11.3984375" style="1" hidden="1" customWidth="1"/>
    <col min="50" max="52" width="11.73046875" style="1" customWidth="1"/>
    <col min="53" max="73" width="11.73046875" style="1" hidden="1" customWidth="1"/>
    <col min="74" max="74" width="13.73046875" style="1" hidden="1" customWidth="1"/>
    <col min="75" max="75" width="19.265625" style="1" customWidth="1"/>
    <col min="76" max="76" width="17.73046875" style="4" hidden="1" customWidth="1"/>
    <col min="77" max="78" width="16.73046875" style="5" hidden="1" customWidth="1"/>
    <col min="79" max="81" width="9" style="1" hidden="1" customWidth="1"/>
  </cols>
  <sheetData>
    <row r="1" spans="1:82">
      <c r="A1" s="838" t="s">
        <v>3654</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c r="AK1" s="838"/>
      <c r="AL1" s="838"/>
      <c r="AM1" s="838"/>
      <c r="AN1" s="838"/>
      <c r="AO1" s="838"/>
      <c r="AP1" s="838"/>
      <c r="AQ1" s="838"/>
      <c r="AR1" s="838"/>
      <c r="AS1" s="838"/>
      <c r="AT1" s="838"/>
      <c r="AU1" s="838"/>
      <c r="AV1" s="838"/>
      <c r="AW1" s="838"/>
      <c r="AX1" s="838"/>
      <c r="AY1" s="838"/>
      <c r="AZ1" s="838"/>
      <c r="BA1" s="838"/>
      <c r="BB1" s="838"/>
      <c r="BC1" s="838"/>
      <c r="BD1" s="838"/>
      <c r="BE1" s="838"/>
      <c r="BF1" s="838"/>
      <c r="BG1" s="838"/>
      <c r="BH1" s="838"/>
      <c r="BI1" s="838"/>
      <c r="BJ1" s="838"/>
      <c r="BK1" s="838"/>
      <c r="BL1" s="838"/>
      <c r="BM1" s="838"/>
      <c r="BN1" s="838"/>
      <c r="BO1" s="838"/>
      <c r="BP1" s="838"/>
      <c r="BQ1" s="838"/>
      <c r="BR1" s="838"/>
      <c r="BS1" s="838"/>
      <c r="BT1" s="838"/>
      <c r="BU1" s="838"/>
      <c r="BV1" s="838"/>
      <c r="BW1" s="838"/>
      <c r="BX1" s="91"/>
      <c r="BY1" s="92"/>
      <c r="BZ1" s="92"/>
    </row>
    <row r="2" spans="1:82" hidden="1">
      <c r="A2" s="838" t="s">
        <v>15</v>
      </c>
      <c r="B2" s="838"/>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8"/>
      <c r="AH2" s="838"/>
      <c r="AI2" s="838"/>
      <c r="AJ2" s="838"/>
      <c r="AK2" s="838"/>
      <c r="AL2" s="838"/>
      <c r="AM2" s="838"/>
      <c r="AN2" s="838"/>
      <c r="AO2" s="838"/>
      <c r="AP2" s="838"/>
      <c r="AQ2" s="838"/>
      <c r="AR2" s="838"/>
      <c r="AS2" s="838"/>
      <c r="AT2" s="838"/>
      <c r="AU2" s="838"/>
      <c r="AV2" s="838"/>
      <c r="AW2" s="838"/>
      <c r="AX2" s="838"/>
      <c r="AY2" s="838"/>
      <c r="AZ2" s="838"/>
      <c r="BA2" s="838"/>
      <c r="BB2" s="838"/>
      <c r="BC2" s="838"/>
      <c r="BD2" s="838"/>
      <c r="BE2" s="838"/>
      <c r="BF2" s="838"/>
      <c r="BG2" s="838"/>
      <c r="BH2" s="838"/>
      <c r="BI2" s="838"/>
      <c r="BJ2" s="838"/>
      <c r="BK2" s="838"/>
      <c r="BL2" s="838"/>
      <c r="BM2" s="838"/>
      <c r="BN2" s="838"/>
      <c r="BO2" s="838"/>
      <c r="BP2" s="838"/>
      <c r="BQ2" s="838"/>
      <c r="BR2" s="838"/>
      <c r="BS2" s="838"/>
      <c r="BT2" s="838"/>
      <c r="BU2" s="838"/>
      <c r="BV2" s="838"/>
      <c r="BW2" s="838"/>
      <c r="BX2" s="91"/>
      <c r="BY2" s="92"/>
      <c r="BZ2" s="92"/>
    </row>
    <row r="3" spans="1:82" ht="26.25" customHeight="1">
      <c r="A3" s="838" t="s">
        <v>3691</v>
      </c>
      <c r="B3" s="838"/>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c r="AW3" s="838"/>
      <c r="AX3" s="838"/>
      <c r="AY3" s="838"/>
      <c r="AZ3" s="838"/>
      <c r="BA3" s="838"/>
      <c r="BB3" s="838"/>
      <c r="BC3" s="838"/>
      <c r="BD3" s="838"/>
      <c r="BE3" s="838"/>
      <c r="BF3" s="838"/>
      <c r="BG3" s="838"/>
      <c r="BH3" s="838"/>
      <c r="BI3" s="838"/>
      <c r="BJ3" s="838"/>
      <c r="BK3" s="838"/>
      <c r="BL3" s="838"/>
      <c r="BM3" s="838"/>
      <c r="BN3" s="838"/>
      <c r="BO3" s="838"/>
      <c r="BP3" s="838"/>
      <c r="BQ3" s="838"/>
      <c r="BR3" s="838"/>
      <c r="BS3" s="838"/>
      <c r="BT3" s="838"/>
      <c r="BU3" s="838"/>
      <c r="BV3" s="838"/>
      <c r="BW3" s="838"/>
      <c r="BX3" s="91"/>
      <c r="BY3" s="92"/>
      <c r="BZ3" s="92"/>
    </row>
    <row r="4" spans="1:82">
      <c r="A4" s="838" t="s">
        <v>86</v>
      </c>
      <c r="B4" s="838"/>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8"/>
      <c r="AH4" s="838"/>
      <c r="AI4" s="838"/>
      <c r="AJ4" s="838"/>
      <c r="AK4" s="838"/>
      <c r="AL4" s="838"/>
      <c r="AM4" s="838"/>
      <c r="AN4" s="838"/>
      <c r="AO4" s="838"/>
      <c r="AP4" s="838"/>
      <c r="AQ4" s="838"/>
      <c r="AR4" s="838"/>
      <c r="AS4" s="838"/>
      <c r="AT4" s="838"/>
      <c r="AU4" s="838"/>
      <c r="AV4" s="838"/>
      <c r="AW4" s="838"/>
      <c r="AX4" s="838"/>
      <c r="AY4" s="838"/>
      <c r="AZ4" s="838"/>
      <c r="BA4" s="838"/>
      <c r="BB4" s="838"/>
      <c r="BC4" s="838"/>
      <c r="BD4" s="838"/>
      <c r="BE4" s="838"/>
      <c r="BF4" s="838"/>
      <c r="BG4" s="838"/>
      <c r="BH4" s="838"/>
      <c r="BI4" s="838"/>
      <c r="BJ4" s="838"/>
      <c r="BK4" s="838"/>
      <c r="BL4" s="838"/>
      <c r="BM4" s="838"/>
      <c r="BN4" s="838"/>
      <c r="BO4" s="838"/>
      <c r="BP4" s="838"/>
      <c r="BQ4" s="838"/>
      <c r="BR4" s="838"/>
      <c r="BS4" s="838"/>
      <c r="BT4" s="838"/>
      <c r="BU4" s="838"/>
      <c r="BV4" s="838"/>
      <c r="BW4" s="838"/>
      <c r="BX4" s="91"/>
      <c r="BY4" s="92"/>
      <c r="BZ4" s="92"/>
    </row>
    <row r="5" spans="1:82">
      <c r="A5" s="833" t="str">
        <f>'3.13.Thành phố Kon Tum'!A5:BY5</f>
        <v>(Kèm theo Nghị quyết số 22/NQ-HĐND ngày 22 tháng 8 năm 2025 của Hội đồng nhân dân tỉnh)</v>
      </c>
      <c r="B5" s="833"/>
      <c r="C5" s="833"/>
      <c r="D5" s="833"/>
      <c r="E5" s="833"/>
      <c r="F5" s="833"/>
      <c r="G5" s="833"/>
      <c r="H5" s="833"/>
      <c r="I5" s="833"/>
      <c r="J5" s="833"/>
      <c r="K5" s="833"/>
      <c r="L5" s="833"/>
      <c r="M5" s="833"/>
      <c r="N5" s="833"/>
      <c r="O5" s="833"/>
      <c r="P5" s="833"/>
      <c r="Q5" s="833"/>
      <c r="R5" s="833"/>
      <c r="S5" s="833"/>
      <c r="T5" s="833"/>
      <c r="U5" s="833"/>
      <c r="V5" s="833"/>
      <c r="W5" s="833"/>
      <c r="X5" s="833"/>
      <c r="Y5" s="833"/>
      <c r="Z5" s="833"/>
      <c r="AA5" s="861"/>
      <c r="AB5" s="833"/>
      <c r="AC5" s="833"/>
      <c r="AD5" s="833"/>
      <c r="AE5" s="833"/>
      <c r="AF5" s="833"/>
      <c r="AG5" s="833"/>
      <c r="AH5" s="833"/>
      <c r="AI5" s="833"/>
      <c r="AJ5" s="833"/>
      <c r="AK5" s="833"/>
      <c r="AL5" s="833"/>
      <c r="AM5" s="833"/>
      <c r="AN5" s="833"/>
      <c r="AO5" s="833"/>
      <c r="AP5" s="833"/>
      <c r="AQ5" s="833"/>
      <c r="AR5" s="833"/>
      <c r="AS5" s="833"/>
      <c r="AT5" s="833"/>
      <c r="AU5" s="833"/>
      <c r="AV5" s="833"/>
      <c r="AW5" s="833"/>
      <c r="AX5" s="833"/>
      <c r="AY5" s="833"/>
      <c r="AZ5" s="833"/>
      <c r="BA5" s="833"/>
      <c r="BB5" s="833"/>
      <c r="BC5" s="833"/>
      <c r="BD5" s="833"/>
      <c r="BE5" s="833"/>
      <c r="BF5" s="833"/>
      <c r="BG5" s="833"/>
      <c r="BH5" s="833"/>
      <c r="BI5" s="833"/>
      <c r="BJ5" s="833"/>
      <c r="BK5" s="833"/>
      <c r="BL5" s="833"/>
      <c r="BM5" s="833"/>
      <c r="BN5" s="833"/>
      <c r="BO5" s="833"/>
      <c r="BP5" s="833"/>
      <c r="BQ5" s="833"/>
      <c r="BR5" s="833"/>
      <c r="BS5" s="833"/>
      <c r="BT5" s="833"/>
      <c r="BU5" s="833"/>
      <c r="BV5" s="833"/>
      <c r="BW5" s="833"/>
      <c r="BX5" s="93"/>
      <c r="BY5" s="94"/>
      <c r="BZ5" s="94"/>
      <c r="CA5" s="572"/>
      <c r="CB5" s="572"/>
      <c r="CC5" s="572"/>
    </row>
    <row r="6" spans="1:82">
      <c r="X6" s="573"/>
      <c r="Z6" s="573"/>
      <c r="AB6" s="18"/>
      <c r="AC6" s="18"/>
      <c r="AG6" s="18"/>
      <c r="AO6" s="573"/>
      <c r="AQ6" s="573"/>
      <c r="AR6" s="573"/>
      <c r="AT6" s="573"/>
      <c r="AW6" s="573"/>
      <c r="AZ6" s="854" t="s">
        <v>1224</v>
      </c>
      <c r="BA6" s="854"/>
      <c r="BB6" s="854"/>
      <c r="BC6" s="854"/>
      <c r="BD6" s="854"/>
      <c r="BE6" s="854"/>
      <c r="BF6" s="854"/>
      <c r="BG6" s="854"/>
      <c r="BH6" s="854"/>
      <c r="BI6" s="854"/>
      <c r="BJ6" s="854"/>
      <c r="BK6" s="854"/>
      <c r="BL6" s="854"/>
      <c r="BM6" s="854"/>
      <c r="BN6" s="854"/>
      <c r="BO6" s="854"/>
      <c r="BP6" s="854"/>
      <c r="BQ6" s="854"/>
      <c r="BR6" s="854"/>
      <c r="BS6" s="854"/>
      <c r="BT6" s="854"/>
      <c r="BU6" s="854"/>
      <c r="BV6" s="854"/>
      <c r="BW6" s="854"/>
      <c r="BX6" s="91"/>
      <c r="BY6" s="92"/>
      <c r="BZ6" s="92"/>
    </row>
    <row r="7" spans="1:82" ht="40.5" customHeight="1">
      <c r="A7" s="834" t="s">
        <v>16</v>
      </c>
      <c r="B7" s="834" t="s">
        <v>316</v>
      </c>
      <c r="C7" s="834" t="s">
        <v>17</v>
      </c>
      <c r="D7" s="834" t="s">
        <v>3673</v>
      </c>
      <c r="E7" s="834" t="s">
        <v>18</v>
      </c>
      <c r="F7" s="834" t="s">
        <v>19</v>
      </c>
      <c r="G7" s="834" t="s">
        <v>21</v>
      </c>
      <c r="H7" s="834" t="s">
        <v>20</v>
      </c>
      <c r="I7" s="834" t="s">
        <v>23</v>
      </c>
      <c r="J7" s="834" t="s">
        <v>24</v>
      </c>
      <c r="K7" s="834" t="s">
        <v>1904</v>
      </c>
      <c r="L7" s="834"/>
      <c r="M7" s="834"/>
      <c r="N7" s="834"/>
      <c r="O7" s="834"/>
      <c r="P7" s="834"/>
      <c r="Q7" s="834" t="s">
        <v>25</v>
      </c>
      <c r="R7" s="834" t="s">
        <v>22</v>
      </c>
      <c r="S7" s="834" t="s">
        <v>26</v>
      </c>
      <c r="T7" s="834"/>
      <c r="U7" s="834"/>
      <c r="V7" s="834"/>
      <c r="W7" s="834" t="s">
        <v>317</v>
      </c>
      <c r="X7" s="834"/>
      <c r="Y7" s="834"/>
      <c r="Z7" s="834"/>
      <c r="AA7" s="862"/>
      <c r="AB7" s="834"/>
      <c r="AC7" s="834"/>
      <c r="AD7" s="834" t="s">
        <v>63</v>
      </c>
      <c r="AE7" s="834"/>
      <c r="AF7" s="834"/>
      <c r="AG7" s="834"/>
      <c r="AH7" s="834"/>
      <c r="AI7" s="834"/>
      <c r="AJ7" s="834"/>
      <c r="AK7" s="834"/>
      <c r="AL7" s="834"/>
      <c r="AM7" s="834"/>
      <c r="AN7" s="834"/>
      <c r="AO7" s="834"/>
      <c r="AP7" s="834"/>
      <c r="AQ7" s="834"/>
      <c r="AR7" s="834"/>
      <c r="AS7" s="834"/>
      <c r="AT7" s="834" t="s">
        <v>6</v>
      </c>
      <c r="AU7" s="834"/>
      <c r="AV7" s="834"/>
      <c r="AW7" s="834"/>
      <c r="AX7" s="834"/>
      <c r="AY7" s="834"/>
      <c r="AZ7" s="834"/>
      <c r="BA7" s="834"/>
      <c r="BB7" s="834"/>
      <c r="BC7" s="834"/>
      <c r="BD7" s="834"/>
      <c r="BE7" s="834"/>
      <c r="BF7" s="834"/>
      <c r="BG7" s="834"/>
      <c r="BH7" s="834"/>
      <c r="BI7" s="834" t="s">
        <v>28</v>
      </c>
      <c r="BJ7" s="834"/>
      <c r="BK7" s="834"/>
      <c r="BL7" s="834"/>
      <c r="BM7" s="834"/>
      <c r="BN7" s="834"/>
      <c r="BO7" s="834"/>
      <c r="BP7" s="834"/>
      <c r="BQ7" s="834" t="s">
        <v>87</v>
      </c>
      <c r="BR7" s="834"/>
      <c r="BS7" s="834"/>
      <c r="BT7" s="834"/>
      <c r="BU7" s="834" t="s">
        <v>88</v>
      </c>
      <c r="BV7" s="847" t="s">
        <v>3662</v>
      </c>
      <c r="BW7" s="834" t="s">
        <v>0</v>
      </c>
      <c r="BX7" s="95"/>
      <c r="BY7" s="96"/>
      <c r="BZ7" s="96"/>
      <c r="CA7" s="513"/>
      <c r="CB7" s="513"/>
      <c r="CC7" s="513"/>
    </row>
    <row r="8" spans="1:82" ht="27.75" customHeight="1">
      <c r="A8" s="834"/>
      <c r="B8" s="834"/>
      <c r="C8" s="834"/>
      <c r="D8" s="834"/>
      <c r="E8" s="834"/>
      <c r="F8" s="834"/>
      <c r="G8" s="834"/>
      <c r="H8" s="834"/>
      <c r="I8" s="834"/>
      <c r="J8" s="834"/>
      <c r="K8" s="834"/>
      <c r="L8" s="834"/>
      <c r="M8" s="834"/>
      <c r="N8" s="834"/>
      <c r="O8" s="834"/>
      <c r="P8" s="834"/>
      <c r="Q8" s="834"/>
      <c r="R8" s="834"/>
      <c r="S8" s="834" t="s">
        <v>29</v>
      </c>
      <c r="T8" s="834" t="s">
        <v>1</v>
      </c>
      <c r="U8" s="834"/>
      <c r="V8" s="834"/>
      <c r="W8" s="834" t="s">
        <v>29</v>
      </c>
      <c r="X8" s="834" t="s">
        <v>1</v>
      </c>
      <c r="Y8" s="834"/>
      <c r="Z8" s="834"/>
      <c r="AA8" s="862"/>
      <c r="AB8" s="834"/>
      <c r="AC8" s="834"/>
      <c r="AD8" s="834" t="s">
        <v>65</v>
      </c>
      <c r="AE8" s="834"/>
      <c r="AF8" s="834"/>
      <c r="AG8" s="834"/>
      <c r="AH8" s="834"/>
      <c r="AI8" s="834"/>
      <c r="AJ8" s="834"/>
      <c r="AK8" s="834"/>
      <c r="AL8" s="834" t="s">
        <v>66</v>
      </c>
      <c r="AM8" s="834"/>
      <c r="AN8" s="834"/>
      <c r="AO8" s="834"/>
      <c r="AP8" s="834"/>
      <c r="AQ8" s="834"/>
      <c r="AR8" s="834"/>
      <c r="AS8" s="834"/>
      <c r="AT8" s="847" t="s">
        <v>29</v>
      </c>
      <c r="AU8" s="574"/>
      <c r="AV8" s="574"/>
      <c r="AW8" s="574"/>
      <c r="AX8" s="850" t="s">
        <v>42</v>
      </c>
      <c r="AY8" s="850"/>
      <c r="AZ8" s="850"/>
      <c r="BA8" s="834" t="s">
        <v>89</v>
      </c>
      <c r="BB8" s="834"/>
      <c r="BC8" s="834"/>
      <c r="BD8" s="834"/>
      <c r="BE8" s="834"/>
      <c r="BF8" s="834"/>
      <c r="BG8" s="834"/>
      <c r="BH8" s="834"/>
      <c r="BI8" s="834" t="s">
        <v>30</v>
      </c>
      <c r="BJ8" s="834"/>
      <c r="BK8" s="834"/>
      <c r="BL8" s="834"/>
      <c r="BM8" s="834" t="s">
        <v>89</v>
      </c>
      <c r="BN8" s="834"/>
      <c r="BO8" s="834"/>
      <c r="BP8" s="834"/>
      <c r="BQ8" s="834"/>
      <c r="BR8" s="834"/>
      <c r="BS8" s="834"/>
      <c r="BT8" s="834"/>
      <c r="BU8" s="834"/>
      <c r="BV8" s="848"/>
      <c r="BW8" s="834"/>
      <c r="BX8" s="95"/>
      <c r="BY8" s="96"/>
      <c r="BZ8" s="96"/>
      <c r="CA8" s="513"/>
      <c r="CB8" s="513"/>
      <c r="CC8" s="513"/>
    </row>
    <row r="9" spans="1:82" ht="18.75" customHeight="1">
      <c r="A9" s="834"/>
      <c r="B9" s="834"/>
      <c r="C9" s="834"/>
      <c r="D9" s="834"/>
      <c r="E9" s="834"/>
      <c r="F9" s="834"/>
      <c r="G9" s="834"/>
      <c r="H9" s="834"/>
      <c r="I9" s="834"/>
      <c r="J9" s="834"/>
      <c r="K9" s="834" t="s">
        <v>31</v>
      </c>
      <c r="L9" s="834" t="s">
        <v>32</v>
      </c>
      <c r="M9" s="834" t="s">
        <v>33</v>
      </c>
      <c r="N9" s="834" t="s">
        <v>300</v>
      </c>
      <c r="O9" s="834"/>
      <c r="P9" s="834"/>
      <c r="Q9" s="834"/>
      <c r="R9" s="834"/>
      <c r="S9" s="834"/>
      <c r="T9" s="834" t="s">
        <v>34</v>
      </c>
      <c r="U9" s="834" t="s">
        <v>35</v>
      </c>
      <c r="V9" s="834" t="s">
        <v>85</v>
      </c>
      <c r="W9" s="834"/>
      <c r="X9" s="834" t="s">
        <v>34</v>
      </c>
      <c r="Y9" s="834" t="s">
        <v>35</v>
      </c>
      <c r="Z9" s="834" t="s">
        <v>41</v>
      </c>
      <c r="AA9" s="858" t="s">
        <v>8</v>
      </c>
      <c r="AB9" s="858" t="s">
        <v>92</v>
      </c>
      <c r="AC9" s="858" t="s">
        <v>38</v>
      </c>
      <c r="AD9" s="834" t="s">
        <v>29</v>
      </c>
      <c r="AE9" s="834" t="s">
        <v>1</v>
      </c>
      <c r="AF9" s="834"/>
      <c r="AG9" s="834"/>
      <c r="AH9" s="834"/>
      <c r="AI9" s="834"/>
      <c r="AJ9" s="834"/>
      <c r="AK9" s="834"/>
      <c r="AL9" s="834" t="s">
        <v>29</v>
      </c>
      <c r="AM9" s="834" t="s">
        <v>1</v>
      </c>
      <c r="AN9" s="834"/>
      <c r="AO9" s="834"/>
      <c r="AP9" s="834"/>
      <c r="AQ9" s="834"/>
      <c r="AR9" s="834"/>
      <c r="AS9" s="834"/>
      <c r="AT9" s="848"/>
      <c r="AU9" s="574" t="s">
        <v>1</v>
      </c>
      <c r="AV9" s="574"/>
      <c r="AW9" s="574"/>
      <c r="AX9" s="851" t="s">
        <v>8</v>
      </c>
      <c r="AY9" s="851" t="s">
        <v>92</v>
      </c>
      <c r="AZ9" s="851" t="s">
        <v>38</v>
      </c>
      <c r="BA9" s="834" t="s">
        <v>29</v>
      </c>
      <c r="BB9" s="834" t="s">
        <v>1</v>
      </c>
      <c r="BC9" s="834"/>
      <c r="BD9" s="834"/>
      <c r="BE9" s="834"/>
      <c r="BF9" s="834"/>
      <c r="BG9" s="834"/>
      <c r="BH9" s="834"/>
      <c r="BI9" s="834" t="s">
        <v>29</v>
      </c>
      <c r="BJ9" s="834" t="s">
        <v>1</v>
      </c>
      <c r="BK9" s="834"/>
      <c r="BL9" s="834"/>
      <c r="BM9" s="834" t="s">
        <v>29</v>
      </c>
      <c r="BN9" s="834" t="s">
        <v>1</v>
      </c>
      <c r="BO9" s="834"/>
      <c r="BP9" s="834"/>
      <c r="BQ9" s="834" t="s">
        <v>29</v>
      </c>
      <c r="BR9" s="834" t="s">
        <v>1</v>
      </c>
      <c r="BS9" s="834"/>
      <c r="BT9" s="834"/>
      <c r="BU9" s="834"/>
      <c r="BV9" s="848"/>
      <c r="BW9" s="834"/>
      <c r="BX9" s="95"/>
      <c r="BY9" s="857" t="s">
        <v>90</v>
      </c>
      <c r="BZ9" s="857"/>
      <c r="CA9" s="513"/>
      <c r="CB9" s="513"/>
      <c r="CC9" s="513"/>
    </row>
    <row r="10" spans="1:82" ht="18.75" customHeight="1">
      <c r="A10" s="834"/>
      <c r="B10" s="834"/>
      <c r="C10" s="834"/>
      <c r="D10" s="834"/>
      <c r="E10" s="834"/>
      <c r="F10" s="834"/>
      <c r="G10" s="834"/>
      <c r="H10" s="834"/>
      <c r="I10" s="834"/>
      <c r="J10" s="834"/>
      <c r="K10" s="834"/>
      <c r="L10" s="834"/>
      <c r="M10" s="834"/>
      <c r="N10" s="834" t="s">
        <v>67</v>
      </c>
      <c r="O10" s="834" t="s">
        <v>79</v>
      </c>
      <c r="P10" s="834" t="s">
        <v>91</v>
      </c>
      <c r="Q10" s="834"/>
      <c r="R10" s="834"/>
      <c r="S10" s="834"/>
      <c r="T10" s="834"/>
      <c r="U10" s="834"/>
      <c r="V10" s="834"/>
      <c r="W10" s="834"/>
      <c r="X10" s="834"/>
      <c r="Y10" s="834"/>
      <c r="Z10" s="834"/>
      <c r="AA10" s="859"/>
      <c r="AB10" s="859"/>
      <c r="AC10" s="859"/>
      <c r="AD10" s="834"/>
      <c r="AE10" s="834" t="s">
        <v>34</v>
      </c>
      <c r="AF10" s="834" t="s">
        <v>35</v>
      </c>
      <c r="AG10" s="846" t="s">
        <v>41</v>
      </c>
      <c r="AH10" s="850" t="s">
        <v>42</v>
      </c>
      <c r="AI10" s="850"/>
      <c r="AJ10" s="850"/>
      <c r="AK10" s="850"/>
      <c r="AL10" s="834"/>
      <c r="AM10" s="834" t="s">
        <v>34</v>
      </c>
      <c r="AN10" s="834" t="s">
        <v>35</v>
      </c>
      <c r="AO10" s="834" t="s">
        <v>41</v>
      </c>
      <c r="AP10" s="850" t="s">
        <v>42</v>
      </c>
      <c r="AQ10" s="850"/>
      <c r="AR10" s="850"/>
      <c r="AS10" s="850"/>
      <c r="AT10" s="848"/>
      <c r="AU10" s="834" t="s">
        <v>34</v>
      </c>
      <c r="AV10" s="834" t="s">
        <v>35</v>
      </c>
      <c r="AW10" s="834" t="s">
        <v>41</v>
      </c>
      <c r="AX10" s="852"/>
      <c r="AY10" s="852"/>
      <c r="AZ10" s="852"/>
      <c r="BA10" s="834"/>
      <c r="BB10" s="834" t="s">
        <v>34</v>
      </c>
      <c r="BC10" s="834" t="s">
        <v>35</v>
      </c>
      <c r="BD10" s="834" t="s">
        <v>41</v>
      </c>
      <c r="BE10" s="850" t="s">
        <v>42</v>
      </c>
      <c r="BF10" s="850"/>
      <c r="BG10" s="850"/>
      <c r="BH10" s="850"/>
      <c r="BI10" s="834"/>
      <c r="BJ10" s="834" t="s">
        <v>34</v>
      </c>
      <c r="BK10" s="834" t="s">
        <v>35</v>
      </c>
      <c r="BL10" s="834" t="s">
        <v>39</v>
      </c>
      <c r="BM10" s="834"/>
      <c r="BN10" s="834" t="s">
        <v>34</v>
      </c>
      <c r="BO10" s="834" t="s">
        <v>35</v>
      </c>
      <c r="BP10" s="834" t="s">
        <v>39</v>
      </c>
      <c r="BQ10" s="834"/>
      <c r="BR10" s="834" t="s">
        <v>34</v>
      </c>
      <c r="BS10" s="834" t="s">
        <v>35</v>
      </c>
      <c r="BT10" s="834" t="s">
        <v>93</v>
      </c>
      <c r="BU10" s="834"/>
      <c r="BV10" s="848"/>
      <c r="BW10" s="834"/>
      <c r="BX10" s="95"/>
      <c r="BY10" s="855" t="s">
        <v>94</v>
      </c>
      <c r="BZ10" s="855" t="s">
        <v>95</v>
      </c>
      <c r="CA10" s="513"/>
      <c r="CB10" s="856" t="s">
        <v>96</v>
      </c>
      <c r="CC10" s="856"/>
    </row>
    <row r="11" spans="1:82" ht="95.25" customHeight="1">
      <c r="A11" s="834"/>
      <c r="B11" s="834"/>
      <c r="C11" s="834"/>
      <c r="D11" s="834"/>
      <c r="E11" s="834"/>
      <c r="F11" s="834"/>
      <c r="G11" s="834"/>
      <c r="H11" s="834"/>
      <c r="I11" s="834"/>
      <c r="J11" s="834"/>
      <c r="K11" s="834"/>
      <c r="L11" s="834"/>
      <c r="M11" s="834"/>
      <c r="N11" s="834"/>
      <c r="O11" s="834"/>
      <c r="P11" s="834"/>
      <c r="Q11" s="834"/>
      <c r="R11" s="834"/>
      <c r="S11" s="834"/>
      <c r="T11" s="834"/>
      <c r="U11" s="834"/>
      <c r="V11" s="834"/>
      <c r="W11" s="834"/>
      <c r="X11" s="834"/>
      <c r="Y11" s="834"/>
      <c r="Z11" s="834"/>
      <c r="AA11" s="860"/>
      <c r="AB11" s="860"/>
      <c r="AC11" s="860"/>
      <c r="AD11" s="834"/>
      <c r="AE11" s="834"/>
      <c r="AF11" s="834"/>
      <c r="AG11" s="846"/>
      <c r="AH11" s="523" t="s">
        <v>94</v>
      </c>
      <c r="AI11" s="523" t="s">
        <v>95</v>
      </c>
      <c r="AJ11" s="523" t="s">
        <v>43</v>
      </c>
      <c r="AK11" s="523" t="s">
        <v>38</v>
      </c>
      <c r="AL11" s="834"/>
      <c r="AM11" s="834"/>
      <c r="AN11" s="834"/>
      <c r="AO11" s="834"/>
      <c r="AP11" s="523" t="s">
        <v>94</v>
      </c>
      <c r="AQ11" s="523" t="s">
        <v>95</v>
      </c>
      <c r="AR11" s="523" t="s">
        <v>43</v>
      </c>
      <c r="AS11" s="523" t="s">
        <v>38</v>
      </c>
      <c r="AT11" s="849"/>
      <c r="AU11" s="834"/>
      <c r="AV11" s="834"/>
      <c r="AW11" s="834"/>
      <c r="AX11" s="853"/>
      <c r="AY11" s="853"/>
      <c r="AZ11" s="853"/>
      <c r="BA11" s="834"/>
      <c r="BB11" s="834"/>
      <c r="BC11" s="834"/>
      <c r="BD11" s="834"/>
      <c r="BE11" s="523" t="s">
        <v>94</v>
      </c>
      <c r="BF11" s="523" t="s">
        <v>95</v>
      </c>
      <c r="BG11" s="523" t="s">
        <v>43</v>
      </c>
      <c r="BH11" s="523" t="s">
        <v>38</v>
      </c>
      <c r="BI11" s="834"/>
      <c r="BJ11" s="834"/>
      <c r="BK11" s="834"/>
      <c r="BL11" s="834"/>
      <c r="BM11" s="834"/>
      <c r="BN11" s="834"/>
      <c r="BO11" s="834"/>
      <c r="BP11" s="834"/>
      <c r="BQ11" s="834"/>
      <c r="BR11" s="834"/>
      <c r="BS11" s="834"/>
      <c r="BT11" s="834"/>
      <c r="BU11" s="834"/>
      <c r="BV11" s="849"/>
      <c r="BW11" s="834"/>
      <c r="BX11" s="95"/>
      <c r="BY11" s="855"/>
      <c r="BZ11" s="855"/>
      <c r="CA11" s="513"/>
      <c r="CB11" s="523" t="s">
        <v>94</v>
      </c>
      <c r="CC11" s="523" t="s">
        <v>95</v>
      </c>
    </row>
    <row r="12" spans="1:82" s="212" customFormat="1" ht="18.75" customHeight="1">
      <c r="A12" s="575">
        <v>1</v>
      </c>
      <c r="B12" s="575">
        <v>2</v>
      </c>
      <c r="C12" s="575">
        <v>3</v>
      </c>
      <c r="D12" s="575">
        <v>4</v>
      </c>
      <c r="E12" s="575">
        <v>5</v>
      </c>
      <c r="F12" s="575">
        <v>5</v>
      </c>
      <c r="G12" s="575">
        <v>6</v>
      </c>
      <c r="H12" s="575">
        <v>6</v>
      </c>
      <c r="I12" s="575">
        <v>7</v>
      </c>
      <c r="J12" s="575">
        <v>8</v>
      </c>
      <c r="K12" s="575">
        <v>9</v>
      </c>
      <c r="L12" s="575">
        <v>8</v>
      </c>
      <c r="M12" s="575">
        <v>9</v>
      </c>
      <c r="N12" s="575">
        <v>12</v>
      </c>
      <c r="O12" s="575">
        <v>10</v>
      </c>
      <c r="P12" s="575">
        <v>10</v>
      </c>
      <c r="Q12" s="575">
        <v>15</v>
      </c>
      <c r="R12" s="575">
        <v>17</v>
      </c>
      <c r="S12" s="575">
        <v>11</v>
      </c>
      <c r="T12" s="575">
        <v>20</v>
      </c>
      <c r="U12" s="575">
        <v>21</v>
      </c>
      <c r="V12" s="575">
        <v>12</v>
      </c>
      <c r="W12" s="575">
        <v>13</v>
      </c>
      <c r="X12" s="575">
        <v>24</v>
      </c>
      <c r="Y12" s="575">
        <v>25</v>
      </c>
      <c r="Z12" s="575">
        <v>26</v>
      </c>
      <c r="AA12" s="215">
        <v>14</v>
      </c>
      <c r="AB12" s="215">
        <v>15</v>
      </c>
      <c r="AC12" s="215">
        <v>16</v>
      </c>
      <c r="AD12" s="575">
        <v>31</v>
      </c>
      <c r="AE12" s="575">
        <v>32</v>
      </c>
      <c r="AF12" s="575">
        <v>33</v>
      </c>
      <c r="AG12" s="215">
        <v>34</v>
      </c>
      <c r="AH12" s="575">
        <v>35</v>
      </c>
      <c r="AI12" s="575">
        <v>36</v>
      </c>
      <c r="AJ12" s="575">
        <v>37</v>
      </c>
      <c r="AK12" s="575">
        <v>38</v>
      </c>
      <c r="AL12" s="575">
        <v>39</v>
      </c>
      <c r="AM12" s="575">
        <v>40</v>
      </c>
      <c r="AN12" s="575">
        <v>41</v>
      </c>
      <c r="AO12" s="575">
        <v>42</v>
      </c>
      <c r="AP12" s="575">
        <v>43</v>
      </c>
      <c r="AQ12" s="575">
        <v>44</v>
      </c>
      <c r="AR12" s="575">
        <v>45</v>
      </c>
      <c r="AS12" s="575">
        <v>46</v>
      </c>
      <c r="AT12" s="575">
        <v>17</v>
      </c>
      <c r="AU12" s="575">
        <v>48</v>
      </c>
      <c r="AV12" s="575">
        <v>49</v>
      </c>
      <c r="AW12" s="575">
        <v>50</v>
      </c>
      <c r="AX12" s="575">
        <v>18</v>
      </c>
      <c r="AY12" s="575">
        <v>19</v>
      </c>
      <c r="AZ12" s="575">
        <v>20</v>
      </c>
      <c r="BA12" s="575">
        <v>55</v>
      </c>
      <c r="BB12" s="575">
        <v>56</v>
      </c>
      <c r="BC12" s="575">
        <v>57</v>
      </c>
      <c r="BD12" s="575">
        <v>58</v>
      </c>
      <c r="BE12" s="575">
        <v>59</v>
      </c>
      <c r="BF12" s="575">
        <v>60</v>
      </c>
      <c r="BG12" s="575">
        <v>61</v>
      </c>
      <c r="BH12" s="575">
        <v>62</v>
      </c>
      <c r="BI12" s="575">
        <v>63</v>
      </c>
      <c r="BJ12" s="575">
        <v>64</v>
      </c>
      <c r="BK12" s="575">
        <v>65</v>
      </c>
      <c r="BL12" s="575">
        <v>66</v>
      </c>
      <c r="BM12" s="575">
        <v>67</v>
      </c>
      <c r="BN12" s="575">
        <v>68</v>
      </c>
      <c r="BO12" s="575">
        <v>69</v>
      </c>
      <c r="BP12" s="575">
        <v>70</v>
      </c>
      <c r="BQ12" s="575">
        <v>71</v>
      </c>
      <c r="BR12" s="575">
        <v>72</v>
      </c>
      <c r="BS12" s="575">
        <v>73</v>
      </c>
      <c r="BT12" s="575">
        <v>74</v>
      </c>
      <c r="BU12" s="575">
        <v>75</v>
      </c>
      <c r="BV12" s="575">
        <v>21</v>
      </c>
      <c r="BW12" s="575">
        <v>21</v>
      </c>
      <c r="BX12" s="216"/>
      <c r="BY12" s="217">
        <v>27</v>
      </c>
      <c r="BZ12" s="217">
        <v>28</v>
      </c>
      <c r="CA12" s="576"/>
      <c r="CB12" s="575">
        <v>51</v>
      </c>
      <c r="CC12" s="575">
        <v>52</v>
      </c>
    </row>
    <row r="13" spans="1:82" ht="39.950000000000003" customHeight="1">
      <c r="A13" s="532"/>
      <c r="B13" s="532" t="s">
        <v>7</v>
      </c>
      <c r="C13" s="532"/>
      <c r="D13" s="97"/>
      <c r="E13" s="532"/>
      <c r="F13" s="98"/>
      <c r="G13" s="532"/>
      <c r="H13" s="532"/>
      <c r="I13" s="532"/>
      <c r="J13" s="532"/>
      <c r="K13" s="532"/>
      <c r="L13" s="532"/>
      <c r="M13" s="67">
        <f t="shared" ref="M13:AR13" si="0">M14+M16+M101+M100</f>
        <v>819644</v>
      </c>
      <c r="N13" s="67">
        <f t="shared" si="0"/>
        <v>193200</v>
      </c>
      <c r="O13" s="67">
        <f t="shared" si="0"/>
        <v>76200</v>
      </c>
      <c r="P13" s="67">
        <f t="shared" si="0"/>
        <v>469177.7</v>
      </c>
      <c r="Q13" s="67">
        <f t="shared" si="0"/>
        <v>0</v>
      </c>
      <c r="R13" s="67">
        <f t="shared" si="0"/>
        <v>0</v>
      </c>
      <c r="S13" s="67">
        <f t="shared" si="0"/>
        <v>53930</v>
      </c>
      <c r="T13" s="67">
        <f t="shared" si="0"/>
        <v>0</v>
      </c>
      <c r="U13" s="67">
        <f t="shared" si="0"/>
        <v>0</v>
      </c>
      <c r="V13" s="67">
        <f t="shared" si="0"/>
        <v>53930</v>
      </c>
      <c r="W13" s="67">
        <f t="shared" si="0"/>
        <v>240051.73322300002</v>
      </c>
      <c r="X13" s="67">
        <f t="shared" si="0"/>
        <v>100000</v>
      </c>
      <c r="Y13" s="67">
        <f t="shared" si="0"/>
        <v>25000</v>
      </c>
      <c r="Z13" s="67">
        <f t="shared" si="0"/>
        <v>240203.73322300002</v>
      </c>
      <c r="AA13" s="67">
        <f t="shared" si="0"/>
        <v>71500</v>
      </c>
      <c r="AB13" s="67">
        <f t="shared" si="0"/>
        <v>121247.72512</v>
      </c>
      <c r="AC13" s="67">
        <f t="shared" si="0"/>
        <v>47304.008103</v>
      </c>
      <c r="AD13" s="67">
        <f t="shared" si="0"/>
        <v>212046.31400000001</v>
      </c>
      <c r="AE13" s="67">
        <f t="shared" si="0"/>
        <v>100000</v>
      </c>
      <c r="AF13" s="67">
        <f t="shared" si="0"/>
        <v>25000</v>
      </c>
      <c r="AG13" s="67">
        <f t="shared" si="0"/>
        <v>87046.313999999984</v>
      </c>
      <c r="AH13" s="67">
        <f t="shared" si="0"/>
        <v>62394.642</v>
      </c>
      <c r="AI13" s="67">
        <f t="shared" si="0"/>
        <v>4590</v>
      </c>
      <c r="AJ13" s="67">
        <f t="shared" si="0"/>
        <v>500</v>
      </c>
      <c r="AK13" s="67">
        <f t="shared" si="0"/>
        <v>19561.671999999999</v>
      </c>
      <c r="AL13" s="67">
        <f t="shared" si="0"/>
        <v>190513.79092699999</v>
      </c>
      <c r="AM13" s="67">
        <f t="shared" si="0"/>
        <v>98300</v>
      </c>
      <c r="AN13" s="67">
        <f t="shared" si="0"/>
        <v>25000</v>
      </c>
      <c r="AO13" s="67">
        <f t="shared" si="0"/>
        <v>71356.513926999993</v>
      </c>
      <c r="AP13" s="67">
        <f t="shared" si="0"/>
        <v>62123.790927000002</v>
      </c>
      <c r="AQ13" s="67">
        <f t="shared" si="0"/>
        <v>4590</v>
      </c>
      <c r="AR13" s="67">
        <f t="shared" si="0"/>
        <v>500</v>
      </c>
      <c r="AS13" s="67">
        <f t="shared" ref="AS13:BU13" si="1">AS14+AS16+AS101+AS100</f>
        <v>4142.723</v>
      </c>
      <c r="AT13" s="67">
        <f t="shared" si="1"/>
        <v>29624</v>
      </c>
      <c r="AU13" s="67">
        <f t="shared" si="1"/>
        <v>50000</v>
      </c>
      <c r="AV13" s="67">
        <f t="shared" si="1"/>
        <v>12042</v>
      </c>
      <c r="AW13" s="67">
        <f t="shared" si="1"/>
        <v>29624</v>
      </c>
      <c r="AX13" s="99">
        <f t="shared" si="1"/>
        <v>10900</v>
      </c>
      <c r="AY13" s="99">
        <f t="shared" si="1"/>
        <v>9420</v>
      </c>
      <c r="AZ13" s="99">
        <f t="shared" si="1"/>
        <v>9304</v>
      </c>
      <c r="BA13" s="99">
        <f t="shared" si="1"/>
        <v>68382.385999999999</v>
      </c>
      <c r="BB13" s="99">
        <f t="shared" si="1"/>
        <v>48300</v>
      </c>
      <c r="BC13" s="99">
        <f t="shared" si="1"/>
        <v>12042</v>
      </c>
      <c r="BD13" s="99">
        <f t="shared" si="1"/>
        <v>8040.3859999999995</v>
      </c>
      <c r="BE13" s="99">
        <f t="shared" si="1"/>
        <v>6040.3859999999995</v>
      </c>
      <c r="BF13" s="99">
        <f t="shared" si="1"/>
        <v>0</v>
      </c>
      <c r="BG13" s="99">
        <f t="shared" si="1"/>
        <v>0</v>
      </c>
      <c r="BH13" s="99">
        <f t="shared" si="1"/>
        <v>2000</v>
      </c>
      <c r="BI13" s="99">
        <f t="shared" si="1"/>
        <v>0</v>
      </c>
      <c r="BJ13" s="99">
        <f t="shared" si="1"/>
        <v>0</v>
      </c>
      <c r="BK13" s="99">
        <f t="shared" si="1"/>
        <v>0</v>
      </c>
      <c r="BL13" s="99">
        <f t="shared" si="1"/>
        <v>0</v>
      </c>
      <c r="BM13" s="99">
        <f t="shared" si="1"/>
        <v>0</v>
      </c>
      <c r="BN13" s="99">
        <f t="shared" si="1"/>
        <v>0</v>
      </c>
      <c r="BO13" s="99">
        <f t="shared" si="1"/>
        <v>0</v>
      </c>
      <c r="BP13" s="99">
        <f t="shared" si="1"/>
        <v>0</v>
      </c>
      <c r="BQ13" s="99">
        <f t="shared" si="1"/>
        <v>174932</v>
      </c>
      <c r="BR13" s="99">
        <f t="shared" si="1"/>
        <v>90000</v>
      </c>
      <c r="BS13" s="100">
        <f t="shared" si="1"/>
        <v>84932</v>
      </c>
      <c r="BT13" s="100">
        <f t="shared" si="1"/>
        <v>0</v>
      </c>
      <c r="BU13" s="100">
        <f t="shared" si="1"/>
        <v>0</v>
      </c>
      <c r="BV13" s="100">
        <v>0</v>
      </c>
      <c r="BW13" s="577"/>
      <c r="BX13" s="101">
        <f t="shared" ref="BX13:BX74" si="2">AA13-BY13-BZ13</f>
        <v>352</v>
      </c>
      <c r="BY13" s="385">
        <f t="shared" ref="BY13:BZ13" si="3">BY14+BY16</f>
        <v>66558</v>
      </c>
      <c r="BZ13" s="385">
        <f t="shared" si="3"/>
        <v>4590</v>
      </c>
      <c r="CA13" s="578"/>
      <c r="CB13" s="579">
        <v>10900</v>
      </c>
      <c r="CC13" s="579">
        <v>0</v>
      </c>
      <c r="CD13" s="114"/>
    </row>
    <row r="14" spans="1:82" ht="30" customHeight="1">
      <c r="A14" s="532" t="s">
        <v>11</v>
      </c>
      <c r="B14" s="532" t="s">
        <v>3641</v>
      </c>
      <c r="C14" s="532"/>
      <c r="D14" s="67"/>
      <c r="E14" s="532"/>
      <c r="F14" s="532"/>
      <c r="G14" s="67"/>
      <c r="H14" s="532"/>
      <c r="I14" s="532"/>
      <c r="J14" s="532"/>
      <c r="K14" s="532"/>
      <c r="L14" s="532"/>
      <c r="M14" s="67">
        <f>M15</f>
        <v>0</v>
      </c>
      <c r="N14" s="67">
        <f t="shared" ref="N14:BU14" si="4">N15</f>
        <v>0</v>
      </c>
      <c r="O14" s="67">
        <f t="shared" si="4"/>
        <v>0</v>
      </c>
      <c r="P14" s="67">
        <f t="shared" si="4"/>
        <v>0</v>
      </c>
      <c r="Q14" s="67">
        <f t="shared" si="4"/>
        <v>0</v>
      </c>
      <c r="R14" s="67">
        <f t="shared" si="4"/>
        <v>0</v>
      </c>
      <c r="S14" s="67">
        <f t="shared" si="4"/>
        <v>0</v>
      </c>
      <c r="T14" s="67">
        <f t="shared" si="4"/>
        <v>0</v>
      </c>
      <c r="U14" s="67">
        <f t="shared" si="4"/>
        <v>0</v>
      </c>
      <c r="V14" s="67">
        <f t="shared" si="4"/>
        <v>0</v>
      </c>
      <c r="W14" s="67">
        <f t="shared" si="4"/>
        <v>0</v>
      </c>
      <c r="X14" s="67">
        <f t="shared" si="4"/>
        <v>0</v>
      </c>
      <c r="Y14" s="67">
        <f t="shared" si="4"/>
        <v>0</v>
      </c>
      <c r="Z14" s="67">
        <f t="shared" si="4"/>
        <v>0</v>
      </c>
      <c r="AA14" s="67">
        <f t="shared" si="4"/>
        <v>0</v>
      </c>
      <c r="AB14" s="67">
        <f t="shared" si="4"/>
        <v>0</v>
      </c>
      <c r="AC14" s="67">
        <f t="shared" si="4"/>
        <v>0</v>
      </c>
      <c r="AD14" s="67">
        <f t="shared" si="4"/>
        <v>0</v>
      </c>
      <c r="AE14" s="67">
        <f t="shared" si="4"/>
        <v>0</v>
      </c>
      <c r="AF14" s="67">
        <f t="shared" si="4"/>
        <v>0</v>
      </c>
      <c r="AG14" s="67">
        <f t="shared" si="4"/>
        <v>0</v>
      </c>
      <c r="AH14" s="67">
        <f t="shared" si="4"/>
        <v>0</v>
      </c>
      <c r="AI14" s="67">
        <f t="shared" si="4"/>
        <v>0</v>
      </c>
      <c r="AJ14" s="67">
        <f t="shared" si="4"/>
        <v>0</v>
      </c>
      <c r="AK14" s="67">
        <f t="shared" si="4"/>
        <v>0</v>
      </c>
      <c r="AL14" s="67">
        <f t="shared" si="4"/>
        <v>0</v>
      </c>
      <c r="AM14" s="67">
        <f t="shared" si="4"/>
        <v>0</v>
      </c>
      <c r="AN14" s="67">
        <f t="shared" si="4"/>
        <v>0</v>
      </c>
      <c r="AO14" s="67">
        <f t="shared" si="4"/>
        <v>0</v>
      </c>
      <c r="AP14" s="67">
        <f t="shared" si="4"/>
        <v>0</v>
      </c>
      <c r="AQ14" s="67">
        <f t="shared" si="4"/>
        <v>0</v>
      </c>
      <c r="AR14" s="67">
        <f t="shared" si="4"/>
        <v>0</v>
      </c>
      <c r="AS14" s="67">
        <f t="shared" si="4"/>
        <v>0</v>
      </c>
      <c r="AT14" s="67">
        <f t="shared" si="4"/>
        <v>6750</v>
      </c>
      <c r="AU14" s="67">
        <f t="shared" si="4"/>
        <v>0</v>
      </c>
      <c r="AV14" s="67">
        <f t="shared" si="4"/>
        <v>0</v>
      </c>
      <c r="AW14" s="67">
        <f t="shared" si="4"/>
        <v>6750</v>
      </c>
      <c r="AX14" s="67">
        <f t="shared" si="4"/>
        <v>0</v>
      </c>
      <c r="AY14" s="67">
        <f t="shared" si="4"/>
        <v>6750</v>
      </c>
      <c r="AZ14" s="67">
        <f t="shared" si="4"/>
        <v>0</v>
      </c>
      <c r="BA14" s="67">
        <f t="shared" si="4"/>
        <v>0</v>
      </c>
      <c r="BB14" s="67">
        <f t="shared" si="4"/>
        <v>0</v>
      </c>
      <c r="BC14" s="67">
        <f t="shared" si="4"/>
        <v>0</v>
      </c>
      <c r="BD14" s="67">
        <f t="shared" si="4"/>
        <v>0</v>
      </c>
      <c r="BE14" s="67">
        <f t="shared" si="4"/>
        <v>0</v>
      </c>
      <c r="BF14" s="67">
        <f t="shared" si="4"/>
        <v>0</v>
      </c>
      <c r="BG14" s="67">
        <f t="shared" si="4"/>
        <v>0</v>
      </c>
      <c r="BH14" s="67">
        <f t="shared" si="4"/>
        <v>0</v>
      </c>
      <c r="BI14" s="67">
        <f t="shared" si="4"/>
        <v>0</v>
      </c>
      <c r="BJ14" s="67">
        <f t="shared" si="4"/>
        <v>0</v>
      </c>
      <c r="BK14" s="67">
        <f t="shared" si="4"/>
        <v>0</v>
      </c>
      <c r="BL14" s="67">
        <f t="shared" si="4"/>
        <v>0</v>
      </c>
      <c r="BM14" s="67">
        <f t="shared" si="4"/>
        <v>0</v>
      </c>
      <c r="BN14" s="67">
        <f t="shared" si="4"/>
        <v>0</v>
      </c>
      <c r="BO14" s="67">
        <f t="shared" si="4"/>
        <v>0</v>
      </c>
      <c r="BP14" s="67">
        <f t="shared" si="4"/>
        <v>0</v>
      </c>
      <c r="BQ14" s="67">
        <f t="shared" si="4"/>
        <v>0</v>
      </c>
      <c r="BR14" s="67">
        <f t="shared" si="4"/>
        <v>0</v>
      </c>
      <c r="BS14" s="67">
        <f t="shared" si="4"/>
        <v>0</v>
      </c>
      <c r="BT14" s="67">
        <f t="shared" si="4"/>
        <v>0</v>
      </c>
      <c r="BU14" s="67">
        <f t="shared" si="4"/>
        <v>0</v>
      </c>
      <c r="BV14" s="67">
        <v>0</v>
      </c>
      <c r="BW14" s="532"/>
      <c r="BX14" s="101">
        <f t="shared" si="2"/>
        <v>0</v>
      </c>
      <c r="BY14" s="12"/>
      <c r="BZ14" s="12"/>
      <c r="CA14" s="578"/>
      <c r="CB14" s="579"/>
      <c r="CC14" s="579"/>
      <c r="CD14" s="114"/>
    </row>
    <row r="15" spans="1:82" ht="66.75" customHeight="1" outlineLevel="1">
      <c r="A15" s="535">
        <v>1</v>
      </c>
      <c r="B15" s="535" t="s">
        <v>873</v>
      </c>
      <c r="C15" s="535" t="s">
        <v>881</v>
      </c>
      <c r="D15" s="70" t="s">
        <v>570</v>
      </c>
      <c r="E15" s="580"/>
      <c r="F15" s="535"/>
      <c r="G15" s="70"/>
      <c r="H15" s="580"/>
      <c r="I15" s="580"/>
      <c r="J15" s="580"/>
      <c r="K15" s="580"/>
      <c r="L15" s="580"/>
      <c r="M15" s="68"/>
      <c r="N15" s="68"/>
      <c r="O15" s="68"/>
      <c r="P15" s="68"/>
      <c r="Q15" s="68"/>
      <c r="R15" s="70"/>
      <c r="S15" s="68"/>
      <c r="T15" s="68"/>
      <c r="U15" s="68"/>
      <c r="V15" s="68"/>
      <c r="W15" s="70">
        <f>SUM(AA15+AB15+AC15)</f>
        <v>0</v>
      </c>
      <c r="X15" s="68"/>
      <c r="Y15" s="68"/>
      <c r="Z15" s="68"/>
      <c r="AA15" s="68"/>
      <c r="AB15" s="68"/>
      <c r="AC15" s="68"/>
      <c r="AD15" s="68"/>
      <c r="AE15" s="68"/>
      <c r="AF15" s="68"/>
      <c r="AG15" s="68"/>
      <c r="AH15" s="68"/>
      <c r="AI15" s="68"/>
      <c r="AJ15" s="68"/>
      <c r="AK15" s="68"/>
      <c r="AL15" s="68"/>
      <c r="AM15" s="68"/>
      <c r="AN15" s="68"/>
      <c r="AO15" s="68"/>
      <c r="AP15" s="68"/>
      <c r="AQ15" s="68"/>
      <c r="AR15" s="68"/>
      <c r="AS15" s="68"/>
      <c r="AT15" s="70">
        <f>SUM(AX15+AY15+AZ15)</f>
        <v>6750</v>
      </c>
      <c r="AU15" s="68"/>
      <c r="AV15" s="68"/>
      <c r="AW15" s="70">
        <f>SUM(AX15:AZ15)</f>
        <v>6750</v>
      </c>
      <c r="AX15" s="68"/>
      <c r="AY15" s="70">
        <f>100+50+1500+5100</f>
        <v>6750</v>
      </c>
      <c r="AZ15" s="68"/>
      <c r="BA15" s="68"/>
      <c r="BB15" s="68"/>
      <c r="BC15" s="68"/>
      <c r="BD15" s="68"/>
      <c r="BE15" s="68"/>
      <c r="BF15" s="68"/>
      <c r="BG15" s="68"/>
      <c r="BH15" s="68"/>
      <c r="BI15" s="68"/>
      <c r="BJ15" s="68"/>
      <c r="BK15" s="68"/>
      <c r="BL15" s="68"/>
      <c r="BM15" s="68"/>
      <c r="BN15" s="68"/>
      <c r="BO15" s="68"/>
      <c r="BP15" s="68"/>
      <c r="BQ15" s="68"/>
      <c r="BR15" s="68"/>
      <c r="BS15" s="68"/>
      <c r="BT15" s="68"/>
      <c r="BU15" s="580"/>
      <c r="BV15" s="580"/>
      <c r="BW15" s="535" t="s">
        <v>874</v>
      </c>
      <c r="BX15" s="101">
        <f>AA15-BY15-BZ15</f>
        <v>0</v>
      </c>
      <c r="BY15" s="17"/>
      <c r="BZ15" s="17"/>
      <c r="CB15" s="581"/>
      <c r="CC15" s="581"/>
    </row>
    <row r="16" spans="1:82" ht="39" customHeight="1">
      <c r="A16" s="532" t="s">
        <v>10</v>
      </c>
      <c r="B16" s="67" t="s">
        <v>3665</v>
      </c>
      <c r="C16" s="532"/>
      <c r="D16" s="67">
        <f>D17+D33+D69+D74+D87+D92</f>
        <v>0</v>
      </c>
      <c r="E16" s="532"/>
      <c r="F16" s="532"/>
      <c r="G16" s="67">
        <f>G17+G33+G69+G74+G87+G92</f>
        <v>0</v>
      </c>
      <c r="H16" s="532"/>
      <c r="I16" s="532"/>
      <c r="J16" s="532"/>
      <c r="K16" s="532"/>
      <c r="L16" s="532"/>
      <c r="M16" s="67">
        <f>M17+M33+M69+M74+M87+M92+M99</f>
        <v>819644</v>
      </c>
      <c r="N16" s="67">
        <f t="shared" ref="N16:BU16" si="5">N17+N33+N69+N74+N87+N92+N99</f>
        <v>193200</v>
      </c>
      <c r="O16" s="67">
        <f t="shared" si="5"/>
        <v>76200</v>
      </c>
      <c r="P16" s="67">
        <f t="shared" si="5"/>
        <v>469177.7</v>
      </c>
      <c r="Q16" s="67">
        <f t="shared" si="5"/>
        <v>0</v>
      </c>
      <c r="R16" s="67">
        <f t="shared" si="5"/>
        <v>0</v>
      </c>
      <c r="S16" s="67">
        <f t="shared" si="5"/>
        <v>53930</v>
      </c>
      <c r="T16" s="67">
        <f t="shared" si="5"/>
        <v>0</v>
      </c>
      <c r="U16" s="67">
        <f t="shared" si="5"/>
        <v>0</v>
      </c>
      <c r="V16" s="67">
        <f t="shared" si="5"/>
        <v>53930</v>
      </c>
      <c r="W16" s="67">
        <f t="shared" si="5"/>
        <v>237561.99324800001</v>
      </c>
      <c r="X16" s="67">
        <f t="shared" si="5"/>
        <v>100000</v>
      </c>
      <c r="Y16" s="67">
        <f t="shared" si="5"/>
        <v>25000</v>
      </c>
      <c r="Z16" s="67">
        <f t="shared" si="5"/>
        <v>237561.99324800001</v>
      </c>
      <c r="AA16" s="67">
        <f t="shared" si="5"/>
        <v>71148</v>
      </c>
      <c r="AB16" s="67">
        <f t="shared" si="5"/>
        <v>121247.72512</v>
      </c>
      <c r="AC16" s="67">
        <f t="shared" si="5"/>
        <v>45166.268128000003</v>
      </c>
      <c r="AD16" s="67">
        <f t="shared" si="5"/>
        <v>211794.31400000001</v>
      </c>
      <c r="AE16" s="67">
        <f t="shared" si="5"/>
        <v>100000</v>
      </c>
      <c r="AF16" s="67">
        <f t="shared" si="5"/>
        <v>25000</v>
      </c>
      <c r="AG16" s="67">
        <f t="shared" si="5"/>
        <v>86794.313999999984</v>
      </c>
      <c r="AH16" s="67">
        <f t="shared" si="5"/>
        <v>62142.642</v>
      </c>
      <c r="AI16" s="67">
        <f t="shared" si="5"/>
        <v>4590</v>
      </c>
      <c r="AJ16" s="67">
        <f t="shared" si="5"/>
        <v>500</v>
      </c>
      <c r="AK16" s="67">
        <f t="shared" si="5"/>
        <v>19561.671999999999</v>
      </c>
      <c r="AL16" s="67">
        <f t="shared" si="5"/>
        <v>190261.79092699999</v>
      </c>
      <c r="AM16" s="67">
        <f t="shared" si="5"/>
        <v>98300</v>
      </c>
      <c r="AN16" s="67">
        <f t="shared" si="5"/>
        <v>25000</v>
      </c>
      <c r="AO16" s="67">
        <f t="shared" si="5"/>
        <v>71104.513926999993</v>
      </c>
      <c r="AP16" s="67">
        <f t="shared" si="5"/>
        <v>61871.790927000002</v>
      </c>
      <c r="AQ16" s="67">
        <f t="shared" si="5"/>
        <v>4590</v>
      </c>
      <c r="AR16" s="67">
        <f t="shared" si="5"/>
        <v>500</v>
      </c>
      <c r="AS16" s="67">
        <f t="shared" si="5"/>
        <v>4142.723</v>
      </c>
      <c r="AT16" s="67">
        <f t="shared" si="5"/>
        <v>22774</v>
      </c>
      <c r="AU16" s="67">
        <f t="shared" si="5"/>
        <v>50000</v>
      </c>
      <c r="AV16" s="67">
        <f t="shared" si="5"/>
        <v>12042</v>
      </c>
      <c r="AW16" s="67">
        <f t="shared" si="5"/>
        <v>22774</v>
      </c>
      <c r="AX16" s="67">
        <f t="shared" si="5"/>
        <v>10800</v>
      </c>
      <c r="AY16" s="67">
        <f t="shared" si="5"/>
        <v>2670</v>
      </c>
      <c r="AZ16" s="67">
        <f t="shared" si="5"/>
        <v>9304</v>
      </c>
      <c r="BA16" s="67">
        <f t="shared" si="5"/>
        <v>68382.385999999999</v>
      </c>
      <c r="BB16" s="67">
        <f t="shared" si="5"/>
        <v>48300</v>
      </c>
      <c r="BC16" s="67">
        <f t="shared" si="5"/>
        <v>12042</v>
      </c>
      <c r="BD16" s="67">
        <f t="shared" si="5"/>
        <v>8040.3859999999995</v>
      </c>
      <c r="BE16" s="67">
        <f t="shared" si="5"/>
        <v>6040.3859999999995</v>
      </c>
      <c r="BF16" s="67">
        <f t="shared" si="5"/>
        <v>0</v>
      </c>
      <c r="BG16" s="67">
        <f t="shared" si="5"/>
        <v>0</v>
      </c>
      <c r="BH16" s="67">
        <f t="shared" si="5"/>
        <v>2000</v>
      </c>
      <c r="BI16" s="67">
        <f t="shared" si="5"/>
        <v>0</v>
      </c>
      <c r="BJ16" s="67">
        <f t="shared" si="5"/>
        <v>0</v>
      </c>
      <c r="BK16" s="67">
        <f t="shared" si="5"/>
        <v>0</v>
      </c>
      <c r="BL16" s="67">
        <f t="shared" si="5"/>
        <v>0</v>
      </c>
      <c r="BM16" s="67">
        <f t="shared" si="5"/>
        <v>0</v>
      </c>
      <c r="BN16" s="67">
        <f t="shared" si="5"/>
        <v>0</v>
      </c>
      <c r="BO16" s="67">
        <f t="shared" si="5"/>
        <v>0</v>
      </c>
      <c r="BP16" s="67">
        <f t="shared" si="5"/>
        <v>0</v>
      </c>
      <c r="BQ16" s="67">
        <f t="shared" si="5"/>
        <v>174932</v>
      </c>
      <c r="BR16" s="67">
        <f t="shared" si="5"/>
        <v>90000</v>
      </c>
      <c r="BS16" s="67">
        <f t="shared" si="5"/>
        <v>84932</v>
      </c>
      <c r="BT16" s="67">
        <f t="shared" si="5"/>
        <v>0</v>
      </c>
      <c r="BU16" s="67">
        <f t="shared" si="5"/>
        <v>0</v>
      </c>
      <c r="BV16" s="67">
        <v>0</v>
      </c>
      <c r="BW16" s="532" t="s">
        <v>3692</v>
      </c>
      <c r="BX16" s="101">
        <f t="shared" si="2"/>
        <v>0</v>
      </c>
      <c r="BY16" s="103">
        <f>BY17+BY33+BY69+BY74+BY87+BY92</f>
        <v>66558</v>
      </c>
      <c r="BZ16" s="103">
        <f>BZ17+BZ33+BZ69+BZ74+BZ87+BZ92</f>
        <v>4590</v>
      </c>
      <c r="CA16" s="578"/>
      <c r="CB16" s="579"/>
      <c r="CC16" s="579"/>
      <c r="CD16" s="114"/>
    </row>
    <row r="17" spans="1:82" ht="30" customHeight="1">
      <c r="A17" s="536" t="s">
        <v>12</v>
      </c>
      <c r="B17" s="536" t="s">
        <v>97</v>
      </c>
      <c r="C17" s="536"/>
      <c r="D17" s="104">
        <f>D18</f>
        <v>0</v>
      </c>
      <c r="E17" s="536"/>
      <c r="F17" s="536"/>
      <c r="G17" s="104">
        <f>G18</f>
        <v>0</v>
      </c>
      <c r="H17" s="536"/>
      <c r="I17" s="536"/>
      <c r="J17" s="536"/>
      <c r="K17" s="536"/>
      <c r="L17" s="536"/>
      <c r="M17" s="104">
        <f>M18</f>
        <v>92748</v>
      </c>
      <c r="N17" s="104">
        <f t="shared" ref="N17:BU17" si="6">N18</f>
        <v>1200</v>
      </c>
      <c r="O17" s="104">
        <f t="shared" si="6"/>
        <v>6200</v>
      </c>
      <c r="P17" s="104">
        <f t="shared" si="6"/>
        <v>18797</v>
      </c>
      <c r="Q17" s="104">
        <f t="shared" si="6"/>
        <v>0</v>
      </c>
      <c r="R17" s="104">
        <f t="shared" si="6"/>
        <v>0</v>
      </c>
      <c r="S17" s="104">
        <f t="shared" si="6"/>
        <v>8135</v>
      </c>
      <c r="T17" s="104">
        <f t="shared" si="6"/>
        <v>0</v>
      </c>
      <c r="U17" s="104">
        <f t="shared" si="6"/>
        <v>0</v>
      </c>
      <c r="V17" s="104">
        <f t="shared" si="6"/>
        <v>8135</v>
      </c>
      <c r="W17" s="104">
        <f t="shared" si="6"/>
        <v>27095.083999999999</v>
      </c>
      <c r="X17" s="104">
        <f t="shared" si="6"/>
        <v>0</v>
      </c>
      <c r="Y17" s="104">
        <f t="shared" si="6"/>
        <v>0</v>
      </c>
      <c r="Z17" s="104">
        <f t="shared" si="6"/>
        <v>27095.083999999999</v>
      </c>
      <c r="AA17" s="104">
        <f t="shared" si="6"/>
        <v>12418.498</v>
      </c>
      <c r="AB17" s="104">
        <f t="shared" si="6"/>
        <v>457.62700000000001</v>
      </c>
      <c r="AC17" s="104">
        <f t="shared" si="6"/>
        <v>14218.959000000001</v>
      </c>
      <c r="AD17" s="104">
        <f t="shared" si="6"/>
        <v>17595.083999999999</v>
      </c>
      <c r="AE17" s="104">
        <f t="shared" si="6"/>
        <v>0</v>
      </c>
      <c r="AF17" s="104">
        <f t="shared" si="6"/>
        <v>0</v>
      </c>
      <c r="AG17" s="104">
        <f t="shared" si="6"/>
        <v>17595.083999999999</v>
      </c>
      <c r="AH17" s="104">
        <f t="shared" si="6"/>
        <v>12876.125</v>
      </c>
      <c r="AI17" s="104">
        <f t="shared" si="6"/>
        <v>0</v>
      </c>
      <c r="AJ17" s="104">
        <f t="shared" si="6"/>
        <v>0</v>
      </c>
      <c r="AK17" s="104">
        <f t="shared" si="6"/>
        <v>4718.9589999999998</v>
      </c>
      <c r="AL17" s="104">
        <f t="shared" si="6"/>
        <v>12698.771072</v>
      </c>
      <c r="AM17" s="104">
        <f t="shared" si="6"/>
        <v>0</v>
      </c>
      <c r="AN17" s="104">
        <f t="shared" si="6"/>
        <v>0</v>
      </c>
      <c r="AO17" s="104">
        <f t="shared" si="6"/>
        <v>16841.494072000001</v>
      </c>
      <c r="AP17" s="104">
        <f t="shared" si="6"/>
        <v>12698.771072</v>
      </c>
      <c r="AQ17" s="104">
        <f t="shared" si="6"/>
        <v>0</v>
      </c>
      <c r="AR17" s="104">
        <f t="shared" si="6"/>
        <v>0</v>
      </c>
      <c r="AS17" s="104">
        <f t="shared" si="6"/>
        <v>4142.723</v>
      </c>
      <c r="AT17" s="104">
        <f t="shared" si="6"/>
        <v>2000</v>
      </c>
      <c r="AU17" s="104">
        <f t="shared" si="6"/>
        <v>0</v>
      </c>
      <c r="AV17" s="104">
        <f t="shared" si="6"/>
        <v>0</v>
      </c>
      <c r="AW17" s="104">
        <f t="shared" si="6"/>
        <v>2000</v>
      </c>
      <c r="AX17" s="104">
        <f t="shared" si="6"/>
        <v>0</v>
      </c>
      <c r="AY17" s="104">
        <f t="shared" si="6"/>
        <v>0</v>
      </c>
      <c r="AZ17" s="104">
        <f t="shared" si="6"/>
        <v>2000</v>
      </c>
      <c r="BA17" s="104">
        <f t="shared" si="6"/>
        <v>2000</v>
      </c>
      <c r="BB17" s="104">
        <f t="shared" si="6"/>
        <v>0</v>
      </c>
      <c r="BC17" s="104">
        <f t="shared" si="6"/>
        <v>0</v>
      </c>
      <c r="BD17" s="104">
        <f t="shared" si="6"/>
        <v>2000</v>
      </c>
      <c r="BE17" s="104">
        <f t="shared" si="6"/>
        <v>0</v>
      </c>
      <c r="BF17" s="104">
        <f t="shared" si="6"/>
        <v>0</v>
      </c>
      <c r="BG17" s="104">
        <f t="shared" si="6"/>
        <v>0</v>
      </c>
      <c r="BH17" s="104">
        <f t="shared" si="6"/>
        <v>2000</v>
      </c>
      <c r="BI17" s="104">
        <f t="shared" si="6"/>
        <v>0</v>
      </c>
      <c r="BJ17" s="104">
        <f t="shared" si="6"/>
        <v>0</v>
      </c>
      <c r="BK17" s="104">
        <f t="shared" si="6"/>
        <v>0</v>
      </c>
      <c r="BL17" s="104">
        <f t="shared" si="6"/>
        <v>0</v>
      </c>
      <c r="BM17" s="104">
        <f t="shared" si="6"/>
        <v>0</v>
      </c>
      <c r="BN17" s="104">
        <f t="shared" si="6"/>
        <v>0</v>
      </c>
      <c r="BO17" s="104">
        <f t="shared" si="6"/>
        <v>0</v>
      </c>
      <c r="BP17" s="104">
        <f t="shared" si="6"/>
        <v>0</v>
      </c>
      <c r="BQ17" s="104">
        <f t="shared" si="6"/>
        <v>0</v>
      </c>
      <c r="BR17" s="104">
        <f t="shared" si="6"/>
        <v>0</v>
      </c>
      <c r="BS17" s="104">
        <f t="shared" si="6"/>
        <v>0</v>
      </c>
      <c r="BT17" s="104">
        <f t="shared" si="6"/>
        <v>0</v>
      </c>
      <c r="BU17" s="104">
        <f t="shared" si="6"/>
        <v>0</v>
      </c>
      <c r="BV17" s="104"/>
      <c r="BW17" s="536"/>
      <c r="BX17" s="101">
        <f t="shared" si="2"/>
        <v>0</v>
      </c>
      <c r="BY17" s="105">
        <f t="shared" ref="BY17" si="7">BY18</f>
        <v>12418.498</v>
      </c>
      <c r="BZ17" s="12"/>
      <c r="CA17" s="578"/>
      <c r="CB17" s="579"/>
      <c r="CC17" s="579"/>
      <c r="CD17" s="114"/>
    </row>
    <row r="18" spans="1:82" ht="30" customHeight="1">
      <c r="A18" s="553" t="s">
        <v>45</v>
      </c>
      <c r="B18" s="542" t="s">
        <v>51</v>
      </c>
      <c r="C18" s="542"/>
      <c r="D18" s="106">
        <f>SUM(D19:D32)</f>
        <v>0</v>
      </c>
      <c r="E18" s="542"/>
      <c r="F18" s="542"/>
      <c r="G18" s="106">
        <f>SUM(G19:G32)</f>
        <v>0</v>
      </c>
      <c r="H18" s="542"/>
      <c r="I18" s="542"/>
      <c r="J18" s="542"/>
      <c r="K18" s="542"/>
      <c r="L18" s="542"/>
      <c r="M18" s="106">
        <f>SUM(M19:M32)</f>
        <v>92748</v>
      </c>
      <c r="N18" s="106">
        <f t="shared" ref="N18:BU18" si="8">SUM(N19:N32)</f>
        <v>1200</v>
      </c>
      <c r="O18" s="106">
        <f t="shared" si="8"/>
        <v>6200</v>
      </c>
      <c r="P18" s="106">
        <f t="shared" si="8"/>
        <v>18797</v>
      </c>
      <c r="Q18" s="106">
        <f t="shared" si="8"/>
        <v>0</v>
      </c>
      <c r="R18" s="106">
        <f t="shared" si="8"/>
        <v>0</v>
      </c>
      <c r="S18" s="106">
        <f t="shared" si="8"/>
        <v>8135</v>
      </c>
      <c r="T18" s="106">
        <f t="shared" si="8"/>
        <v>0</v>
      </c>
      <c r="U18" s="106">
        <f t="shared" si="8"/>
        <v>0</v>
      </c>
      <c r="V18" s="106">
        <f t="shared" si="8"/>
        <v>8135</v>
      </c>
      <c r="W18" s="106">
        <f t="shared" si="8"/>
        <v>27095.083999999999</v>
      </c>
      <c r="X18" s="106">
        <f t="shared" si="8"/>
        <v>0</v>
      </c>
      <c r="Y18" s="106">
        <f t="shared" si="8"/>
        <v>0</v>
      </c>
      <c r="Z18" s="106">
        <f t="shared" si="8"/>
        <v>27095.083999999999</v>
      </c>
      <c r="AA18" s="106">
        <f t="shared" si="8"/>
        <v>12418.498</v>
      </c>
      <c r="AB18" s="106">
        <f t="shared" si="8"/>
        <v>457.62700000000001</v>
      </c>
      <c r="AC18" s="106">
        <f t="shared" si="8"/>
        <v>14218.959000000001</v>
      </c>
      <c r="AD18" s="106">
        <f t="shared" si="8"/>
        <v>17595.083999999999</v>
      </c>
      <c r="AE18" s="106">
        <f t="shared" si="8"/>
        <v>0</v>
      </c>
      <c r="AF18" s="106">
        <f t="shared" si="8"/>
        <v>0</v>
      </c>
      <c r="AG18" s="106">
        <f t="shared" si="8"/>
        <v>17595.083999999999</v>
      </c>
      <c r="AH18" s="106">
        <f t="shared" si="8"/>
        <v>12876.125</v>
      </c>
      <c r="AI18" s="106">
        <f t="shared" si="8"/>
        <v>0</v>
      </c>
      <c r="AJ18" s="106">
        <f t="shared" si="8"/>
        <v>0</v>
      </c>
      <c r="AK18" s="106">
        <f t="shared" si="8"/>
        <v>4718.9589999999998</v>
      </c>
      <c r="AL18" s="106">
        <f t="shared" si="8"/>
        <v>12698.771072</v>
      </c>
      <c r="AM18" s="106">
        <f t="shared" si="8"/>
        <v>0</v>
      </c>
      <c r="AN18" s="106">
        <f t="shared" si="8"/>
        <v>0</v>
      </c>
      <c r="AO18" s="106">
        <f t="shared" si="8"/>
        <v>16841.494072000001</v>
      </c>
      <c r="AP18" s="106">
        <f t="shared" si="8"/>
        <v>12698.771072</v>
      </c>
      <c r="AQ18" s="106">
        <f t="shared" si="8"/>
        <v>0</v>
      </c>
      <c r="AR18" s="106">
        <f t="shared" si="8"/>
        <v>0</v>
      </c>
      <c r="AS18" s="106">
        <f t="shared" si="8"/>
        <v>4142.723</v>
      </c>
      <c r="AT18" s="106">
        <f t="shared" si="8"/>
        <v>2000</v>
      </c>
      <c r="AU18" s="106">
        <f t="shared" si="8"/>
        <v>0</v>
      </c>
      <c r="AV18" s="106">
        <f t="shared" si="8"/>
        <v>0</v>
      </c>
      <c r="AW18" s="106">
        <f t="shared" si="8"/>
        <v>2000</v>
      </c>
      <c r="AX18" s="106">
        <f t="shared" si="8"/>
        <v>0</v>
      </c>
      <c r="AY18" s="106">
        <f t="shared" si="8"/>
        <v>0</v>
      </c>
      <c r="AZ18" s="106">
        <f t="shared" si="8"/>
        <v>2000</v>
      </c>
      <c r="BA18" s="106">
        <f t="shared" si="8"/>
        <v>2000</v>
      </c>
      <c r="BB18" s="106">
        <f t="shared" si="8"/>
        <v>0</v>
      </c>
      <c r="BC18" s="106">
        <f t="shared" si="8"/>
        <v>0</v>
      </c>
      <c r="BD18" s="106">
        <f t="shared" si="8"/>
        <v>2000</v>
      </c>
      <c r="BE18" s="106">
        <f t="shared" si="8"/>
        <v>0</v>
      </c>
      <c r="BF18" s="106">
        <f t="shared" si="8"/>
        <v>0</v>
      </c>
      <c r="BG18" s="106">
        <f t="shared" si="8"/>
        <v>0</v>
      </c>
      <c r="BH18" s="106">
        <f t="shared" si="8"/>
        <v>2000</v>
      </c>
      <c r="BI18" s="106">
        <f t="shared" si="8"/>
        <v>0</v>
      </c>
      <c r="BJ18" s="106">
        <f t="shared" si="8"/>
        <v>0</v>
      </c>
      <c r="BK18" s="106">
        <f t="shared" si="8"/>
        <v>0</v>
      </c>
      <c r="BL18" s="106">
        <f t="shared" si="8"/>
        <v>0</v>
      </c>
      <c r="BM18" s="106">
        <f t="shared" si="8"/>
        <v>0</v>
      </c>
      <c r="BN18" s="106">
        <f t="shared" si="8"/>
        <v>0</v>
      </c>
      <c r="BO18" s="106">
        <f t="shared" si="8"/>
        <v>0</v>
      </c>
      <c r="BP18" s="106">
        <f t="shared" si="8"/>
        <v>0</v>
      </c>
      <c r="BQ18" s="106">
        <f t="shared" si="8"/>
        <v>0</v>
      </c>
      <c r="BR18" s="106">
        <f t="shared" si="8"/>
        <v>0</v>
      </c>
      <c r="BS18" s="106">
        <f t="shared" si="8"/>
        <v>0</v>
      </c>
      <c r="BT18" s="106">
        <f t="shared" si="8"/>
        <v>0</v>
      </c>
      <c r="BU18" s="542">
        <f t="shared" si="8"/>
        <v>0</v>
      </c>
      <c r="BV18" s="542"/>
      <c r="BW18" s="542"/>
      <c r="BX18" s="101">
        <f t="shared" si="2"/>
        <v>0</v>
      </c>
      <c r="BY18" s="107">
        <f t="shared" ref="BY18" si="9">SUM(BY19:BY32)</f>
        <v>12418.498</v>
      </c>
      <c r="BZ18" s="12"/>
      <c r="CA18" s="578"/>
      <c r="CB18" s="579"/>
      <c r="CC18" s="579"/>
    </row>
    <row r="19" spans="1:82" ht="82.5" customHeight="1" outlineLevel="1">
      <c r="A19" s="535">
        <v>1</v>
      </c>
      <c r="B19" s="580" t="s">
        <v>98</v>
      </c>
      <c r="C19" s="534" t="s">
        <v>99</v>
      </c>
      <c r="D19" s="70" t="s">
        <v>97</v>
      </c>
      <c r="E19" s="535" t="s">
        <v>49</v>
      </c>
      <c r="F19" s="535" t="s">
        <v>48</v>
      </c>
      <c r="G19" s="70" t="s">
        <v>100</v>
      </c>
      <c r="H19" s="535">
        <v>7663532</v>
      </c>
      <c r="I19" s="535" t="s">
        <v>74</v>
      </c>
      <c r="J19" s="535">
        <v>2020</v>
      </c>
      <c r="K19" s="535"/>
      <c r="L19" s="535" t="s">
        <v>101</v>
      </c>
      <c r="M19" s="68">
        <v>34969</v>
      </c>
      <c r="N19" s="70"/>
      <c r="O19" s="70"/>
      <c r="P19" s="70">
        <v>3387</v>
      </c>
      <c r="Q19" s="70" t="s">
        <v>102</v>
      </c>
      <c r="R19" s="70" t="s">
        <v>103</v>
      </c>
      <c r="S19" s="70">
        <v>8135</v>
      </c>
      <c r="T19" s="70"/>
      <c r="U19" s="70"/>
      <c r="V19" s="70">
        <v>8135</v>
      </c>
      <c r="W19" s="70">
        <f t="shared" ref="W19:W32" si="10">SUM(AA19+AB19+AC19)</f>
        <v>500</v>
      </c>
      <c r="X19" s="70"/>
      <c r="Y19" s="70"/>
      <c r="Z19" s="70">
        <f t="shared" ref="Z19:Z32" si="11">SUM(AA19:AC19)</f>
        <v>500</v>
      </c>
      <c r="AA19" s="70">
        <v>500</v>
      </c>
      <c r="AB19" s="70"/>
      <c r="AC19" s="70"/>
      <c r="AD19" s="70">
        <v>500</v>
      </c>
      <c r="AE19" s="70"/>
      <c r="AF19" s="70"/>
      <c r="AG19" s="70">
        <v>500</v>
      </c>
      <c r="AH19" s="68">
        <v>500</v>
      </c>
      <c r="AI19" s="70"/>
      <c r="AJ19" s="70"/>
      <c r="AK19" s="70"/>
      <c r="AL19" s="70">
        <v>500</v>
      </c>
      <c r="AM19" s="70"/>
      <c r="AN19" s="70"/>
      <c r="AO19" s="70">
        <v>500</v>
      </c>
      <c r="AP19" s="70">
        <v>500</v>
      </c>
      <c r="AQ19" s="70"/>
      <c r="AR19" s="70"/>
      <c r="AS19" s="70"/>
      <c r="AT19" s="70">
        <f t="shared" ref="AT19:AT32" si="12">SUM(AX19+AY19+AZ19)</f>
        <v>0</v>
      </c>
      <c r="AU19" s="70"/>
      <c r="AV19" s="70"/>
      <c r="AW19" s="70">
        <f t="shared" ref="AW19:AW32" si="13">SUM(AX19:AZ19)</f>
        <v>0</v>
      </c>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541" t="s">
        <v>108</v>
      </c>
      <c r="BX19" s="101">
        <f t="shared" si="2"/>
        <v>0</v>
      </c>
      <c r="BY19" s="6">
        <v>500</v>
      </c>
      <c r="BZ19" s="6"/>
      <c r="CA19" s="582"/>
      <c r="CB19" s="9"/>
      <c r="CC19" s="9"/>
    </row>
    <row r="20" spans="1:82" ht="46.15" outlineLevel="1">
      <c r="A20" s="535">
        <v>2</v>
      </c>
      <c r="B20" s="580" t="s">
        <v>104</v>
      </c>
      <c r="C20" s="534" t="s">
        <v>99</v>
      </c>
      <c r="D20" s="70" t="s">
        <v>97</v>
      </c>
      <c r="E20" s="535" t="s">
        <v>49</v>
      </c>
      <c r="F20" s="535" t="s">
        <v>105</v>
      </c>
      <c r="G20" s="70" t="s">
        <v>103</v>
      </c>
      <c r="H20" s="535">
        <v>7966893</v>
      </c>
      <c r="I20" s="535" t="s">
        <v>52</v>
      </c>
      <c r="J20" s="535">
        <v>2022</v>
      </c>
      <c r="K20" s="532"/>
      <c r="L20" s="535" t="s">
        <v>106</v>
      </c>
      <c r="M20" s="68">
        <v>8000</v>
      </c>
      <c r="N20" s="67"/>
      <c r="O20" s="67"/>
      <c r="P20" s="70">
        <v>8000</v>
      </c>
      <c r="Q20" s="70" t="s">
        <v>107</v>
      </c>
      <c r="R20" s="70" t="s">
        <v>103</v>
      </c>
      <c r="S20" s="67"/>
      <c r="T20" s="67"/>
      <c r="U20" s="67"/>
      <c r="V20" s="67"/>
      <c r="W20" s="70">
        <f t="shared" si="10"/>
        <v>14561</v>
      </c>
      <c r="X20" s="70"/>
      <c r="Y20" s="70"/>
      <c r="Z20" s="70">
        <f t="shared" si="11"/>
        <v>14561</v>
      </c>
      <c r="AA20" s="70">
        <v>7061</v>
      </c>
      <c r="AB20" s="70"/>
      <c r="AC20" s="70">
        <f>3500+4000</f>
        <v>7500</v>
      </c>
      <c r="AD20" s="70">
        <v>7061</v>
      </c>
      <c r="AE20" s="70"/>
      <c r="AF20" s="70"/>
      <c r="AG20" s="70">
        <v>7061</v>
      </c>
      <c r="AH20" s="70">
        <v>7061</v>
      </c>
      <c r="AI20" s="70"/>
      <c r="AJ20" s="70"/>
      <c r="AK20" s="70"/>
      <c r="AL20" s="70">
        <v>7061</v>
      </c>
      <c r="AM20" s="70"/>
      <c r="AN20" s="70"/>
      <c r="AO20" s="70">
        <v>7061</v>
      </c>
      <c r="AP20" s="70">
        <v>7061</v>
      </c>
      <c r="AQ20" s="70"/>
      <c r="AR20" s="70"/>
      <c r="AS20" s="70"/>
      <c r="AT20" s="70">
        <f t="shared" si="12"/>
        <v>0</v>
      </c>
      <c r="AU20" s="70"/>
      <c r="AV20" s="70"/>
      <c r="AW20" s="70">
        <f t="shared" si="13"/>
        <v>0</v>
      </c>
      <c r="AX20" s="70"/>
      <c r="AY20" s="70"/>
      <c r="AZ20" s="70"/>
      <c r="BA20" s="70"/>
      <c r="BB20" s="70"/>
      <c r="BC20" s="70"/>
      <c r="BD20" s="70"/>
      <c r="BE20" s="70"/>
      <c r="BF20" s="70"/>
      <c r="BG20" s="70"/>
      <c r="BH20" s="70"/>
      <c r="BI20" s="67"/>
      <c r="BJ20" s="67"/>
      <c r="BK20" s="67"/>
      <c r="BL20" s="67"/>
      <c r="BM20" s="67"/>
      <c r="BN20" s="67"/>
      <c r="BO20" s="67"/>
      <c r="BP20" s="67"/>
      <c r="BQ20" s="67"/>
      <c r="BR20" s="67"/>
      <c r="BS20" s="67"/>
      <c r="BT20" s="67"/>
      <c r="BU20" s="67"/>
      <c r="BV20" s="67"/>
      <c r="BW20" s="541" t="s">
        <v>108</v>
      </c>
      <c r="BX20" s="101">
        <f t="shared" si="2"/>
        <v>0</v>
      </c>
      <c r="BY20" s="6">
        <v>7061</v>
      </c>
      <c r="BZ20" s="6"/>
      <c r="CA20" s="583"/>
      <c r="CB20" s="9"/>
      <c r="CC20" s="9"/>
    </row>
    <row r="21" spans="1:82" ht="46.15" outlineLevel="1">
      <c r="A21" s="535">
        <v>3</v>
      </c>
      <c r="B21" s="539" t="s">
        <v>109</v>
      </c>
      <c r="C21" s="534" t="s">
        <v>99</v>
      </c>
      <c r="D21" s="70" t="s">
        <v>97</v>
      </c>
      <c r="E21" s="535" t="s">
        <v>49</v>
      </c>
      <c r="F21" s="535" t="s">
        <v>105</v>
      </c>
      <c r="G21" s="70" t="s">
        <v>103</v>
      </c>
      <c r="H21" s="584">
        <v>7880888</v>
      </c>
      <c r="I21" s="535">
        <v>2021</v>
      </c>
      <c r="J21" s="535">
        <v>2021</v>
      </c>
      <c r="K21" s="532"/>
      <c r="L21" s="534" t="s">
        <v>110</v>
      </c>
      <c r="M21" s="68">
        <f>N21+O21+P21</f>
        <v>1500</v>
      </c>
      <c r="N21" s="69"/>
      <c r="O21" s="67"/>
      <c r="P21" s="68">
        <v>1500</v>
      </c>
      <c r="Q21" s="70" t="s">
        <v>111</v>
      </c>
      <c r="R21" s="70" t="s">
        <v>103</v>
      </c>
      <c r="S21" s="69"/>
      <c r="T21" s="67"/>
      <c r="U21" s="67"/>
      <c r="V21" s="69"/>
      <c r="W21" s="70">
        <f t="shared" si="10"/>
        <v>1500</v>
      </c>
      <c r="X21" s="68"/>
      <c r="Y21" s="69"/>
      <c r="Z21" s="70">
        <f t="shared" si="11"/>
        <v>1500</v>
      </c>
      <c r="AA21" s="70">
        <v>1500</v>
      </c>
      <c r="AB21" s="67"/>
      <c r="AC21" s="70"/>
      <c r="AD21" s="71">
        <f t="shared" ref="AD21:AD28" si="14">SUM(AE21:AG21)</f>
        <v>1500</v>
      </c>
      <c r="AE21" s="68"/>
      <c r="AF21" s="69"/>
      <c r="AG21" s="68">
        <f>SUM(AH21:AK21)</f>
        <v>1500</v>
      </c>
      <c r="AH21" s="70">
        <f>1500</f>
        <v>1500</v>
      </c>
      <c r="AI21" s="71"/>
      <c r="AJ21" s="67"/>
      <c r="AK21" s="67"/>
      <c r="AL21" s="71">
        <f>SUM(AM21:AO21)</f>
        <v>1500</v>
      </c>
      <c r="AM21" s="68"/>
      <c r="AN21" s="69"/>
      <c r="AO21" s="71">
        <f>AP21+AQ21+AR21+AS21</f>
        <v>1500</v>
      </c>
      <c r="AP21" s="71">
        <v>1500</v>
      </c>
      <c r="AQ21" s="71"/>
      <c r="AR21" s="67"/>
      <c r="AS21" s="67"/>
      <c r="AT21" s="70">
        <f t="shared" si="12"/>
        <v>0</v>
      </c>
      <c r="AU21" s="69"/>
      <c r="AV21" s="69"/>
      <c r="AW21" s="70">
        <f t="shared" si="13"/>
        <v>0</v>
      </c>
      <c r="AX21" s="69"/>
      <c r="AY21" s="67"/>
      <c r="AZ21" s="67"/>
      <c r="BA21" s="68"/>
      <c r="BB21" s="68"/>
      <c r="BC21" s="69"/>
      <c r="BD21" s="69"/>
      <c r="BE21" s="69"/>
      <c r="BF21" s="67"/>
      <c r="BG21" s="67"/>
      <c r="BH21" s="67"/>
      <c r="BI21" s="67"/>
      <c r="BJ21" s="67"/>
      <c r="BK21" s="67"/>
      <c r="BL21" s="67"/>
      <c r="BM21" s="67"/>
      <c r="BN21" s="67"/>
      <c r="BO21" s="67"/>
      <c r="BP21" s="67"/>
      <c r="BQ21" s="67"/>
      <c r="BR21" s="67"/>
      <c r="BS21" s="67"/>
      <c r="BT21" s="67"/>
      <c r="BU21" s="67"/>
      <c r="BV21" s="67"/>
      <c r="BW21" s="541" t="s">
        <v>108</v>
      </c>
      <c r="BX21" s="101">
        <f t="shared" si="2"/>
        <v>0</v>
      </c>
      <c r="BY21" s="6">
        <v>1500</v>
      </c>
      <c r="BZ21" s="6"/>
      <c r="CA21" s="578"/>
      <c r="CB21" s="8"/>
      <c r="CC21" s="385"/>
    </row>
    <row r="22" spans="1:82" ht="46.15" outlineLevel="1">
      <c r="A22" s="535">
        <v>4</v>
      </c>
      <c r="B22" s="539" t="s">
        <v>112</v>
      </c>
      <c r="C22" s="534" t="s">
        <v>99</v>
      </c>
      <c r="D22" s="70" t="s">
        <v>97</v>
      </c>
      <c r="E22" s="535" t="s">
        <v>49</v>
      </c>
      <c r="F22" s="535" t="s">
        <v>105</v>
      </c>
      <c r="G22" s="70" t="s">
        <v>113</v>
      </c>
      <c r="H22" s="584">
        <v>7923648</v>
      </c>
      <c r="I22" s="535">
        <v>2021</v>
      </c>
      <c r="J22" s="535">
        <v>2021</v>
      </c>
      <c r="K22" s="532"/>
      <c r="L22" s="534" t="s">
        <v>114</v>
      </c>
      <c r="M22" s="68">
        <f>N22+O22+P22</f>
        <v>1500</v>
      </c>
      <c r="N22" s="69"/>
      <c r="O22" s="67"/>
      <c r="P22" s="68">
        <v>1500</v>
      </c>
      <c r="Q22" s="70" t="s">
        <v>115</v>
      </c>
      <c r="R22" s="70" t="s">
        <v>103</v>
      </c>
      <c r="S22" s="69"/>
      <c r="T22" s="67"/>
      <c r="U22" s="67"/>
      <c r="V22" s="69"/>
      <c r="W22" s="70">
        <f t="shared" si="10"/>
        <v>1449.498</v>
      </c>
      <c r="X22" s="68"/>
      <c r="Y22" s="69"/>
      <c r="Z22" s="70">
        <f t="shared" si="11"/>
        <v>1449.498</v>
      </c>
      <c r="AA22" s="70">
        <v>1449.498</v>
      </c>
      <c r="AB22" s="67"/>
      <c r="AC22" s="70"/>
      <c r="AD22" s="71">
        <f t="shared" si="14"/>
        <v>1449.498</v>
      </c>
      <c r="AE22" s="68"/>
      <c r="AF22" s="69"/>
      <c r="AG22" s="68">
        <f>SUM(AH22:AK22)</f>
        <v>1449.498</v>
      </c>
      <c r="AH22" s="70">
        <f>500+949.498</f>
        <v>1449.498</v>
      </c>
      <c r="AI22" s="71"/>
      <c r="AJ22" s="67"/>
      <c r="AK22" s="67"/>
      <c r="AL22" s="71">
        <f>SUM(AM22:AO22)</f>
        <v>1449.498</v>
      </c>
      <c r="AM22" s="68"/>
      <c r="AN22" s="67"/>
      <c r="AO22" s="71">
        <f>AP22+AQ22+AR22+AS22</f>
        <v>1449.498</v>
      </c>
      <c r="AP22" s="71">
        <v>1449.498</v>
      </c>
      <c r="AQ22" s="71"/>
      <c r="AR22" s="67"/>
      <c r="AS22" s="67"/>
      <c r="AT22" s="70">
        <f t="shared" si="12"/>
        <v>0</v>
      </c>
      <c r="AU22" s="69"/>
      <c r="AV22" s="69"/>
      <c r="AW22" s="70">
        <f t="shared" si="13"/>
        <v>0</v>
      </c>
      <c r="AX22" s="69"/>
      <c r="AY22" s="67"/>
      <c r="AZ22" s="67"/>
      <c r="BA22" s="68"/>
      <c r="BB22" s="68"/>
      <c r="BC22" s="69"/>
      <c r="BD22" s="69"/>
      <c r="BE22" s="69"/>
      <c r="BF22" s="67"/>
      <c r="BG22" s="67"/>
      <c r="BH22" s="67"/>
      <c r="BI22" s="67"/>
      <c r="BJ22" s="67"/>
      <c r="BK22" s="67"/>
      <c r="BL22" s="67"/>
      <c r="BM22" s="67"/>
      <c r="BN22" s="67"/>
      <c r="BO22" s="67"/>
      <c r="BP22" s="67"/>
      <c r="BQ22" s="67"/>
      <c r="BR22" s="67"/>
      <c r="BS22" s="67"/>
      <c r="BT22" s="67"/>
      <c r="BU22" s="67"/>
      <c r="BV22" s="67"/>
      <c r="BW22" s="541" t="s">
        <v>108</v>
      </c>
      <c r="BX22" s="101">
        <f t="shared" si="2"/>
        <v>0</v>
      </c>
      <c r="BY22" s="6">
        <v>1449.498</v>
      </c>
      <c r="BZ22" s="6"/>
      <c r="CA22" s="578"/>
      <c r="CB22" s="8"/>
      <c r="CC22" s="385"/>
    </row>
    <row r="23" spans="1:82" ht="46.15" outlineLevel="1">
      <c r="A23" s="535">
        <v>5</v>
      </c>
      <c r="B23" s="580" t="s">
        <v>116</v>
      </c>
      <c r="C23" s="534" t="s">
        <v>99</v>
      </c>
      <c r="D23" s="70" t="s">
        <v>97</v>
      </c>
      <c r="E23" s="535" t="s">
        <v>49</v>
      </c>
      <c r="F23" s="535" t="s">
        <v>48</v>
      </c>
      <c r="G23" s="70" t="s">
        <v>103</v>
      </c>
      <c r="H23" s="584">
        <v>8071724</v>
      </c>
      <c r="I23" s="535">
        <v>2024</v>
      </c>
      <c r="J23" s="535"/>
      <c r="K23" s="535"/>
      <c r="L23" s="585" t="s">
        <v>117</v>
      </c>
      <c r="M23" s="68">
        <f>N23+O23+P23</f>
        <v>510</v>
      </c>
      <c r="N23" s="69"/>
      <c r="O23" s="67"/>
      <c r="P23" s="68">
        <v>510</v>
      </c>
      <c r="Q23" s="70" t="s">
        <v>118</v>
      </c>
      <c r="R23" s="70" t="s">
        <v>103</v>
      </c>
      <c r="S23" s="71">
        <f>T23+U23+V23</f>
        <v>0</v>
      </c>
      <c r="T23" s="67"/>
      <c r="U23" s="67"/>
      <c r="V23" s="69"/>
      <c r="W23" s="70">
        <f t="shared" si="10"/>
        <v>408</v>
      </c>
      <c r="X23" s="68"/>
      <c r="Y23" s="69"/>
      <c r="Z23" s="70">
        <f t="shared" si="11"/>
        <v>408</v>
      </c>
      <c r="AA23" s="70">
        <v>408</v>
      </c>
      <c r="AB23" s="67"/>
      <c r="AC23" s="71"/>
      <c r="AD23" s="68">
        <f t="shared" si="14"/>
        <v>408</v>
      </c>
      <c r="AE23" s="68"/>
      <c r="AF23" s="69"/>
      <c r="AG23" s="71">
        <f>SUM(AH23:AK23)</f>
        <v>408</v>
      </c>
      <c r="AH23" s="70">
        <v>408</v>
      </c>
      <c r="AI23" s="67"/>
      <c r="AJ23" s="67"/>
      <c r="AK23" s="71"/>
      <c r="AL23" s="68">
        <f>AM23+AN23+AO23</f>
        <v>408</v>
      </c>
      <c r="AM23" s="68"/>
      <c r="AN23" s="67"/>
      <c r="AO23" s="71">
        <f>AP23+AQ23+AR23+AS23</f>
        <v>408</v>
      </c>
      <c r="AP23" s="71">
        <v>408</v>
      </c>
      <c r="AQ23" s="67"/>
      <c r="AR23" s="67"/>
      <c r="AS23" s="67"/>
      <c r="AT23" s="70">
        <f t="shared" si="12"/>
        <v>0</v>
      </c>
      <c r="AU23" s="71"/>
      <c r="AV23" s="71"/>
      <c r="AW23" s="70">
        <f t="shared" si="13"/>
        <v>0</v>
      </c>
      <c r="AX23" s="71"/>
      <c r="AY23" s="67"/>
      <c r="AZ23" s="67"/>
      <c r="BA23" s="68"/>
      <c r="BB23" s="68"/>
      <c r="BC23" s="69"/>
      <c r="BD23" s="69"/>
      <c r="BE23" s="69"/>
      <c r="BF23" s="67"/>
      <c r="BG23" s="67"/>
      <c r="BH23" s="67"/>
      <c r="BI23" s="67"/>
      <c r="BJ23" s="67"/>
      <c r="BK23" s="67"/>
      <c r="BL23" s="67"/>
      <c r="BM23" s="67"/>
      <c r="BN23" s="67"/>
      <c r="BO23" s="67"/>
      <c r="BP23" s="67"/>
      <c r="BQ23" s="67"/>
      <c r="BR23" s="67"/>
      <c r="BS23" s="67"/>
      <c r="BT23" s="67"/>
      <c r="BU23" s="67"/>
      <c r="BV23" s="67"/>
      <c r="BW23" s="541" t="s">
        <v>108</v>
      </c>
      <c r="BX23" s="101">
        <f t="shared" si="2"/>
        <v>0</v>
      </c>
      <c r="BY23" s="11">
        <v>408</v>
      </c>
      <c r="BZ23" s="12"/>
      <c r="CA23" s="578"/>
      <c r="CB23" s="10"/>
      <c r="CC23" s="385"/>
    </row>
    <row r="24" spans="1:82" ht="51" customHeight="1" outlineLevel="1">
      <c r="A24" s="535">
        <v>6</v>
      </c>
      <c r="B24" s="539" t="s">
        <v>119</v>
      </c>
      <c r="C24" s="535" t="s">
        <v>120</v>
      </c>
      <c r="D24" s="70" t="s">
        <v>97</v>
      </c>
      <c r="E24" s="535" t="s">
        <v>49</v>
      </c>
      <c r="F24" s="535"/>
      <c r="G24" s="70" t="s">
        <v>113</v>
      </c>
      <c r="H24" s="535">
        <v>8067000</v>
      </c>
      <c r="I24" s="535" t="s">
        <v>56</v>
      </c>
      <c r="J24" s="535">
        <v>2024</v>
      </c>
      <c r="K24" s="585"/>
      <c r="L24" s="535" t="s">
        <v>121</v>
      </c>
      <c r="M24" s="68">
        <f>SUM(N24:P24)</f>
        <v>750</v>
      </c>
      <c r="N24" s="69"/>
      <c r="O24" s="68"/>
      <c r="P24" s="68">
        <v>750</v>
      </c>
      <c r="Q24" s="67"/>
      <c r="R24" s="70" t="s">
        <v>103</v>
      </c>
      <c r="S24" s="71"/>
      <c r="T24" s="67"/>
      <c r="U24" s="67"/>
      <c r="V24" s="71"/>
      <c r="W24" s="70">
        <f t="shared" si="10"/>
        <v>750</v>
      </c>
      <c r="X24" s="71"/>
      <c r="Y24" s="68"/>
      <c r="Z24" s="70">
        <f t="shared" si="11"/>
        <v>750</v>
      </c>
      <c r="AA24" s="70">
        <v>750</v>
      </c>
      <c r="AB24" s="67"/>
      <c r="AC24" s="71"/>
      <c r="AD24" s="68">
        <f t="shared" si="14"/>
        <v>750</v>
      </c>
      <c r="AE24" s="71"/>
      <c r="AF24" s="68"/>
      <c r="AG24" s="71">
        <f>AH24</f>
        <v>750</v>
      </c>
      <c r="AH24" s="70">
        <v>750</v>
      </c>
      <c r="AI24" s="67"/>
      <c r="AJ24" s="71"/>
      <c r="AK24" s="71"/>
      <c r="AL24" s="68">
        <f>SUM(AM24:AO24)</f>
        <v>631.96811600000001</v>
      </c>
      <c r="AM24" s="68"/>
      <c r="AN24" s="108"/>
      <c r="AO24" s="71">
        <f>AP24</f>
        <v>631.96811600000001</v>
      </c>
      <c r="AP24" s="71">
        <v>631.96811600000001</v>
      </c>
      <c r="AQ24" s="71"/>
      <c r="AR24" s="67"/>
      <c r="AS24" s="67"/>
      <c r="AT24" s="70">
        <f t="shared" si="12"/>
        <v>0</v>
      </c>
      <c r="AU24" s="72"/>
      <c r="AV24" s="72"/>
      <c r="AW24" s="70">
        <f t="shared" si="13"/>
        <v>0</v>
      </c>
      <c r="AX24" s="71"/>
      <c r="AY24" s="67"/>
      <c r="AZ24" s="67"/>
      <c r="BA24" s="72"/>
      <c r="BB24" s="72"/>
      <c r="BC24" s="72"/>
      <c r="BD24" s="69"/>
      <c r="BE24" s="69"/>
      <c r="BF24" s="67"/>
      <c r="BG24" s="67"/>
      <c r="BH24" s="67"/>
      <c r="BI24" s="67"/>
      <c r="BJ24" s="67"/>
      <c r="BK24" s="67"/>
      <c r="BL24" s="67"/>
      <c r="BM24" s="67"/>
      <c r="BN24" s="67"/>
      <c r="BO24" s="67"/>
      <c r="BP24" s="67"/>
      <c r="BQ24" s="67"/>
      <c r="BR24" s="67"/>
      <c r="BS24" s="67"/>
      <c r="BT24" s="67"/>
      <c r="BU24" s="67"/>
      <c r="BV24" s="67"/>
      <c r="BW24" s="541" t="s">
        <v>869</v>
      </c>
      <c r="BX24" s="101">
        <f t="shared" si="2"/>
        <v>0</v>
      </c>
      <c r="BY24" s="6">
        <v>750</v>
      </c>
      <c r="BZ24" s="11"/>
      <c r="CA24" s="578"/>
      <c r="CB24" s="10"/>
      <c r="CC24" s="385"/>
    </row>
    <row r="25" spans="1:82" ht="68.25" customHeight="1" outlineLevel="1">
      <c r="A25" s="535">
        <v>7</v>
      </c>
      <c r="B25" s="539" t="s">
        <v>122</v>
      </c>
      <c r="C25" s="535" t="s">
        <v>97</v>
      </c>
      <c r="D25" s="70" t="s">
        <v>97</v>
      </c>
      <c r="E25" s="535" t="s">
        <v>49</v>
      </c>
      <c r="F25" s="535"/>
      <c r="G25" s="70" t="s">
        <v>103</v>
      </c>
      <c r="H25" s="535">
        <v>8066958</v>
      </c>
      <c r="I25" s="535" t="s">
        <v>56</v>
      </c>
      <c r="J25" s="535">
        <v>2024</v>
      </c>
      <c r="K25" s="585"/>
      <c r="L25" s="535" t="s">
        <v>123</v>
      </c>
      <c r="M25" s="68">
        <f>SUM(N25:P25)</f>
        <v>750</v>
      </c>
      <c r="N25" s="69"/>
      <c r="O25" s="68"/>
      <c r="P25" s="68">
        <v>750</v>
      </c>
      <c r="Q25" s="67"/>
      <c r="R25" s="70" t="s">
        <v>103</v>
      </c>
      <c r="S25" s="71"/>
      <c r="T25" s="67"/>
      <c r="U25" s="67"/>
      <c r="V25" s="71"/>
      <c r="W25" s="70">
        <f t="shared" si="10"/>
        <v>750</v>
      </c>
      <c r="X25" s="71"/>
      <c r="Y25" s="68"/>
      <c r="Z25" s="70">
        <f t="shared" si="11"/>
        <v>750</v>
      </c>
      <c r="AA25" s="70">
        <v>750</v>
      </c>
      <c r="AB25" s="67"/>
      <c r="AC25" s="71"/>
      <c r="AD25" s="68">
        <f t="shared" si="14"/>
        <v>750</v>
      </c>
      <c r="AE25" s="71"/>
      <c r="AF25" s="68"/>
      <c r="AG25" s="71">
        <f>AH25</f>
        <v>750</v>
      </c>
      <c r="AH25" s="70">
        <v>750</v>
      </c>
      <c r="AI25" s="67"/>
      <c r="AJ25" s="71"/>
      <c r="AK25" s="71"/>
      <c r="AL25" s="68">
        <f>SUM(AM25:AO25)</f>
        <v>698.30495599999995</v>
      </c>
      <c r="AM25" s="68"/>
      <c r="AN25" s="108"/>
      <c r="AO25" s="71">
        <f>AP25</f>
        <v>698.30495599999995</v>
      </c>
      <c r="AP25" s="71">
        <v>698.30495599999995</v>
      </c>
      <c r="AQ25" s="71"/>
      <c r="AR25" s="67"/>
      <c r="AS25" s="67"/>
      <c r="AT25" s="70">
        <f t="shared" si="12"/>
        <v>0</v>
      </c>
      <c r="AU25" s="72"/>
      <c r="AV25" s="72"/>
      <c r="AW25" s="70">
        <f t="shared" si="13"/>
        <v>0</v>
      </c>
      <c r="AX25" s="71"/>
      <c r="AY25" s="67"/>
      <c r="AZ25" s="67"/>
      <c r="BA25" s="72"/>
      <c r="BB25" s="72"/>
      <c r="BC25" s="72"/>
      <c r="BD25" s="69"/>
      <c r="BE25" s="69"/>
      <c r="BF25" s="67"/>
      <c r="BG25" s="67"/>
      <c r="BH25" s="67"/>
      <c r="BI25" s="67"/>
      <c r="BJ25" s="67"/>
      <c r="BK25" s="67"/>
      <c r="BL25" s="67"/>
      <c r="BM25" s="67"/>
      <c r="BN25" s="67"/>
      <c r="BO25" s="67"/>
      <c r="BP25" s="67"/>
      <c r="BQ25" s="67"/>
      <c r="BR25" s="67"/>
      <c r="BS25" s="67"/>
      <c r="BT25" s="67"/>
      <c r="BU25" s="67"/>
      <c r="BV25" s="67"/>
      <c r="BW25" s="541" t="s">
        <v>869</v>
      </c>
      <c r="BX25" s="101">
        <f t="shared" si="2"/>
        <v>0</v>
      </c>
      <c r="BY25" s="6">
        <v>750</v>
      </c>
      <c r="BZ25" s="11"/>
      <c r="CA25" s="578"/>
      <c r="CB25" s="10"/>
      <c r="CC25" s="385"/>
    </row>
    <row r="26" spans="1:82" ht="57.75" customHeight="1" outlineLevel="1">
      <c r="A26" s="535">
        <v>8</v>
      </c>
      <c r="B26" s="580" t="s">
        <v>124</v>
      </c>
      <c r="C26" s="534" t="s">
        <v>99</v>
      </c>
      <c r="D26" s="70" t="s">
        <v>97</v>
      </c>
      <c r="E26" s="535" t="s">
        <v>49</v>
      </c>
      <c r="F26" s="535" t="s">
        <v>125</v>
      </c>
      <c r="G26" s="70" t="s">
        <v>103</v>
      </c>
      <c r="H26" s="580">
        <v>7880888</v>
      </c>
      <c r="I26" s="535">
        <v>2021</v>
      </c>
      <c r="J26" s="535">
        <v>2021</v>
      </c>
      <c r="K26" s="532"/>
      <c r="L26" s="534" t="s">
        <v>110</v>
      </c>
      <c r="M26" s="68">
        <v>2000</v>
      </c>
      <c r="N26" s="69"/>
      <c r="O26" s="67"/>
      <c r="P26" s="68">
        <v>2000</v>
      </c>
      <c r="Q26" s="70" t="s">
        <v>111</v>
      </c>
      <c r="R26" s="70" t="s">
        <v>103</v>
      </c>
      <c r="S26" s="69"/>
      <c r="T26" s="67"/>
      <c r="U26" s="67"/>
      <c r="V26" s="69"/>
      <c r="W26" s="70">
        <f t="shared" si="10"/>
        <v>457.62700000000001</v>
      </c>
      <c r="X26" s="68"/>
      <c r="Y26" s="69"/>
      <c r="Z26" s="70">
        <f t="shared" si="11"/>
        <v>457.62700000000001</v>
      </c>
      <c r="AA26" s="70">
        <v>0</v>
      </c>
      <c r="AB26" s="68">
        <v>457.62700000000001</v>
      </c>
      <c r="AC26" s="67"/>
      <c r="AD26" s="68">
        <f t="shared" si="14"/>
        <v>457.62700000000001</v>
      </c>
      <c r="AE26" s="68"/>
      <c r="AF26" s="69"/>
      <c r="AG26" s="68">
        <f>SUM(AH26:AK26)</f>
        <v>457.62700000000001</v>
      </c>
      <c r="AH26" s="68">
        <v>457.62700000000001</v>
      </c>
      <c r="AI26" s="67"/>
      <c r="AJ26" s="68"/>
      <c r="AK26" s="67"/>
      <c r="AL26" s="68">
        <f>SUM(AM26:AO26)</f>
        <v>450</v>
      </c>
      <c r="AM26" s="68"/>
      <c r="AN26" s="67"/>
      <c r="AO26" s="68">
        <f>SUM(AP26:AS26)</f>
        <v>450</v>
      </c>
      <c r="AP26" s="68">
        <v>450</v>
      </c>
      <c r="AQ26" s="67"/>
      <c r="AR26" s="68"/>
      <c r="AS26" s="67"/>
      <c r="AT26" s="70">
        <f t="shared" si="12"/>
        <v>0</v>
      </c>
      <c r="AU26" s="71"/>
      <c r="AV26" s="71"/>
      <c r="AW26" s="70">
        <f t="shared" si="13"/>
        <v>0</v>
      </c>
      <c r="AX26" s="71"/>
      <c r="AY26" s="67"/>
      <c r="AZ26" s="67"/>
      <c r="BA26" s="68"/>
      <c r="BB26" s="68"/>
      <c r="BC26" s="71"/>
      <c r="BD26" s="71"/>
      <c r="BE26" s="71"/>
      <c r="BF26" s="67"/>
      <c r="BG26" s="67"/>
      <c r="BH26" s="67"/>
      <c r="BI26" s="67"/>
      <c r="BJ26" s="67"/>
      <c r="BK26" s="67"/>
      <c r="BL26" s="67"/>
      <c r="BM26" s="67"/>
      <c r="BN26" s="67"/>
      <c r="BO26" s="67"/>
      <c r="BP26" s="67"/>
      <c r="BQ26" s="67"/>
      <c r="BR26" s="67"/>
      <c r="BS26" s="67"/>
      <c r="BT26" s="67"/>
      <c r="BU26" s="70"/>
      <c r="BV26" s="70"/>
      <c r="BW26" s="541" t="s">
        <v>108</v>
      </c>
      <c r="BX26" s="101">
        <f t="shared" si="2"/>
        <v>0</v>
      </c>
      <c r="BY26" s="14"/>
      <c r="BZ26" s="12"/>
      <c r="CA26" s="578"/>
      <c r="CB26" s="10"/>
      <c r="CC26" s="385"/>
    </row>
    <row r="27" spans="1:82" ht="50.25" customHeight="1" outlineLevel="1">
      <c r="A27" s="535">
        <v>9</v>
      </c>
      <c r="B27" s="580" t="s">
        <v>126</v>
      </c>
      <c r="C27" s="534" t="s">
        <v>99</v>
      </c>
      <c r="D27" s="70" t="s">
        <v>97</v>
      </c>
      <c r="E27" s="535" t="s">
        <v>49</v>
      </c>
      <c r="F27" s="535" t="s">
        <v>48</v>
      </c>
      <c r="G27" s="70" t="s">
        <v>103</v>
      </c>
      <c r="H27" s="535">
        <v>8090865</v>
      </c>
      <c r="I27" s="535">
        <v>2024</v>
      </c>
      <c r="J27" s="535">
        <v>2024</v>
      </c>
      <c r="K27" s="532"/>
      <c r="L27" s="585" t="s">
        <v>127</v>
      </c>
      <c r="M27" s="70">
        <f>SUM(N27:P27)</f>
        <v>2100</v>
      </c>
      <c r="N27" s="69"/>
      <c r="O27" s="70">
        <v>2100</v>
      </c>
      <c r="P27" s="70"/>
      <c r="Q27" s="70" t="s">
        <v>128</v>
      </c>
      <c r="R27" s="70" t="s">
        <v>103</v>
      </c>
      <c r="S27" s="69"/>
      <c r="T27" s="67"/>
      <c r="U27" s="67"/>
      <c r="V27" s="69"/>
      <c r="W27" s="70">
        <f t="shared" si="10"/>
        <v>2100</v>
      </c>
      <c r="X27" s="68"/>
      <c r="Y27" s="69"/>
      <c r="Z27" s="70">
        <f t="shared" si="11"/>
        <v>2100</v>
      </c>
      <c r="AA27" s="70">
        <v>0</v>
      </c>
      <c r="AB27" s="71"/>
      <c r="AC27" s="70">
        <v>2100</v>
      </c>
      <c r="AD27" s="68">
        <f t="shared" si="14"/>
        <v>2100</v>
      </c>
      <c r="AE27" s="68"/>
      <c r="AF27" s="69"/>
      <c r="AG27" s="68">
        <f>SUM(AH27:AK27)</f>
        <v>2100</v>
      </c>
      <c r="AH27" s="68"/>
      <c r="AI27" s="67"/>
      <c r="AJ27" s="71"/>
      <c r="AK27" s="70">
        <v>2100</v>
      </c>
      <c r="AL27" s="68"/>
      <c r="AM27" s="68"/>
      <c r="AN27" s="67"/>
      <c r="AO27" s="68">
        <f>SUM(AP27:AS27)</f>
        <v>2069.136</v>
      </c>
      <c r="AP27" s="71"/>
      <c r="AQ27" s="67"/>
      <c r="AR27" s="67"/>
      <c r="AS27" s="70">
        <v>2069.136</v>
      </c>
      <c r="AT27" s="70">
        <f t="shared" si="12"/>
        <v>0</v>
      </c>
      <c r="AU27" s="71"/>
      <c r="AV27" s="71"/>
      <c r="AW27" s="70">
        <f t="shared" si="13"/>
        <v>0</v>
      </c>
      <c r="AX27" s="71"/>
      <c r="AY27" s="67"/>
      <c r="AZ27" s="67"/>
      <c r="BA27" s="68"/>
      <c r="BB27" s="68"/>
      <c r="BC27" s="71"/>
      <c r="BD27" s="71"/>
      <c r="BE27" s="71"/>
      <c r="BF27" s="67"/>
      <c r="BG27" s="67"/>
      <c r="BH27" s="67"/>
      <c r="BI27" s="67"/>
      <c r="BJ27" s="67"/>
      <c r="BK27" s="67"/>
      <c r="BL27" s="67"/>
      <c r="BM27" s="67"/>
      <c r="BN27" s="67"/>
      <c r="BO27" s="67"/>
      <c r="BP27" s="67"/>
      <c r="BQ27" s="67"/>
      <c r="BR27" s="67"/>
      <c r="BS27" s="67"/>
      <c r="BT27" s="67"/>
      <c r="BU27" s="70"/>
      <c r="BV27" s="70"/>
      <c r="BW27" s="541" t="s">
        <v>151</v>
      </c>
      <c r="BX27" s="101">
        <f t="shared" si="2"/>
        <v>0</v>
      </c>
      <c r="BY27" s="17"/>
      <c r="BZ27" s="12"/>
      <c r="CA27" s="578"/>
      <c r="CB27" s="10"/>
      <c r="CC27" s="385"/>
    </row>
    <row r="28" spans="1:82" ht="54" customHeight="1" outlineLevel="1">
      <c r="A28" s="535">
        <v>10</v>
      </c>
      <c r="B28" s="580" t="s">
        <v>129</v>
      </c>
      <c r="C28" s="534" t="s">
        <v>99</v>
      </c>
      <c r="D28" s="70" t="s">
        <v>97</v>
      </c>
      <c r="E28" s="535" t="s">
        <v>49</v>
      </c>
      <c r="F28" s="535" t="s">
        <v>48</v>
      </c>
      <c r="G28" s="70" t="s">
        <v>113</v>
      </c>
      <c r="H28" s="535">
        <v>8090864</v>
      </c>
      <c r="I28" s="535">
        <v>2024</v>
      </c>
      <c r="J28" s="535">
        <v>2024</v>
      </c>
      <c r="K28" s="532"/>
      <c r="L28" s="585" t="s">
        <v>130</v>
      </c>
      <c r="M28" s="70">
        <f>SUM(N28:P28)</f>
        <v>2100</v>
      </c>
      <c r="N28" s="69"/>
      <c r="O28" s="70">
        <v>2100</v>
      </c>
      <c r="P28" s="70"/>
      <c r="Q28" s="70" t="s">
        <v>131</v>
      </c>
      <c r="R28" s="70" t="s">
        <v>103</v>
      </c>
      <c r="S28" s="69"/>
      <c r="T28" s="67"/>
      <c r="U28" s="67"/>
      <c r="V28" s="69"/>
      <c r="W28" s="70">
        <f t="shared" si="10"/>
        <v>2100</v>
      </c>
      <c r="X28" s="68"/>
      <c r="Y28" s="69"/>
      <c r="Z28" s="70">
        <f t="shared" si="11"/>
        <v>2100</v>
      </c>
      <c r="AA28" s="70">
        <v>0</v>
      </c>
      <c r="AB28" s="71"/>
      <c r="AC28" s="70">
        <v>2100</v>
      </c>
      <c r="AD28" s="68">
        <f t="shared" si="14"/>
        <v>2100</v>
      </c>
      <c r="AE28" s="68"/>
      <c r="AF28" s="69"/>
      <c r="AG28" s="68">
        <f>SUM(AH28:AK28)</f>
        <v>2100</v>
      </c>
      <c r="AH28" s="68"/>
      <c r="AI28" s="67"/>
      <c r="AJ28" s="71"/>
      <c r="AK28" s="70">
        <v>2100</v>
      </c>
      <c r="AL28" s="68"/>
      <c r="AM28" s="68"/>
      <c r="AN28" s="67"/>
      <c r="AO28" s="68">
        <f>SUM(AP28:AS28)</f>
        <v>2073.587</v>
      </c>
      <c r="AP28" s="71"/>
      <c r="AQ28" s="67"/>
      <c r="AR28" s="67"/>
      <c r="AS28" s="70">
        <v>2073.587</v>
      </c>
      <c r="AT28" s="70">
        <f t="shared" si="12"/>
        <v>0</v>
      </c>
      <c r="AU28" s="71"/>
      <c r="AV28" s="71"/>
      <c r="AW28" s="70">
        <f t="shared" si="13"/>
        <v>0</v>
      </c>
      <c r="AX28" s="71"/>
      <c r="AY28" s="67"/>
      <c r="AZ28" s="67"/>
      <c r="BA28" s="68"/>
      <c r="BB28" s="68"/>
      <c r="BC28" s="71"/>
      <c r="BD28" s="71"/>
      <c r="BE28" s="71"/>
      <c r="BF28" s="67"/>
      <c r="BG28" s="67"/>
      <c r="BH28" s="67"/>
      <c r="BI28" s="67"/>
      <c r="BJ28" s="67"/>
      <c r="BK28" s="67"/>
      <c r="BL28" s="67"/>
      <c r="BM28" s="67"/>
      <c r="BN28" s="67"/>
      <c r="BO28" s="67"/>
      <c r="BP28" s="67"/>
      <c r="BQ28" s="67"/>
      <c r="BR28" s="67"/>
      <c r="BS28" s="67"/>
      <c r="BT28" s="67"/>
      <c r="BU28" s="70"/>
      <c r="BV28" s="70"/>
      <c r="BW28" s="541" t="s">
        <v>108</v>
      </c>
      <c r="BX28" s="101">
        <f t="shared" si="2"/>
        <v>0</v>
      </c>
      <c r="BY28" s="17"/>
      <c r="BZ28" s="12"/>
      <c r="CA28" s="578"/>
      <c r="CB28" s="10"/>
      <c r="CC28" s="385"/>
    </row>
    <row r="29" spans="1:82" ht="50.25" customHeight="1" outlineLevel="1">
      <c r="A29" s="535">
        <v>11</v>
      </c>
      <c r="B29" s="580" t="s">
        <v>862</v>
      </c>
      <c r="C29" s="534" t="s">
        <v>99</v>
      </c>
      <c r="D29" s="70" t="s">
        <v>97</v>
      </c>
      <c r="E29" s="535" t="s">
        <v>49</v>
      </c>
      <c r="F29" s="535" t="s">
        <v>48</v>
      </c>
      <c r="G29" s="70" t="s">
        <v>103</v>
      </c>
      <c r="H29" s="535">
        <v>8132831</v>
      </c>
      <c r="I29" s="535">
        <v>2025</v>
      </c>
      <c r="J29" s="535">
        <v>2025</v>
      </c>
      <c r="K29" s="532"/>
      <c r="L29" s="585" t="s">
        <v>132</v>
      </c>
      <c r="M29" s="70">
        <f>SUM(N29:P29)</f>
        <v>3200</v>
      </c>
      <c r="N29" s="71">
        <v>1200</v>
      </c>
      <c r="O29" s="70">
        <v>2000</v>
      </c>
      <c r="P29" s="70"/>
      <c r="Q29" s="67"/>
      <c r="R29" s="70" t="s">
        <v>103</v>
      </c>
      <c r="S29" s="69"/>
      <c r="T29" s="67"/>
      <c r="U29" s="67"/>
      <c r="V29" s="69"/>
      <c r="W29" s="70">
        <f t="shared" si="10"/>
        <v>2000</v>
      </c>
      <c r="X29" s="68"/>
      <c r="Y29" s="69"/>
      <c r="Z29" s="70">
        <f t="shared" si="11"/>
        <v>2000</v>
      </c>
      <c r="AA29" s="70">
        <v>0</v>
      </c>
      <c r="AB29" s="71"/>
      <c r="AC29" s="70">
        <v>2000</v>
      </c>
      <c r="AD29" s="68"/>
      <c r="AE29" s="68"/>
      <c r="AF29" s="69"/>
      <c r="AG29" s="68"/>
      <c r="AH29" s="70"/>
      <c r="AI29" s="67"/>
      <c r="AJ29" s="71"/>
      <c r="AK29" s="67"/>
      <c r="AL29" s="68"/>
      <c r="AM29" s="68"/>
      <c r="AN29" s="67"/>
      <c r="AO29" s="71"/>
      <c r="AP29" s="71"/>
      <c r="AQ29" s="67"/>
      <c r="AR29" s="67"/>
      <c r="AS29" s="67"/>
      <c r="AT29" s="70">
        <f t="shared" si="12"/>
        <v>2000</v>
      </c>
      <c r="AU29" s="71"/>
      <c r="AV29" s="71"/>
      <c r="AW29" s="70">
        <f t="shared" si="13"/>
        <v>2000</v>
      </c>
      <c r="AX29" s="71"/>
      <c r="AY29" s="72"/>
      <c r="AZ29" s="70">
        <v>2000</v>
      </c>
      <c r="BA29" s="68">
        <f>SUM(BB29:BD29)</f>
        <v>2000</v>
      </c>
      <c r="BB29" s="68"/>
      <c r="BC29" s="71"/>
      <c r="BD29" s="71">
        <f>SUM(BE29:BH29)</f>
        <v>2000</v>
      </c>
      <c r="BE29" s="71"/>
      <c r="BF29" s="67"/>
      <c r="BG29" s="67"/>
      <c r="BH29" s="70">
        <v>2000</v>
      </c>
      <c r="BI29" s="67"/>
      <c r="BJ29" s="67"/>
      <c r="BK29" s="67"/>
      <c r="BL29" s="67"/>
      <c r="BM29" s="67"/>
      <c r="BN29" s="67"/>
      <c r="BO29" s="67"/>
      <c r="BP29" s="67"/>
      <c r="BQ29" s="67"/>
      <c r="BR29" s="67"/>
      <c r="BS29" s="67"/>
      <c r="BT29" s="67"/>
      <c r="BU29" s="70"/>
      <c r="BV29" s="70"/>
      <c r="BW29" s="541" t="s">
        <v>3678</v>
      </c>
      <c r="BX29" s="101">
        <f t="shared" si="2"/>
        <v>0</v>
      </c>
      <c r="BY29" s="17"/>
      <c r="BZ29" s="12"/>
      <c r="CA29" s="578"/>
      <c r="CB29" s="10"/>
      <c r="CC29" s="385"/>
    </row>
    <row r="30" spans="1:82" ht="53.25" customHeight="1" outlineLevel="1">
      <c r="A30" s="535">
        <v>12</v>
      </c>
      <c r="B30" s="586" t="s">
        <v>133</v>
      </c>
      <c r="C30" s="585" t="s">
        <v>120</v>
      </c>
      <c r="D30" s="70" t="s">
        <v>97</v>
      </c>
      <c r="E30" s="535" t="s">
        <v>49</v>
      </c>
      <c r="F30" s="535" t="s">
        <v>48</v>
      </c>
      <c r="G30" s="70" t="s">
        <v>113</v>
      </c>
      <c r="H30" s="109" t="s">
        <v>134</v>
      </c>
      <c r="I30" s="535">
        <v>2021</v>
      </c>
      <c r="J30" s="532"/>
      <c r="K30" s="532"/>
      <c r="L30" s="585" t="s">
        <v>135</v>
      </c>
      <c r="M30" s="110">
        <f>SUM(N30:P30)</f>
        <v>200</v>
      </c>
      <c r="N30" s="72"/>
      <c r="O30" s="67"/>
      <c r="P30" s="110">
        <v>200</v>
      </c>
      <c r="Q30" s="67"/>
      <c r="R30" s="70" t="s">
        <v>103</v>
      </c>
      <c r="S30" s="72"/>
      <c r="T30" s="67"/>
      <c r="U30" s="67"/>
      <c r="V30" s="72"/>
      <c r="W30" s="70">
        <f t="shared" si="10"/>
        <v>200</v>
      </c>
      <c r="X30" s="72"/>
      <c r="Y30" s="72"/>
      <c r="Z30" s="70">
        <f t="shared" si="11"/>
        <v>200</v>
      </c>
      <c r="AA30" s="70">
        <v>0</v>
      </c>
      <c r="AB30" s="72"/>
      <c r="AC30" s="110">
        <v>200</v>
      </c>
      <c r="AD30" s="68">
        <f>SUM(AE30:AG30)</f>
        <v>200</v>
      </c>
      <c r="AE30" s="72"/>
      <c r="AF30" s="72"/>
      <c r="AG30" s="71">
        <f>SUM(AH30:AK30)</f>
        <v>200</v>
      </c>
      <c r="AH30" s="67"/>
      <c r="AI30" s="67"/>
      <c r="AJ30" s="67"/>
      <c r="AK30" s="110">
        <v>200</v>
      </c>
      <c r="AL30" s="72"/>
      <c r="AM30" s="72"/>
      <c r="AN30" s="67"/>
      <c r="AO30" s="72"/>
      <c r="AP30" s="72"/>
      <c r="AQ30" s="67"/>
      <c r="AR30" s="67"/>
      <c r="AS30" s="67"/>
      <c r="AT30" s="70">
        <f t="shared" si="12"/>
        <v>0</v>
      </c>
      <c r="AU30" s="72"/>
      <c r="AV30" s="72"/>
      <c r="AW30" s="70">
        <f t="shared" si="13"/>
        <v>0</v>
      </c>
      <c r="AX30" s="72"/>
      <c r="AY30" s="67"/>
      <c r="AZ30" s="67"/>
      <c r="BA30" s="72"/>
      <c r="BB30" s="72"/>
      <c r="BC30" s="72"/>
      <c r="BD30" s="72"/>
      <c r="BE30" s="72"/>
      <c r="BF30" s="67"/>
      <c r="BG30" s="67"/>
      <c r="BH30" s="67"/>
      <c r="BI30" s="67"/>
      <c r="BJ30" s="67"/>
      <c r="BK30" s="67"/>
      <c r="BL30" s="67"/>
      <c r="BM30" s="67"/>
      <c r="BN30" s="67"/>
      <c r="BO30" s="67"/>
      <c r="BP30" s="67"/>
      <c r="BQ30" s="67"/>
      <c r="BR30" s="67"/>
      <c r="BS30" s="67"/>
      <c r="BT30" s="67"/>
      <c r="BU30" s="67"/>
      <c r="BV30" s="67"/>
      <c r="BW30" s="543"/>
      <c r="BX30" s="101">
        <f t="shared" si="2"/>
        <v>0</v>
      </c>
      <c r="BY30" s="14"/>
      <c r="BZ30" s="14"/>
      <c r="CA30" s="578"/>
      <c r="CB30" s="13"/>
      <c r="CC30" s="385"/>
    </row>
    <row r="31" spans="1:82" ht="39.75" customHeight="1" outlineLevel="1">
      <c r="A31" s="535">
        <v>13</v>
      </c>
      <c r="B31" s="586" t="s">
        <v>136</v>
      </c>
      <c r="C31" s="585" t="s">
        <v>97</v>
      </c>
      <c r="D31" s="70" t="s">
        <v>97</v>
      </c>
      <c r="E31" s="535" t="s">
        <v>49</v>
      </c>
      <c r="F31" s="535" t="s">
        <v>137</v>
      </c>
      <c r="G31" s="70" t="s">
        <v>103</v>
      </c>
      <c r="H31" s="109" t="s">
        <v>138</v>
      </c>
      <c r="I31" s="535">
        <v>2021</v>
      </c>
      <c r="J31" s="535"/>
      <c r="K31" s="532"/>
      <c r="L31" s="585" t="s">
        <v>135</v>
      </c>
      <c r="M31" s="110">
        <f>SUM(N31:P31)</f>
        <v>200</v>
      </c>
      <c r="N31" s="69"/>
      <c r="O31" s="67"/>
      <c r="P31" s="110">
        <v>200</v>
      </c>
      <c r="Q31" s="67"/>
      <c r="R31" s="70" t="s">
        <v>103</v>
      </c>
      <c r="S31" s="69"/>
      <c r="T31" s="67"/>
      <c r="U31" s="67"/>
      <c r="V31" s="69"/>
      <c r="W31" s="70">
        <f t="shared" si="10"/>
        <v>200</v>
      </c>
      <c r="X31" s="68"/>
      <c r="Y31" s="69"/>
      <c r="Z31" s="70">
        <f t="shared" si="11"/>
        <v>200</v>
      </c>
      <c r="AA31" s="70">
        <v>0</v>
      </c>
      <c r="AB31" s="67"/>
      <c r="AC31" s="110">
        <v>200</v>
      </c>
      <c r="AD31" s="68">
        <f>SUM(AE31:AG31)</f>
        <v>200</v>
      </c>
      <c r="AE31" s="68"/>
      <c r="AF31" s="69"/>
      <c r="AG31" s="71">
        <f>SUM(AH31:AK31)</f>
        <v>200</v>
      </c>
      <c r="AH31" s="67"/>
      <c r="AI31" s="67"/>
      <c r="AJ31" s="67"/>
      <c r="AK31" s="110">
        <v>200</v>
      </c>
      <c r="AL31" s="68"/>
      <c r="AM31" s="68"/>
      <c r="AN31" s="67"/>
      <c r="AO31" s="71"/>
      <c r="AP31" s="71"/>
      <c r="AQ31" s="67"/>
      <c r="AR31" s="67"/>
      <c r="AS31" s="71"/>
      <c r="AT31" s="70">
        <f t="shared" si="12"/>
        <v>0</v>
      </c>
      <c r="AU31" s="69"/>
      <c r="AV31" s="69"/>
      <c r="AW31" s="70">
        <f t="shared" si="13"/>
        <v>0</v>
      </c>
      <c r="AX31" s="69"/>
      <c r="AY31" s="67"/>
      <c r="AZ31" s="67"/>
      <c r="BA31" s="68"/>
      <c r="BB31" s="68"/>
      <c r="BC31" s="69"/>
      <c r="BD31" s="69"/>
      <c r="BE31" s="69"/>
      <c r="BF31" s="67"/>
      <c r="BG31" s="67"/>
      <c r="BH31" s="67"/>
      <c r="BI31" s="67"/>
      <c r="BJ31" s="67"/>
      <c r="BK31" s="67"/>
      <c r="BL31" s="67"/>
      <c r="BM31" s="67"/>
      <c r="BN31" s="67"/>
      <c r="BO31" s="67"/>
      <c r="BP31" s="67"/>
      <c r="BQ31" s="67"/>
      <c r="BR31" s="67"/>
      <c r="BS31" s="67"/>
      <c r="BT31" s="67"/>
      <c r="BU31" s="67"/>
      <c r="BV31" s="67"/>
      <c r="BW31" s="541"/>
      <c r="BX31" s="101">
        <f t="shared" si="2"/>
        <v>0</v>
      </c>
      <c r="BY31" s="12"/>
      <c r="BZ31" s="12"/>
      <c r="CA31" s="578"/>
      <c r="CB31" s="8"/>
      <c r="CC31" s="385"/>
    </row>
    <row r="32" spans="1:82" ht="78.75" customHeight="1" outlineLevel="1">
      <c r="A32" s="535">
        <v>14</v>
      </c>
      <c r="B32" s="580" t="s">
        <v>871</v>
      </c>
      <c r="C32" s="585" t="s">
        <v>139</v>
      </c>
      <c r="D32" s="70" t="s">
        <v>97</v>
      </c>
      <c r="E32" s="535" t="s">
        <v>49</v>
      </c>
      <c r="F32" s="535"/>
      <c r="G32" s="70" t="s">
        <v>100</v>
      </c>
      <c r="H32" s="580">
        <v>7612703</v>
      </c>
      <c r="I32" s="535"/>
      <c r="J32" s="535"/>
      <c r="K32" s="532"/>
      <c r="L32" s="534" t="s">
        <v>101</v>
      </c>
      <c r="M32" s="68">
        <v>34969</v>
      </c>
      <c r="N32" s="67"/>
      <c r="O32" s="67"/>
      <c r="P32" s="70"/>
      <c r="Q32" s="70" t="s">
        <v>102</v>
      </c>
      <c r="R32" s="70" t="s">
        <v>103</v>
      </c>
      <c r="S32" s="67"/>
      <c r="T32" s="67"/>
      <c r="U32" s="67"/>
      <c r="V32" s="67"/>
      <c r="W32" s="70">
        <f t="shared" si="10"/>
        <v>118.959</v>
      </c>
      <c r="X32" s="70"/>
      <c r="Y32" s="70"/>
      <c r="Z32" s="70">
        <f t="shared" si="11"/>
        <v>118.959</v>
      </c>
      <c r="AA32" s="70">
        <v>0</v>
      </c>
      <c r="AB32" s="70"/>
      <c r="AC32" s="68">
        <v>118.959</v>
      </c>
      <c r="AD32" s="68">
        <f>SUM(AE32:AG32)</f>
        <v>118.959</v>
      </c>
      <c r="AE32" s="70"/>
      <c r="AF32" s="70"/>
      <c r="AG32" s="68">
        <f>SUM(AH32:AK32)</f>
        <v>118.959</v>
      </c>
      <c r="AH32" s="72"/>
      <c r="AI32" s="70"/>
      <c r="AJ32" s="70"/>
      <c r="AK32" s="68">
        <v>118.959</v>
      </c>
      <c r="AL32" s="70"/>
      <c r="AM32" s="70"/>
      <c r="AN32" s="70"/>
      <c r="AO32" s="70"/>
      <c r="AP32" s="70"/>
      <c r="AQ32" s="70"/>
      <c r="AR32" s="70"/>
      <c r="AS32" s="70"/>
      <c r="AT32" s="70">
        <f t="shared" si="12"/>
        <v>0</v>
      </c>
      <c r="AU32" s="70"/>
      <c r="AV32" s="70"/>
      <c r="AW32" s="70">
        <f t="shared" si="13"/>
        <v>0</v>
      </c>
      <c r="AX32" s="70"/>
      <c r="AY32" s="70"/>
      <c r="AZ32" s="70"/>
      <c r="BA32" s="70"/>
      <c r="BB32" s="70"/>
      <c r="BC32" s="70"/>
      <c r="BD32" s="70"/>
      <c r="BE32" s="70"/>
      <c r="BF32" s="70"/>
      <c r="BG32" s="70"/>
      <c r="BH32" s="70"/>
      <c r="BI32" s="67"/>
      <c r="BJ32" s="67"/>
      <c r="BK32" s="67"/>
      <c r="BL32" s="67"/>
      <c r="BM32" s="67"/>
      <c r="BN32" s="67"/>
      <c r="BO32" s="67"/>
      <c r="BP32" s="67"/>
      <c r="BQ32" s="67"/>
      <c r="BR32" s="67"/>
      <c r="BS32" s="67"/>
      <c r="BT32" s="67"/>
      <c r="BU32" s="67"/>
      <c r="BV32" s="67"/>
      <c r="BW32" s="541" t="s">
        <v>108</v>
      </c>
      <c r="BX32" s="101">
        <f t="shared" si="2"/>
        <v>0</v>
      </c>
      <c r="BY32" s="6"/>
      <c r="BZ32" s="6"/>
      <c r="CA32" s="583"/>
      <c r="CB32" s="9"/>
      <c r="CC32" s="9"/>
    </row>
    <row r="33" spans="1:81" ht="30" customHeight="1">
      <c r="A33" s="536" t="s">
        <v>13</v>
      </c>
      <c r="B33" s="536" t="s">
        <v>140</v>
      </c>
      <c r="C33" s="536"/>
      <c r="D33" s="104"/>
      <c r="E33" s="536"/>
      <c r="F33" s="536"/>
      <c r="G33" s="104"/>
      <c r="H33" s="536"/>
      <c r="I33" s="536"/>
      <c r="J33" s="536"/>
      <c r="K33" s="536"/>
      <c r="L33" s="536"/>
      <c r="M33" s="104">
        <f t="shared" ref="M33:AR33" si="15">SUM(M35:M68)</f>
        <v>694342</v>
      </c>
      <c r="N33" s="104">
        <f t="shared" si="15"/>
        <v>192000</v>
      </c>
      <c r="O33" s="104">
        <f t="shared" si="15"/>
        <v>70000</v>
      </c>
      <c r="P33" s="104">
        <f t="shared" si="15"/>
        <v>420878.7</v>
      </c>
      <c r="Q33" s="104">
        <f t="shared" si="15"/>
        <v>0</v>
      </c>
      <c r="R33" s="104">
        <f t="shared" si="15"/>
        <v>0</v>
      </c>
      <c r="S33" s="104">
        <f t="shared" si="15"/>
        <v>45795</v>
      </c>
      <c r="T33" s="104">
        <f t="shared" si="15"/>
        <v>0</v>
      </c>
      <c r="U33" s="104">
        <f t="shared" si="15"/>
        <v>0</v>
      </c>
      <c r="V33" s="104">
        <f t="shared" si="15"/>
        <v>45795</v>
      </c>
      <c r="W33" s="104">
        <f t="shared" si="15"/>
        <v>183088.255248</v>
      </c>
      <c r="X33" s="104">
        <f t="shared" si="15"/>
        <v>100000</v>
      </c>
      <c r="Y33" s="104">
        <f t="shared" si="15"/>
        <v>25000</v>
      </c>
      <c r="Z33" s="104">
        <f t="shared" si="15"/>
        <v>183088.255248</v>
      </c>
      <c r="AA33" s="104">
        <f t="shared" si="15"/>
        <v>40889.536999999997</v>
      </c>
      <c r="AB33" s="104">
        <f t="shared" si="15"/>
        <v>114795.64212</v>
      </c>
      <c r="AC33" s="104">
        <f t="shared" si="15"/>
        <v>27403.076128000001</v>
      </c>
      <c r="AD33" s="104">
        <f t="shared" si="15"/>
        <v>173090.576</v>
      </c>
      <c r="AE33" s="104">
        <f t="shared" si="15"/>
        <v>100000</v>
      </c>
      <c r="AF33" s="104">
        <f t="shared" si="15"/>
        <v>25000</v>
      </c>
      <c r="AG33" s="104">
        <f t="shared" si="15"/>
        <v>48090.575999999994</v>
      </c>
      <c r="AH33" s="104">
        <f t="shared" si="15"/>
        <v>36792.095999999998</v>
      </c>
      <c r="AI33" s="104">
        <f t="shared" si="15"/>
        <v>0</v>
      </c>
      <c r="AJ33" s="104">
        <f t="shared" si="15"/>
        <v>0</v>
      </c>
      <c r="AK33" s="104">
        <f t="shared" si="15"/>
        <v>11298.48</v>
      </c>
      <c r="AL33" s="104">
        <f t="shared" si="15"/>
        <v>160017.806855</v>
      </c>
      <c r="AM33" s="104">
        <f t="shared" si="15"/>
        <v>98300</v>
      </c>
      <c r="AN33" s="104">
        <f t="shared" si="15"/>
        <v>25000</v>
      </c>
      <c r="AO33" s="104">
        <f t="shared" si="15"/>
        <v>36717.806855000003</v>
      </c>
      <c r="AP33" s="104">
        <f t="shared" si="15"/>
        <v>36717.806855000003</v>
      </c>
      <c r="AQ33" s="104">
        <f t="shared" si="15"/>
        <v>0</v>
      </c>
      <c r="AR33" s="104">
        <f t="shared" si="15"/>
        <v>0</v>
      </c>
      <c r="AS33" s="104">
        <f t="shared" ref="AS33:BU33" si="16">SUM(AS35:AS68)</f>
        <v>0</v>
      </c>
      <c r="AT33" s="104">
        <f t="shared" si="16"/>
        <v>15334</v>
      </c>
      <c r="AU33" s="104">
        <f t="shared" si="16"/>
        <v>50000</v>
      </c>
      <c r="AV33" s="104">
        <f t="shared" si="16"/>
        <v>12042</v>
      </c>
      <c r="AW33" s="104">
        <f t="shared" si="16"/>
        <v>15334</v>
      </c>
      <c r="AX33" s="104">
        <f t="shared" si="16"/>
        <v>8030</v>
      </c>
      <c r="AY33" s="104">
        <f t="shared" si="16"/>
        <v>0</v>
      </c>
      <c r="AZ33" s="104">
        <f t="shared" si="16"/>
        <v>7304</v>
      </c>
      <c r="BA33" s="104">
        <f t="shared" si="16"/>
        <v>63208</v>
      </c>
      <c r="BB33" s="104">
        <f t="shared" si="16"/>
        <v>48300</v>
      </c>
      <c r="BC33" s="104">
        <f t="shared" si="16"/>
        <v>12042</v>
      </c>
      <c r="BD33" s="104">
        <f t="shared" si="16"/>
        <v>2866</v>
      </c>
      <c r="BE33" s="104">
        <f t="shared" si="16"/>
        <v>2866</v>
      </c>
      <c r="BF33" s="104">
        <f t="shared" si="16"/>
        <v>0</v>
      </c>
      <c r="BG33" s="104">
        <f t="shared" si="16"/>
        <v>0</v>
      </c>
      <c r="BH33" s="104">
        <f t="shared" si="16"/>
        <v>0</v>
      </c>
      <c r="BI33" s="104">
        <f t="shared" si="16"/>
        <v>0</v>
      </c>
      <c r="BJ33" s="104">
        <f t="shared" si="16"/>
        <v>0</v>
      </c>
      <c r="BK33" s="104">
        <f t="shared" si="16"/>
        <v>0</v>
      </c>
      <c r="BL33" s="104">
        <f t="shared" si="16"/>
        <v>0</v>
      </c>
      <c r="BM33" s="104">
        <f t="shared" si="16"/>
        <v>0</v>
      </c>
      <c r="BN33" s="104">
        <f t="shared" si="16"/>
        <v>0</v>
      </c>
      <c r="BO33" s="104">
        <f t="shared" si="16"/>
        <v>0</v>
      </c>
      <c r="BP33" s="104">
        <f t="shared" si="16"/>
        <v>0</v>
      </c>
      <c r="BQ33" s="104">
        <f t="shared" si="16"/>
        <v>174932</v>
      </c>
      <c r="BR33" s="104">
        <f t="shared" si="16"/>
        <v>90000</v>
      </c>
      <c r="BS33" s="104">
        <f t="shared" si="16"/>
        <v>84932</v>
      </c>
      <c r="BT33" s="104">
        <f t="shared" si="16"/>
        <v>0</v>
      </c>
      <c r="BU33" s="104">
        <f t="shared" si="16"/>
        <v>0</v>
      </c>
      <c r="BV33" s="104"/>
      <c r="BW33" s="536"/>
      <c r="BX33" s="101">
        <f t="shared" si="2"/>
        <v>0</v>
      </c>
      <c r="BY33" s="104">
        <f>SUM(BY35:BY68)</f>
        <v>40889.536999999997</v>
      </c>
      <c r="BZ33" s="12"/>
      <c r="CA33" s="578"/>
      <c r="CB33" s="579"/>
      <c r="CC33" s="579"/>
    </row>
    <row r="34" spans="1:81" ht="30" customHeight="1">
      <c r="A34" s="553" t="s">
        <v>45</v>
      </c>
      <c r="B34" s="542" t="s">
        <v>51</v>
      </c>
      <c r="C34" s="537"/>
      <c r="D34" s="69"/>
      <c r="E34" s="537"/>
      <c r="F34" s="537"/>
      <c r="G34" s="69"/>
      <c r="H34" s="537"/>
      <c r="I34" s="537"/>
      <c r="J34" s="537"/>
      <c r="K34" s="537"/>
      <c r="L34" s="537"/>
      <c r="M34" s="69">
        <f t="shared" ref="M34:AR34" si="17">SUM(M35:M68)</f>
        <v>694342</v>
      </c>
      <c r="N34" s="69">
        <f t="shared" si="17"/>
        <v>192000</v>
      </c>
      <c r="O34" s="69">
        <f t="shared" si="17"/>
        <v>70000</v>
      </c>
      <c r="P34" s="69">
        <f t="shared" si="17"/>
        <v>420878.7</v>
      </c>
      <c r="Q34" s="69">
        <f t="shared" si="17"/>
        <v>0</v>
      </c>
      <c r="R34" s="69">
        <f t="shared" si="17"/>
        <v>0</v>
      </c>
      <c r="S34" s="69">
        <f t="shared" si="17"/>
        <v>45795</v>
      </c>
      <c r="T34" s="69">
        <f t="shared" si="17"/>
        <v>0</v>
      </c>
      <c r="U34" s="69">
        <f t="shared" si="17"/>
        <v>0</v>
      </c>
      <c r="V34" s="69">
        <f t="shared" si="17"/>
        <v>45795</v>
      </c>
      <c r="W34" s="69">
        <f t="shared" si="17"/>
        <v>183088.255248</v>
      </c>
      <c r="X34" s="69">
        <f t="shared" si="17"/>
        <v>100000</v>
      </c>
      <c r="Y34" s="69">
        <f t="shared" si="17"/>
        <v>25000</v>
      </c>
      <c r="Z34" s="69">
        <f t="shared" si="17"/>
        <v>183088.255248</v>
      </c>
      <c r="AA34" s="69">
        <f t="shared" si="17"/>
        <v>40889.536999999997</v>
      </c>
      <c r="AB34" s="69">
        <f t="shared" si="17"/>
        <v>114795.64212</v>
      </c>
      <c r="AC34" s="69">
        <f t="shared" si="17"/>
        <v>27403.076128000001</v>
      </c>
      <c r="AD34" s="69">
        <f t="shared" si="17"/>
        <v>173090.576</v>
      </c>
      <c r="AE34" s="69">
        <f t="shared" si="17"/>
        <v>100000</v>
      </c>
      <c r="AF34" s="69">
        <f t="shared" si="17"/>
        <v>25000</v>
      </c>
      <c r="AG34" s="69">
        <f t="shared" si="17"/>
        <v>48090.575999999994</v>
      </c>
      <c r="AH34" s="69">
        <f t="shared" si="17"/>
        <v>36792.095999999998</v>
      </c>
      <c r="AI34" s="69">
        <f t="shared" si="17"/>
        <v>0</v>
      </c>
      <c r="AJ34" s="69">
        <f t="shared" si="17"/>
        <v>0</v>
      </c>
      <c r="AK34" s="69">
        <f t="shared" si="17"/>
        <v>11298.48</v>
      </c>
      <c r="AL34" s="69">
        <f t="shared" si="17"/>
        <v>160017.806855</v>
      </c>
      <c r="AM34" s="69">
        <f t="shared" si="17"/>
        <v>98300</v>
      </c>
      <c r="AN34" s="69">
        <f t="shared" si="17"/>
        <v>25000</v>
      </c>
      <c r="AO34" s="69">
        <f t="shared" si="17"/>
        <v>36717.806855000003</v>
      </c>
      <c r="AP34" s="69">
        <f t="shared" si="17"/>
        <v>36717.806855000003</v>
      </c>
      <c r="AQ34" s="69">
        <f t="shared" si="17"/>
        <v>0</v>
      </c>
      <c r="AR34" s="69">
        <f t="shared" si="17"/>
        <v>0</v>
      </c>
      <c r="AS34" s="69">
        <f t="shared" ref="AS34:BU34" si="18">SUM(AS35:AS68)</f>
        <v>0</v>
      </c>
      <c r="AT34" s="69">
        <f t="shared" si="18"/>
        <v>15334</v>
      </c>
      <c r="AU34" s="69">
        <f t="shared" si="18"/>
        <v>50000</v>
      </c>
      <c r="AV34" s="69">
        <f t="shared" si="18"/>
        <v>12042</v>
      </c>
      <c r="AW34" s="69">
        <f t="shared" si="18"/>
        <v>15334</v>
      </c>
      <c r="AX34" s="69">
        <f t="shared" si="18"/>
        <v>8030</v>
      </c>
      <c r="AY34" s="69">
        <f t="shared" si="18"/>
        <v>0</v>
      </c>
      <c r="AZ34" s="69">
        <f t="shared" si="18"/>
        <v>7304</v>
      </c>
      <c r="BA34" s="69">
        <f t="shared" si="18"/>
        <v>63208</v>
      </c>
      <c r="BB34" s="69">
        <f t="shared" si="18"/>
        <v>48300</v>
      </c>
      <c r="BC34" s="69">
        <f t="shared" si="18"/>
        <v>12042</v>
      </c>
      <c r="BD34" s="69">
        <f t="shared" si="18"/>
        <v>2866</v>
      </c>
      <c r="BE34" s="69">
        <f t="shared" si="18"/>
        <v>2866</v>
      </c>
      <c r="BF34" s="69">
        <f t="shared" si="18"/>
        <v>0</v>
      </c>
      <c r="BG34" s="69">
        <f t="shared" si="18"/>
        <v>0</v>
      </c>
      <c r="BH34" s="69">
        <f t="shared" si="18"/>
        <v>0</v>
      </c>
      <c r="BI34" s="69">
        <f t="shared" si="18"/>
        <v>0</v>
      </c>
      <c r="BJ34" s="69">
        <f t="shared" si="18"/>
        <v>0</v>
      </c>
      <c r="BK34" s="69">
        <f t="shared" si="18"/>
        <v>0</v>
      </c>
      <c r="BL34" s="69">
        <f t="shared" si="18"/>
        <v>0</v>
      </c>
      <c r="BM34" s="69">
        <f t="shared" si="18"/>
        <v>0</v>
      </c>
      <c r="BN34" s="69">
        <f t="shared" si="18"/>
        <v>0</v>
      </c>
      <c r="BO34" s="69">
        <f t="shared" si="18"/>
        <v>0</v>
      </c>
      <c r="BP34" s="69">
        <f t="shared" si="18"/>
        <v>0</v>
      </c>
      <c r="BQ34" s="69">
        <f t="shared" si="18"/>
        <v>174932</v>
      </c>
      <c r="BR34" s="69">
        <f t="shared" si="18"/>
        <v>90000</v>
      </c>
      <c r="BS34" s="69">
        <f t="shared" si="18"/>
        <v>84932</v>
      </c>
      <c r="BT34" s="69">
        <f t="shared" si="18"/>
        <v>0</v>
      </c>
      <c r="BU34" s="69">
        <f t="shared" si="18"/>
        <v>0</v>
      </c>
      <c r="BV34" s="69"/>
      <c r="BW34" s="537"/>
      <c r="BX34" s="101">
        <f t="shared" si="2"/>
        <v>0</v>
      </c>
      <c r="BY34" s="69">
        <f>SUM(BY35:BY68)</f>
        <v>40889.536999999997</v>
      </c>
      <c r="BZ34" s="12"/>
      <c r="CA34" s="578"/>
      <c r="CB34" s="579"/>
      <c r="CC34" s="579"/>
    </row>
    <row r="35" spans="1:81" ht="46.15" outlineLevel="1">
      <c r="A35" s="535">
        <v>1</v>
      </c>
      <c r="B35" s="580" t="s">
        <v>141</v>
      </c>
      <c r="C35" s="534" t="s">
        <v>99</v>
      </c>
      <c r="D35" s="70" t="s">
        <v>140</v>
      </c>
      <c r="E35" s="535" t="s">
        <v>49</v>
      </c>
      <c r="F35" s="535" t="s">
        <v>105</v>
      </c>
      <c r="G35" s="70" t="s">
        <v>142</v>
      </c>
      <c r="H35" s="580">
        <v>7923647</v>
      </c>
      <c r="I35" s="535" t="s">
        <v>71</v>
      </c>
      <c r="J35" s="535">
        <v>2021</v>
      </c>
      <c r="K35" s="532"/>
      <c r="L35" s="535" t="s">
        <v>114</v>
      </c>
      <c r="M35" s="70">
        <v>5667</v>
      </c>
      <c r="N35" s="69"/>
      <c r="O35" s="67"/>
      <c r="P35" s="70">
        <v>4200</v>
      </c>
      <c r="Q35" s="70" t="s">
        <v>143</v>
      </c>
      <c r="R35" s="70" t="s">
        <v>142</v>
      </c>
      <c r="S35" s="69"/>
      <c r="T35" s="67"/>
      <c r="U35" s="67"/>
      <c r="V35" s="69"/>
      <c r="W35" s="70">
        <f t="shared" ref="W35:W68" si="19">SUM(AA35+AB35+AC35)</f>
        <v>5490.6299999999992</v>
      </c>
      <c r="X35" s="68"/>
      <c r="Y35" s="69"/>
      <c r="Z35" s="70">
        <f t="shared" ref="Z35:Z68" si="20">SUM(AA35:AC35)</f>
        <v>5490.6299999999992</v>
      </c>
      <c r="AA35" s="70">
        <v>3632.5369999999998</v>
      </c>
      <c r="AB35" s="68">
        <v>1121.6479999999999</v>
      </c>
      <c r="AC35" s="70">
        <v>736.44500000000005</v>
      </c>
      <c r="AD35" s="68">
        <v>2632.5369999999998</v>
      </c>
      <c r="AE35" s="68"/>
      <c r="AF35" s="69"/>
      <c r="AG35" s="71">
        <v>2632.5369999999998</v>
      </c>
      <c r="AH35" s="71">
        <v>2632.5369999999998</v>
      </c>
      <c r="AI35" s="67"/>
      <c r="AJ35" s="67"/>
      <c r="AK35" s="67"/>
      <c r="AL35" s="68">
        <v>2632.5369999999998</v>
      </c>
      <c r="AM35" s="68"/>
      <c r="AN35" s="67"/>
      <c r="AO35" s="71">
        <v>2632.5369999999998</v>
      </c>
      <c r="AP35" s="71">
        <v>2632.5369999999998</v>
      </c>
      <c r="AQ35" s="67"/>
      <c r="AR35" s="67"/>
      <c r="AS35" s="67"/>
      <c r="AT35" s="70">
        <f>SUM(AX35+AY35+AZ35)</f>
        <v>0</v>
      </c>
      <c r="AU35" s="69"/>
      <c r="AV35" s="69"/>
      <c r="AW35" s="70">
        <f t="shared" ref="AW35:AW68" si="21">SUM(AX35:AZ35)</f>
        <v>0</v>
      </c>
      <c r="AX35" s="69"/>
      <c r="AY35" s="67"/>
      <c r="AZ35" s="67"/>
      <c r="BA35" s="68"/>
      <c r="BB35" s="68"/>
      <c r="BC35" s="69"/>
      <c r="BD35" s="69"/>
      <c r="BE35" s="69"/>
      <c r="BF35" s="67"/>
      <c r="BG35" s="67"/>
      <c r="BH35" s="67"/>
      <c r="BI35" s="67"/>
      <c r="BJ35" s="67"/>
      <c r="BK35" s="67"/>
      <c r="BL35" s="67"/>
      <c r="BM35" s="67"/>
      <c r="BN35" s="67"/>
      <c r="BO35" s="67"/>
      <c r="BP35" s="67"/>
      <c r="BQ35" s="67"/>
      <c r="BR35" s="67"/>
      <c r="BS35" s="67"/>
      <c r="BT35" s="67"/>
      <c r="BU35" s="67"/>
      <c r="BV35" s="67"/>
      <c r="BW35" s="541" t="s">
        <v>108</v>
      </c>
      <c r="BX35" s="101">
        <f t="shared" si="2"/>
        <v>0</v>
      </c>
      <c r="BY35" s="11">
        <v>3632.5369999999998</v>
      </c>
      <c r="BZ35" s="12"/>
      <c r="CA35" s="578"/>
      <c r="CB35" s="8"/>
      <c r="CC35" s="385"/>
    </row>
    <row r="36" spans="1:81" ht="46.15" outlineLevel="1">
      <c r="A36" s="535">
        <v>2</v>
      </c>
      <c r="B36" s="539" t="s">
        <v>144</v>
      </c>
      <c r="C36" s="534" t="s">
        <v>99</v>
      </c>
      <c r="D36" s="70" t="s">
        <v>140</v>
      </c>
      <c r="E36" s="535" t="s">
        <v>10</v>
      </c>
      <c r="F36" s="535" t="s">
        <v>105</v>
      </c>
      <c r="G36" s="70" t="s">
        <v>145</v>
      </c>
      <c r="H36" s="587">
        <v>8070755</v>
      </c>
      <c r="I36" s="535" t="s">
        <v>53</v>
      </c>
      <c r="J36" s="535">
        <v>2024</v>
      </c>
      <c r="K36" s="532"/>
      <c r="L36" s="535" t="s">
        <v>146</v>
      </c>
      <c r="M36" s="70">
        <v>53100</v>
      </c>
      <c r="N36" s="69"/>
      <c r="O36" s="67"/>
      <c r="P36" s="70">
        <v>53100</v>
      </c>
      <c r="Q36" s="70" t="s">
        <v>147</v>
      </c>
      <c r="R36" s="70" t="s">
        <v>148</v>
      </c>
      <c r="S36" s="69"/>
      <c r="T36" s="67"/>
      <c r="U36" s="67"/>
      <c r="V36" s="69"/>
      <c r="W36" s="70">
        <f t="shared" si="19"/>
        <v>1988</v>
      </c>
      <c r="X36" s="68"/>
      <c r="Y36" s="69"/>
      <c r="Z36" s="70">
        <f t="shared" si="20"/>
        <v>1988</v>
      </c>
      <c r="AA36" s="70">
        <v>579</v>
      </c>
      <c r="AB36" s="68">
        <v>1409</v>
      </c>
      <c r="AC36" s="67"/>
      <c r="AD36" s="68">
        <v>579</v>
      </c>
      <c r="AE36" s="68"/>
      <c r="AF36" s="69"/>
      <c r="AG36" s="71">
        <v>579</v>
      </c>
      <c r="AH36" s="71">
        <v>579</v>
      </c>
      <c r="AI36" s="67"/>
      <c r="AJ36" s="67"/>
      <c r="AK36" s="67"/>
      <c r="AL36" s="68">
        <v>579</v>
      </c>
      <c r="AM36" s="68"/>
      <c r="AN36" s="67"/>
      <c r="AO36" s="71">
        <v>579</v>
      </c>
      <c r="AP36" s="71">
        <v>579</v>
      </c>
      <c r="AQ36" s="67"/>
      <c r="AR36" s="67"/>
      <c r="AS36" s="67"/>
      <c r="AT36" s="70">
        <f t="shared" ref="AT36:AT68" si="22">SUM(AX36+AY36+AZ36)</f>
        <v>0</v>
      </c>
      <c r="AU36" s="69"/>
      <c r="AV36" s="69"/>
      <c r="AW36" s="70">
        <f t="shared" si="21"/>
        <v>0</v>
      </c>
      <c r="AX36" s="69"/>
      <c r="AY36" s="67"/>
      <c r="AZ36" s="67"/>
      <c r="BA36" s="68"/>
      <c r="BB36" s="68"/>
      <c r="BC36" s="69"/>
      <c r="BD36" s="69"/>
      <c r="BE36" s="69"/>
      <c r="BF36" s="67"/>
      <c r="BG36" s="67"/>
      <c r="BH36" s="67"/>
      <c r="BI36" s="67"/>
      <c r="BJ36" s="67"/>
      <c r="BK36" s="67"/>
      <c r="BL36" s="67"/>
      <c r="BM36" s="67"/>
      <c r="BN36" s="67"/>
      <c r="BO36" s="67"/>
      <c r="BP36" s="67"/>
      <c r="BQ36" s="67"/>
      <c r="BR36" s="67"/>
      <c r="BS36" s="67"/>
      <c r="BT36" s="67"/>
      <c r="BU36" s="67"/>
      <c r="BV36" s="67"/>
      <c r="BW36" s="541" t="s">
        <v>108</v>
      </c>
      <c r="BX36" s="101">
        <f t="shared" si="2"/>
        <v>0</v>
      </c>
      <c r="BY36" s="11">
        <v>579</v>
      </c>
      <c r="BZ36" s="12"/>
      <c r="CA36" s="578"/>
      <c r="CB36" s="8"/>
      <c r="CC36" s="385"/>
    </row>
    <row r="37" spans="1:81" ht="46.15" outlineLevel="1">
      <c r="A37" s="535">
        <v>3</v>
      </c>
      <c r="B37" s="539" t="s">
        <v>149</v>
      </c>
      <c r="C37" s="534" t="s">
        <v>99</v>
      </c>
      <c r="D37" s="70" t="s">
        <v>140</v>
      </c>
      <c r="E37" s="535" t="s">
        <v>49</v>
      </c>
      <c r="F37" s="534" t="s">
        <v>48</v>
      </c>
      <c r="G37" s="70" t="s">
        <v>145</v>
      </c>
      <c r="H37" s="111">
        <v>8136774</v>
      </c>
      <c r="I37" s="535">
        <v>2025</v>
      </c>
      <c r="J37" s="535">
        <v>2025</v>
      </c>
      <c r="K37" s="532"/>
      <c r="L37" s="535" t="s">
        <v>150</v>
      </c>
      <c r="M37" s="70">
        <v>900</v>
      </c>
      <c r="N37" s="69"/>
      <c r="O37" s="67"/>
      <c r="P37" s="70">
        <v>900</v>
      </c>
      <c r="Q37" s="67"/>
      <c r="R37" s="70" t="s">
        <v>148</v>
      </c>
      <c r="S37" s="69"/>
      <c r="T37" s="67"/>
      <c r="U37" s="67"/>
      <c r="V37" s="69"/>
      <c r="W37" s="70">
        <f t="shared" si="19"/>
        <v>900</v>
      </c>
      <c r="X37" s="68"/>
      <c r="Y37" s="69"/>
      <c r="Z37" s="70">
        <f t="shared" si="20"/>
        <v>900</v>
      </c>
      <c r="AA37" s="70">
        <v>900</v>
      </c>
      <c r="AB37" s="67"/>
      <c r="AC37" s="67"/>
      <c r="AD37" s="68"/>
      <c r="AE37" s="68"/>
      <c r="AF37" s="69"/>
      <c r="AG37" s="71"/>
      <c r="AH37" s="71"/>
      <c r="AI37" s="67"/>
      <c r="AJ37" s="67"/>
      <c r="AK37" s="67"/>
      <c r="AL37" s="73"/>
      <c r="AM37" s="68"/>
      <c r="AN37" s="67"/>
      <c r="AO37" s="73"/>
      <c r="AP37" s="73"/>
      <c r="AQ37" s="67"/>
      <c r="AR37" s="67"/>
      <c r="AS37" s="67"/>
      <c r="AT37" s="70">
        <f t="shared" si="22"/>
        <v>900</v>
      </c>
      <c r="AU37" s="71"/>
      <c r="AV37" s="71"/>
      <c r="AW37" s="70">
        <f t="shared" si="21"/>
        <v>900</v>
      </c>
      <c r="AX37" s="71">
        <v>900</v>
      </c>
      <c r="AY37" s="67"/>
      <c r="AZ37" s="67"/>
      <c r="BA37" s="73">
        <f>BD37</f>
        <v>332</v>
      </c>
      <c r="BB37" s="68"/>
      <c r="BC37" s="69"/>
      <c r="BD37" s="73">
        <v>332</v>
      </c>
      <c r="BE37" s="73">
        <v>332</v>
      </c>
      <c r="BF37" s="67"/>
      <c r="BG37" s="67"/>
      <c r="BH37" s="67"/>
      <c r="BI37" s="67"/>
      <c r="BJ37" s="67"/>
      <c r="BK37" s="67"/>
      <c r="BL37" s="67"/>
      <c r="BM37" s="67"/>
      <c r="BN37" s="67"/>
      <c r="BO37" s="67"/>
      <c r="BP37" s="67"/>
      <c r="BQ37" s="67"/>
      <c r="BR37" s="67"/>
      <c r="BS37" s="67"/>
      <c r="BT37" s="67"/>
      <c r="BU37" s="67"/>
      <c r="BV37" s="67"/>
      <c r="BW37" s="541" t="s">
        <v>151</v>
      </c>
      <c r="BX37" s="101">
        <f t="shared" si="2"/>
        <v>0</v>
      </c>
      <c r="BY37" s="11">
        <v>900</v>
      </c>
      <c r="BZ37" s="12"/>
      <c r="CA37" s="578"/>
      <c r="CB37" s="10">
        <v>900</v>
      </c>
      <c r="CC37" s="385"/>
    </row>
    <row r="38" spans="1:81" ht="46.15" outlineLevel="1">
      <c r="A38" s="535">
        <v>4</v>
      </c>
      <c r="B38" s="539" t="s">
        <v>152</v>
      </c>
      <c r="C38" s="534" t="s">
        <v>99</v>
      </c>
      <c r="D38" s="70" t="s">
        <v>140</v>
      </c>
      <c r="E38" s="535" t="s">
        <v>49</v>
      </c>
      <c r="F38" s="534" t="s">
        <v>48</v>
      </c>
      <c r="G38" s="70" t="s">
        <v>142</v>
      </c>
      <c r="H38" s="111">
        <v>8136775</v>
      </c>
      <c r="I38" s="535">
        <v>2025</v>
      </c>
      <c r="J38" s="535">
        <v>2025</v>
      </c>
      <c r="K38" s="532"/>
      <c r="L38" s="535" t="s">
        <v>153</v>
      </c>
      <c r="M38" s="70">
        <v>2800</v>
      </c>
      <c r="N38" s="69"/>
      <c r="O38" s="67"/>
      <c r="P38" s="70">
        <v>2800</v>
      </c>
      <c r="Q38" s="67"/>
      <c r="R38" s="70" t="s">
        <v>142</v>
      </c>
      <c r="S38" s="69"/>
      <c r="T38" s="67"/>
      <c r="U38" s="67"/>
      <c r="V38" s="69"/>
      <c r="W38" s="70">
        <f t="shared" si="19"/>
        <v>2600</v>
      </c>
      <c r="X38" s="68"/>
      <c r="Y38" s="69"/>
      <c r="Z38" s="70">
        <f t="shared" si="20"/>
        <v>2600</v>
      </c>
      <c r="AA38" s="70">
        <v>2600</v>
      </c>
      <c r="AB38" s="67"/>
      <c r="AC38" s="67"/>
      <c r="AD38" s="68"/>
      <c r="AE38" s="68"/>
      <c r="AF38" s="69"/>
      <c r="AG38" s="71"/>
      <c r="AH38" s="71"/>
      <c r="AI38" s="67"/>
      <c r="AJ38" s="67"/>
      <c r="AK38" s="67"/>
      <c r="AL38" s="73"/>
      <c r="AM38" s="68"/>
      <c r="AN38" s="67"/>
      <c r="AO38" s="73"/>
      <c r="AP38" s="73"/>
      <c r="AQ38" s="67"/>
      <c r="AR38" s="67"/>
      <c r="AS38" s="67"/>
      <c r="AT38" s="70">
        <f t="shared" si="22"/>
        <v>2600</v>
      </c>
      <c r="AU38" s="71"/>
      <c r="AV38" s="71"/>
      <c r="AW38" s="70">
        <f t="shared" si="21"/>
        <v>2600</v>
      </c>
      <c r="AX38" s="71">
        <v>2600</v>
      </c>
      <c r="AY38" s="67"/>
      <c r="AZ38" s="67"/>
      <c r="BA38" s="73">
        <f>BD38</f>
        <v>1459</v>
      </c>
      <c r="BB38" s="68"/>
      <c r="BC38" s="69"/>
      <c r="BD38" s="73">
        <v>1459</v>
      </c>
      <c r="BE38" s="73">
        <v>1459</v>
      </c>
      <c r="BF38" s="67"/>
      <c r="BG38" s="67"/>
      <c r="BH38" s="67"/>
      <c r="BI38" s="67"/>
      <c r="BJ38" s="67"/>
      <c r="BK38" s="67"/>
      <c r="BL38" s="67"/>
      <c r="BM38" s="67"/>
      <c r="BN38" s="67"/>
      <c r="BO38" s="67"/>
      <c r="BP38" s="67"/>
      <c r="BQ38" s="67"/>
      <c r="BR38" s="67"/>
      <c r="BS38" s="67"/>
      <c r="BT38" s="67"/>
      <c r="BU38" s="67"/>
      <c r="BV38" s="67"/>
      <c r="BW38" s="541" t="s">
        <v>151</v>
      </c>
      <c r="BX38" s="101">
        <f t="shared" si="2"/>
        <v>0</v>
      </c>
      <c r="BY38" s="11">
        <v>2600</v>
      </c>
      <c r="BZ38" s="12"/>
      <c r="CA38" s="578"/>
      <c r="CB38" s="10">
        <v>2600</v>
      </c>
      <c r="CC38" s="385"/>
    </row>
    <row r="39" spans="1:81" ht="46.15" outlineLevel="1">
      <c r="A39" s="535">
        <v>5</v>
      </c>
      <c r="B39" s="539" t="s">
        <v>154</v>
      </c>
      <c r="C39" s="534" t="s">
        <v>99</v>
      </c>
      <c r="D39" s="70" t="s">
        <v>140</v>
      </c>
      <c r="E39" s="535" t="s">
        <v>49</v>
      </c>
      <c r="F39" s="534" t="s">
        <v>48</v>
      </c>
      <c r="G39" s="70" t="s">
        <v>142</v>
      </c>
      <c r="H39" s="111">
        <v>8136776</v>
      </c>
      <c r="I39" s="535">
        <v>2025</v>
      </c>
      <c r="J39" s="535">
        <v>2025</v>
      </c>
      <c r="K39" s="532"/>
      <c r="L39" s="535" t="s">
        <v>155</v>
      </c>
      <c r="M39" s="70">
        <v>1500</v>
      </c>
      <c r="N39" s="69"/>
      <c r="O39" s="67"/>
      <c r="P39" s="70">
        <v>1500</v>
      </c>
      <c r="Q39" s="67"/>
      <c r="R39" s="70" t="s">
        <v>142</v>
      </c>
      <c r="S39" s="69"/>
      <c r="T39" s="67"/>
      <c r="U39" s="67"/>
      <c r="V39" s="69"/>
      <c r="W39" s="70">
        <f t="shared" si="19"/>
        <v>1500</v>
      </c>
      <c r="X39" s="68"/>
      <c r="Y39" s="69"/>
      <c r="Z39" s="70">
        <f t="shared" si="20"/>
        <v>1500</v>
      </c>
      <c r="AA39" s="70">
        <v>500</v>
      </c>
      <c r="AB39" s="67"/>
      <c r="AC39" s="110">
        <v>1000</v>
      </c>
      <c r="AD39" s="68"/>
      <c r="AE39" s="68"/>
      <c r="AF39" s="69"/>
      <c r="AG39" s="71"/>
      <c r="AH39" s="71"/>
      <c r="AI39" s="67"/>
      <c r="AJ39" s="67"/>
      <c r="AK39" s="67"/>
      <c r="AL39" s="73"/>
      <c r="AM39" s="68"/>
      <c r="AN39" s="67"/>
      <c r="AO39" s="73"/>
      <c r="AP39" s="73"/>
      <c r="AQ39" s="67"/>
      <c r="AR39" s="67"/>
      <c r="AS39" s="67"/>
      <c r="AT39" s="70">
        <f t="shared" si="22"/>
        <v>1500</v>
      </c>
      <c r="AU39" s="71"/>
      <c r="AV39" s="71"/>
      <c r="AW39" s="70">
        <f t="shared" si="21"/>
        <v>1500</v>
      </c>
      <c r="AX39" s="71">
        <v>500</v>
      </c>
      <c r="AY39" s="67"/>
      <c r="AZ39" s="110">
        <v>1000</v>
      </c>
      <c r="BA39" s="73">
        <f>BD39</f>
        <v>154</v>
      </c>
      <c r="BB39" s="68"/>
      <c r="BC39" s="69"/>
      <c r="BD39" s="73">
        <v>154</v>
      </c>
      <c r="BE39" s="73">
        <v>154</v>
      </c>
      <c r="BF39" s="67"/>
      <c r="BG39" s="67"/>
      <c r="BH39" s="67"/>
      <c r="BI39" s="67"/>
      <c r="BJ39" s="67"/>
      <c r="BK39" s="67"/>
      <c r="BL39" s="67"/>
      <c r="BM39" s="67"/>
      <c r="BN39" s="67"/>
      <c r="BO39" s="67"/>
      <c r="BP39" s="67"/>
      <c r="BQ39" s="67"/>
      <c r="BR39" s="67"/>
      <c r="BS39" s="67"/>
      <c r="BT39" s="67"/>
      <c r="BU39" s="67"/>
      <c r="BV39" s="67"/>
      <c r="BW39" s="541" t="s">
        <v>151</v>
      </c>
      <c r="BX39" s="101">
        <f t="shared" si="2"/>
        <v>0</v>
      </c>
      <c r="BY39" s="11">
        <v>500</v>
      </c>
      <c r="BZ39" s="12"/>
      <c r="CA39" s="578"/>
      <c r="CB39" s="10">
        <v>500</v>
      </c>
      <c r="CC39" s="385"/>
    </row>
    <row r="40" spans="1:81" ht="46.15" outlineLevel="1">
      <c r="A40" s="535">
        <v>6</v>
      </c>
      <c r="B40" s="539" t="s">
        <v>156</v>
      </c>
      <c r="C40" s="534" t="s">
        <v>99</v>
      </c>
      <c r="D40" s="70" t="s">
        <v>140</v>
      </c>
      <c r="E40" s="535" t="s">
        <v>49</v>
      </c>
      <c r="F40" s="534" t="s">
        <v>48</v>
      </c>
      <c r="G40" s="70" t="s">
        <v>145</v>
      </c>
      <c r="H40" s="111">
        <v>8136777</v>
      </c>
      <c r="I40" s="535">
        <v>2025</v>
      </c>
      <c r="J40" s="535">
        <v>2025</v>
      </c>
      <c r="K40" s="532"/>
      <c r="L40" s="535" t="s">
        <v>157</v>
      </c>
      <c r="M40" s="70">
        <v>2040</v>
      </c>
      <c r="N40" s="69"/>
      <c r="O40" s="67"/>
      <c r="P40" s="70">
        <v>2040</v>
      </c>
      <c r="Q40" s="67"/>
      <c r="R40" s="70" t="s">
        <v>148</v>
      </c>
      <c r="S40" s="69"/>
      <c r="T40" s="67"/>
      <c r="U40" s="67"/>
      <c r="V40" s="69"/>
      <c r="W40" s="70">
        <f t="shared" si="19"/>
        <v>2040</v>
      </c>
      <c r="X40" s="68"/>
      <c r="Y40" s="69"/>
      <c r="Z40" s="70">
        <f t="shared" si="20"/>
        <v>2040</v>
      </c>
      <c r="AA40" s="70">
        <v>2040</v>
      </c>
      <c r="AB40" s="67"/>
      <c r="AC40" s="67"/>
      <c r="AD40" s="68"/>
      <c r="AE40" s="68"/>
      <c r="AF40" s="69"/>
      <c r="AG40" s="71"/>
      <c r="AH40" s="71"/>
      <c r="AI40" s="67"/>
      <c r="AJ40" s="67"/>
      <c r="AK40" s="67"/>
      <c r="AL40" s="73"/>
      <c r="AM40" s="68"/>
      <c r="AN40" s="67"/>
      <c r="AO40" s="73"/>
      <c r="AP40" s="73"/>
      <c r="AQ40" s="67"/>
      <c r="AR40" s="67"/>
      <c r="AS40" s="67"/>
      <c r="AT40" s="70">
        <f t="shared" si="22"/>
        <v>2040</v>
      </c>
      <c r="AU40" s="71"/>
      <c r="AV40" s="71"/>
      <c r="AW40" s="70">
        <f t="shared" si="21"/>
        <v>2040</v>
      </c>
      <c r="AX40" s="71">
        <v>2040</v>
      </c>
      <c r="AY40" s="67"/>
      <c r="AZ40" s="67"/>
      <c r="BA40" s="73">
        <f>BD40</f>
        <v>815</v>
      </c>
      <c r="BB40" s="68"/>
      <c r="BC40" s="69"/>
      <c r="BD40" s="73">
        <v>815</v>
      </c>
      <c r="BE40" s="73">
        <v>815</v>
      </c>
      <c r="BF40" s="67"/>
      <c r="BG40" s="67"/>
      <c r="BH40" s="67"/>
      <c r="BI40" s="67"/>
      <c r="BJ40" s="67"/>
      <c r="BK40" s="67"/>
      <c r="BL40" s="67"/>
      <c r="BM40" s="67"/>
      <c r="BN40" s="67"/>
      <c r="BO40" s="67"/>
      <c r="BP40" s="67"/>
      <c r="BQ40" s="67"/>
      <c r="BR40" s="67"/>
      <c r="BS40" s="67"/>
      <c r="BT40" s="67"/>
      <c r="BU40" s="67"/>
      <c r="BV40" s="67"/>
      <c r="BW40" s="541" t="s">
        <v>151</v>
      </c>
      <c r="BX40" s="101">
        <f t="shared" si="2"/>
        <v>0</v>
      </c>
      <c r="BY40" s="11">
        <v>2040</v>
      </c>
      <c r="BZ40" s="12"/>
      <c r="CA40" s="578"/>
      <c r="CB40" s="10">
        <v>2040</v>
      </c>
      <c r="CC40" s="385"/>
    </row>
    <row r="41" spans="1:81" ht="46.15" outlineLevel="1">
      <c r="A41" s="535">
        <v>7</v>
      </c>
      <c r="B41" s="580" t="s">
        <v>158</v>
      </c>
      <c r="C41" s="534" t="s">
        <v>99</v>
      </c>
      <c r="D41" s="70" t="s">
        <v>140</v>
      </c>
      <c r="E41" s="535" t="s">
        <v>49</v>
      </c>
      <c r="F41" s="588" t="s">
        <v>105</v>
      </c>
      <c r="G41" s="70" t="s">
        <v>145</v>
      </c>
      <c r="H41" s="535">
        <v>8132466</v>
      </c>
      <c r="I41" s="535">
        <v>2025</v>
      </c>
      <c r="J41" s="535">
        <v>2025</v>
      </c>
      <c r="K41" s="532"/>
      <c r="L41" s="535" t="s">
        <v>159</v>
      </c>
      <c r="M41" s="70">
        <v>4990</v>
      </c>
      <c r="N41" s="69"/>
      <c r="O41" s="67"/>
      <c r="P41" s="70">
        <v>4990</v>
      </c>
      <c r="Q41" s="67"/>
      <c r="R41" s="70" t="s">
        <v>148</v>
      </c>
      <c r="S41" s="69"/>
      <c r="T41" s="67"/>
      <c r="U41" s="67"/>
      <c r="V41" s="69"/>
      <c r="W41" s="70">
        <f t="shared" si="19"/>
        <v>4990</v>
      </c>
      <c r="X41" s="68"/>
      <c r="Y41" s="69"/>
      <c r="Z41" s="70">
        <f t="shared" si="20"/>
        <v>4990</v>
      </c>
      <c r="AA41" s="70">
        <v>1990</v>
      </c>
      <c r="AB41" s="67"/>
      <c r="AC41" s="110">
        <v>3000</v>
      </c>
      <c r="AD41" s="68"/>
      <c r="AE41" s="68"/>
      <c r="AF41" s="69"/>
      <c r="AG41" s="71"/>
      <c r="AH41" s="71"/>
      <c r="AI41" s="67"/>
      <c r="AJ41" s="67"/>
      <c r="AK41" s="67"/>
      <c r="AL41" s="68"/>
      <c r="AM41" s="68"/>
      <c r="AN41" s="67"/>
      <c r="AO41" s="69"/>
      <c r="AP41" s="69"/>
      <c r="AQ41" s="67"/>
      <c r="AR41" s="67"/>
      <c r="AS41" s="67"/>
      <c r="AT41" s="70">
        <f t="shared" si="22"/>
        <v>4990</v>
      </c>
      <c r="AU41" s="71"/>
      <c r="AV41" s="71"/>
      <c r="AW41" s="70">
        <f t="shared" si="21"/>
        <v>4990</v>
      </c>
      <c r="AX41" s="71">
        <v>1990</v>
      </c>
      <c r="AY41" s="67"/>
      <c r="AZ41" s="110">
        <v>3000</v>
      </c>
      <c r="BA41" s="73">
        <f t="shared" ref="BA41" si="23">BD41</f>
        <v>106</v>
      </c>
      <c r="BB41" s="68"/>
      <c r="BC41" s="71"/>
      <c r="BD41" s="71">
        <v>106</v>
      </c>
      <c r="BE41" s="71">
        <v>106</v>
      </c>
      <c r="BF41" s="67"/>
      <c r="BG41" s="67"/>
      <c r="BH41" s="67"/>
      <c r="BI41" s="67"/>
      <c r="BJ41" s="67"/>
      <c r="BK41" s="67"/>
      <c r="BL41" s="67"/>
      <c r="BM41" s="67"/>
      <c r="BN41" s="67"/>
      <c r="BO41" s="67"/>
      <c r="BP41" s="67"/>
      <c r="BQ41" s="67"/>
      <c r="BR41" s="67"/>
      <c r="BS41" s="67"/>
      <c r="BT41" s="67"/>
      <c r="BU41" s="67"/>
      <c r="BV41" s="67"/>
      <c r="BW41" s="541" t="s">
        <v>151</v>
      </c>
      <c r="BX41" s="101">
        <f t="shared" si="2"/>
        <v>0</v>
      </c>
      <c r="BY41" s="11">
        <v>1990</v>
      </c>
      <c r="BZ41" s="12"/>
      <c r="CA41" s="578"/>
      <c r="CB41" s="10">
        <v>1990</v>
      </c>
      <c r="CC41" s="385"/>
    </row>
    <row r="42" spans="1:81" ht="46.15" outlineLevel="1">
      <c r="A42" s="535">
        <v>8</v>
      </c>
      <c r="B42" s="580" t="s">
        <v>160</v>
      </c>
      <c r="C42" s="534" t="s">
        <v>99</v>
      </c>
      <c r="D42" s="70" t="s">
        <v>140</v>
      </c>
      <c r="E42" s="535" t="s">
        <v>49</v>
      </c>
      <c r="F42" s="535" t="s">
        <v>125</v>
      </c>
      <c r="G42" s="70" t="s">
        <v>145</v>
      </c>
      <c r="H42" s="584">
        <v>7874022</v>
      </c>
      <c r="I42" s="535" t="s">
        <v>71</v>
      </c>
      <c r="J42" s="535">
        <v>2021</v>
      </c>
      <c r="K42" s="532"/>
      <c r="L42" s="534" t="s">
        <v>161</v>
      </c>
      <c r="M42" s="68">
        <f>N42+O42+P42</f>
        <v>21280</v>
      </c>
      <c r="N42" s="69"/>
      <c r="O42" s="67"/>
      <c r="P42" s="68">
        <v>21280</v>
      </c>
      <c r="Q42" s="70" t="s">
        <v>162</v>
      </c>
      <c r="R42" s="70" t="s">
        <v>148</v>
      </c>
      <c r="S42" s="69">
        <v>0</v>
      </c>
      <c r="T42" s="67"/>
      <c r="U42" s="67"/>
      <c r="V42" s="69">
        <v>0</v>
      </c>
      <c r="W42" s="70">
        <f t="shared" si="19"/>
        <v>14169.905128</v>
      </c>
      <c r="X42" s="68"/>
      <c r="Y42" s="69"/>
      <c r="Z42" s="70">
        <f t="shared" si="20"/>
        <v>14169.905128</v>
      </c>
      <c r="AA42" s="70">
        <v>7000</v>
      </c>
      <c r="AB42" s="68">
        <v>1400</v>
      </c>
      <c r="AC42" s="71">
        <f>2402.225128+614.19+2300+453.49</f>
        <v>5769.9051280000003</v>
      </c>
      <c r="AD42" s="68">
        <v>7000</v>
      </c>
      <c r="AE42" s="68"/>
      <c r="AF42" s="69"/>
      <c r="AG42" s="71">
        <v>7000</v>
      </c>
      <c r="AH42" s="71">
        <v>7000</v>
      </c>
      <c r="AI42" s="67"/>
      <c r="AJ42" s="67"/>
      <c r="AK42" s="67"/>
      <c r="AL42" s="68">
        <v>7000</v>
      </c>
      <c r="AM42" s="68"/>
      <c r="AN42" s="67"/>
      <c r="AO42" s="71">
        <v>7000</v>
      </c>
      <c r="AP42" s="71">
        <v>7000</v>
      </c>
      <c r="AQ42" s="67"/>
      <c r="AR42" s="67"/>
      <c r="AS42" s="67"/>
      <c r="AT42" s="70">
        <f t="shared" si="22"/>
        <v>0</v>
      </c>
      <c r="AU42" s="71"/>
      <c r="AV42" s="71"/>
      <c r="AW42" s="70">
        <f t="shared" si="21"/>
        <v>0</v>
      </c>
      <c r="AX42" s="71"/>
      <c r="AY42" s="67"/>
      <c r="AZ42" s="67"/>
      <c r="BA42" s="68"/>
      <c r="BB42" s="68"/>
      <c r="BC42" s="69"/>
      <c r="BD42" s="69"/>
      <c r="BE42" s="69"/>
      <c r="BF42" s="67"/>
      <c r="BG42" s="67"/>
      <c r="BH42" s="67"/>
      <c r="BI42" s="67"/>
      <c r="BJ42" s="67"/>
      <c r="BK42" s="67"/>
      <c r="BL42" s="67"/>
      <c r="BM42" s="67"/>
      <c r="BN42" s="67"/>
      <c r="BO42" s="67"/>
      <c r="BP42" s="67"/>
      <c r="BQ42" s="67"/>
      <c r="BR42" s="67"/>
      <c r="BS42" s="67"/>
      <c r="BT42" s="67"/>
      <c r="BU42" s="67"/>
      <c r="BV42" s="67"/>
      <c r="BW42" s="541" t="s">
        <v>108</v>
      </c>
      <c r="BX42" s="101">
        <f t="shared" si="2"/>
        <v>0</v>
      </c>
      <c r="BY42" s="11">
        <v>7000</v>
      </c>
      <c r="BZ42" s="12"/>
      <c r="CA42" s="578"/>
      <c r="CB42" s="10"/>
      <c r="CC42" s="385"/>
    </row>
    <row r="43" spans="1:81" ht="46.15" outlineLevel="1">
      <c r="A43" s="535">
        <v>9</v>
      </c>
      <c r="B43" s="580" t="s">
        <v>163</v>
      </c>
      <c r="C43" s="534" t="s">
        <v>99</v>
      </c>
      <c r="D43" s="70" t="s">
        <v>140</v>
      </c>
      <c r="E43" s="535" t="s">
        <v>10</v>
      </c>
      <c r="F43" s="535" t="s">
        <v>105</v>
      </c>
      <c r="G43" s="70" t="s">
        <v>164</v>
      </c>
      <c r="H43" s="580">
        <v>7829566</v>
      </c>
      <c r="I43" s="535" t="s">
        <v>74</v>
      </c>
      <c r="J43" s="535">
        <v>2021</v>
      </c>
      <c r="K43" s="532"/>
      <c r="L43" s="534" t="s">
        <v>165</v>
      </c>
      <c r="M43" s="68">
        <v>79043</v>
      </c>
      <c r="N43" s="69"/>
      <c r="O43" s="67"/>
      <c r="P43" s="68">
        <v>79043</v>
      </c>
      <c r="Q43" s="70" t="s">
        <v>166</v>
      </c>
      <c r="R43" s="70" t="s">
        <v>142</v>
      </c>
      <c r="S43" s="69"/>
      <c r="T43" s="67"/>
      <c r="U43" s="67"/>
      <c r="V43" s="69"/>
      <c r="W43" s="70">
        <f t="shared" si="19"/>
        <v>6081.5621200000005</v>
      </c>
      <c r="X43" s="68"/>
      <c r="Y43" s="69"/>
      <c r="Z43" s="70">
        <f t="shared" si="20"/>
        <v>6081.5621200000005</v>
      </c>
      <c r="AA43" s="70">
        <v>2000</v>
      </c>
      <c r="AB43" s="68">
        <f>1717+835.43512</f>
        <v>2552.4351200000001</v>
      </c>
      <c r="AC43" s="68">
        <f>1300+229.127</f>
        <v>1529.127</v>
      </c>
      <c r="AD43" s="68">
        <v>2000</v>
      </c>
      <c r="AE43" s="68"/>
      <c r="AF43" s="69"/>
      <c r="AG43" s="71">
        <v>2000</v>
      </c>
      <c r="AH43" s="71">
        <v>2000</v>
      </c>
      <c r="AI43" s="67"/>
      <c r="AJ43" s="67"/>
      <c r="AK43" s="67"/>
      <c r="AL43" s="68">
        <v>2000</v>
      </c>
      <c r="AM43" s="68"/>
      <c r="AN43" s="67"/>
      <c r="AO43" s="71">
        <v>2000</v>
      </c>
      <c r="AP43" s="71">
        <v>2000</v>
      </c>
      <c r="AQ43" s="67"/>
      <c r="AR43" s="67"/>
      <c r="AS43" s="67"/>
      <c r="AT43" s="70">
        <f t="shared" si="22"/>
        <v>0</v>
      </c>
      <c r="AU43" s="69"/>
      <c r="AV43" s="69"/>
      <c r="AW43" s="70">
        <f t="shared" si="21"/>
        <v>0</v>
      </c>
      <c r="AX43" s="69"/>
      <c r="AY43" s="67"/>
      <c r="AZ43" s="67"/>
      <c r="BA43" s="68"/>
      <c r="BB43" s="68"/>
      <c r="BC43" s="69"/>
      <c r="BD43" s="69"/>
      <c r="BE43" s="69"/>
      <c r="BF43" s="67"/>
      <c r="BG43" s="67"/>
      <c r="BH43" s="67"/>
      <c r="BI43" s="67"/>
      <c r="BJ43" s="67"/>
      <c r="BK43" s="67"/>
      <c r="BL43" s="67"/>
      <c r="BM43" s="67"/>
      <c r="BN43" s="67"/>
      <c r="BO43" s="67"/>
      <c r="BP43" s="67"/>
      <c r="BQ43" s="67"/>
      <c r="BR43" s="67"/>
      <c r="BS43" s="67"/>
      <c r="BT43" s="67"/>
      <c r="BU43" s="67"/>
      <c r="BV43" s="67"/>
      <c r="BW43" s="541" t="s">
        <v>108</v>
      </c>
      <c r="BX43" s="101">
        <f t="shared" si="2"/>
        <v>0</v>
      </c>
      <c r="BY43" s="11">
        <v>2000</v>
      </c>
      <c r="BZ43" s="12"/>
      <c r="CA43" s="578"/>
      <c r="CB43" s="8"/>
      <c r="CC43" s="385"/>
    </row>
    <row r="44" spans="1:81" ht="46.15" outlineLevel="1">
      <c r="A44" s="535">
        <v>10</v>
      </c>
      <c r="B44" s="580" t="s">
        <v>167</v>
      </c>
      <c r="C44" s="534" t="s">
        <v>99</v>
      </c>
      <c r="D44" s="70" t="s">
        <v>140</v>
      </c>
      <c r="E44" s="535" t="s">
        <v>49</v>
      </c>
      <c r="F44" s="535" t="s">
        <v>105</v>
      </c>
      <c r="G44" s="70" t="s">
        <v>145</v>
      </c>
      <c r="H44" s="580">
        <v>7887061</v>
      </c>
      <c r="I44" s="535">
        <v>2022</v>
      </c>
      <c r="J44" s="535">
        <v>2022</v>
      </c>
      <c r="K44" s="532"/>
      <c r="L44" s="534" t="s">
        <v>168</v>
      </c>
      <c r="M44" s="68">
        <v>8000</v>
      </c>
      <c r="N44" s="69"/>
      <c r="O44" s="67"/>
      <c r="P44" s="70">
        <v>8000</v>
      </c>
      <c r="Q44" s="70" t="s">
        <v>169</v>
      </c>
      <c r="R44" s="70" t="s">
        <v>148</v>
      </c>
      <c r="S44" s="69"/>
      <c r="T44" s="67"/>
      <c r="U44" s="67"/>
      <c r="V44" s="69"/>
      <c r="W44" s="70">
        <f t="shared" si="19"/>
        <v>7803.2790000000005</v>
      </c>
      <c r="X44" s="68"/>
      <c r="Y44" s="69"/>
      <c r="Z44" s="70">
        <f t="shared" si="20"/>
        <v>7803.2790000000005</v>
      </c>
      <c r="AA44" s="70">
        <v>7300</v>
      </c>
      <c r="AB44" s="67"/>
      <c r="AC44" s="110">
        <v>503.279</v>
      </c>
      <c r="AD44" s="68">
        <v>7300</v>
      </c>
      <c r="AE44" s="68"/>
      <c r="AF44" s="69"/>
      <c r="AG44" s="71">
        <v>7300</v>
      </c>
      <c r="AH44" s="71">
        <v>7300</v>
      </c>
      <c r="AI44" s="67"/>
      <c r="AJ44" s="67"/>
      <c r="AK44" s="67"/>
      <c r="AL44" s="68">
        <v>7300</v>
      </c>
      <c r="AM44" s="68"/>
      <c r="AN44" s="67"/>
      <c r="AO44" s="71">
        <v>7300</v>
      </c>
      <c r="AP44" s="71">
        <v>7300</v>
      </c>
      <c r="AQ44" s="67"/>
      <c r="AR44" s="67"/>
      <c r="AS44" s="67"/>
      <c r="AT44" s="70">
        <f t="shared" si="22"/>
        <v>0</v>
      </c>
      <c r="AU44" s="69"/>
      <c r="AV44" s="69"/>
      <c r="AW44" s="70">
        <f t="shared" si="21"/>
        <v>0</v>
      </c>
      <c r="AX44" s="69"/>
      <c r="AY44" s="67"/>
      <c r="AZ44" s="67"/>
      <c r="BA44" s="68"/>
      <c r="BB44" s="68"/>
      <c r="BC44" s="69"/>
      <c r="BD44" s="69"/>
      <c r="BE44" s="69"/>
      <c r="BF44" s="67"/>
      <c r="BG44" s="67"/>
      <c r="BH44" s="67"/>
      <c r="BI44" s="67"/>
      <c r="BJ44" s="67"/>
      <c r="BK44" s="67"/>
      <c r="BL44" s="67"/>
      <c r="BM44" s="67"/>
      <c r="BN44" s="67"/>
      <c r="BO44" s="67"/>
      <c r="BP44" s="67"/>
      <c r="BQ44" s="67"/>
      <c r="BR44" s="67"/>
      <c r="BS44" s="67"/>
      <c r="BT44" s="67"/>
      <c r="BU44" s="67"/>
      <c r="BV44" s="67"/>
      <c r="BW44" s="541" t="s">
        <v>108</v>
      </c>
      <c r="BX44" s="101">
        <f t="shared" si="2"/>
        <v>0</v>
      </c>
      <c r="BY44" s="11">
        <v>7300</v>
      </c>
      <c r="BZ44" s="12"/>
      <c r="CA44" s="578"/>
      <c r="CB44" s="8"/>
      <c r="CC44" s="385"/>
    </row>
    <row r="45" spans="1:81" ht="46.15" outlineLevel="1">
      <c r="A45" s="535">
        <v>11</v>
      </c>
      <c r="B45" s="580" t="s">
        <v>170</v>
      </c>
      <c r="C45" s="534" t="s">
        <v>99</v>
      </c>
      <c r="D45" s="70" t="s">
        <v>140</v>
      </c>
      <c r="E45" s="535" t="s">
        <v>49</v>
      </c>
      <c r="F45" s="535" t="s">
        <v>105</v>
      </c>
      <c r="G45" s="70" t="s">
        <v>145</v>
      </c>
      <c r="H45" s="535">
        <v>7874019</v>
      </c>
      <c r="I45" s="535" t="s">
        <v>71</v>
      </c>
      <c r="J45" s="535">
        <v>2020</v>
      </c>
      <c r="K45" s="532"/>
      <c r="L45" s="535" t="s">
        <v>171</v>
      </c>
      <c r="M45" s="68">
        <v>23988</v>
      </c>
      <c r="N45" s="67"/>
      <c r="O45" s="67"/>
      <c r="P45" s="70">
        <v>23988</v>
      </c>
      <c r="Q45" s="67"/>
      <c r="R45" s="70" t="s">
        <v>148</v>
      </c>
      <c r="S45" s="67"/>
      <c r="T45" s="67"/>
      <c r="U45" s="67"/>
      <c r="V45" s="67"/>
      <c r="W45" s="70">
        <f t="shared" si="19"/>
        <v>1198.8399999999999</v>
      </c>
      <c r="X45" s="70"/>
      <c r="Y45" s="70"/>
      <c r="Z45" s="70">
        <f t="shared" si="20"/>
        <v>1198.8399999999999</v>
      </c>
      <c r="AA45" s="70">
        <v>937</v>
      </c>
      <c r="AB45" s="70"/>
      <c r="AC45" s="110">
        <v>261.83999999999997</v>
      </c>
      <c r="AD45" s="70">
        <v>500</v>
      </c>
      <c r="AE45" s="70"/>
      <c r="AF45" s="70"/>
      <c r="AG45" s="70">
        <v>500</v>
      </c>
      <c r="AH45" s="68">
        <v>500</v>
      </c>
      <c r="AI45" s="70"/>
      <c r="AJ45" s="70"/>
      <c r="AK45" s="70"/>
      <c r="AL45" s="70">
        <v>500</v>
      </c>
      <c r="AM45" s="70"/>
      <c r="AN45" s="70"/>
      <c r="AO45" s="70">
        <v>500</v>
      </c>
      <c r="AP45" s="70">
        <v>500</v>
      </c>
      <c r="AQ45" s="70"/>
      <c r="AR45" s="70"/>
      <c r="AS45" s="70"/>
      <c r="AT45" s="70">
        <f t="shared" si="22"/>
        <v>0</v>
      </c>
      <c r="AU45" s="70"/>
      <c r="AV45" s="70"/>
      <c r="AW45" s="70">
        <f t="shared" si="21"/>
        <v>0</v>
      </c>
      <c r="AX45" s="70"/>
      <c r="AY45" s="70"/>
      <c r="AZ45" s="70"/>
      <c r="BA45" s="70"/>
      <c r="BB45" s="70"/>
      <c r="BC45" s="70"/>
      <c r="BD45" s="70"/>
      <c r="BE45" s="70"/>
      <c r="BF45" s="70"/>
      <c r="BG45" s="70"/>
      <c r="BH45" s="70"/>
      <c r="BI45" s="67"/>
      <c r="BJ45" s="67"/>
      <c r="BK45" s="67"/>
      <c r="BL45" s="67"/>
      <c r="BM45" s="67"/>
      <c r="BN45" s="67"/>
      <c r="BO45" s="67"/>
      <c r="BP45" s="67"/>
      <c r="BQ45" s="67"/>
      <c r="BR45" s="67"/>
      <c r="BS45" s="67"/>
      <c r="BT45" s="67"/>
      <c r="BU45" s="67"/>
      <c r="BV45" s="67"/>
      <c r="BW45" s="541" t="s">
        <v>108</v>
      </c>
      <c r="BX45" s="101">
        <f t="shared" si="2"/>
        <v>0</v>
      </c>
      <c r="BY45" s="6">
        <v>937</v>
      </c>
      <c r="BZ45" s="6"/>
      <c r="CA45" s="583"/>
      <c r="CB45" s="9"/>
      <c r="CC45" s="9"/>
    </row>
    <row r="46" spans="1:81" ht="46.15" outlineLevel="1">
      <c r="A46" s="535">
        <v>12</v>
      </c>
      <c r="B46" s="580" t="s">
        <v>172</v>
      </c>
      <c r="C46" s="534" t="s">
        <v>99</v>
      </c>
      <c r="D46" s="70" t="s">
        <v>140</v>
      </c>
      <c r="E46" s="535" t="s">
        <v>49</v>
      </c>
      <c r="F46" s="535" t="s">
        <v>173</v>
      </c>
      <c r="G46" s="70" t="s">
        <v>145</v>
      </c>
      <c r="H46" s="111">
        <v>7657688</v>
      </c>
      <c r="I46" s="535" t="s">
        <v>80</v>
      </c>
      <c r="J46" s="535" t="s">
        <v>80</v>
      </c>
      <c r="K46" s="532"/>
      <c r="L46" s="535" t="s">
        <v>174</v>
      </c>
      <c r="M46" s="68">
        <v>49940</v>
      </c>
      <c r="N46" s="71"/>
      <c r="O46" s="67"/>
      <c r="P46" s="68">
        <v>48117</v>
      </c>
      <c r="Q46" s="70" t="s">
        <v>175</v>
      </c>
      <c r="R46" s="70" t="s">
        <v>148</v>
      </c>
      <c r="S46" s="71">
        <f>T46+U46+V46</f>
        <v>45795</v>
      </c>
      <c r="T46" s="67"/>
      <c r="U46" s="67"/>
      <c r="V46" s="71">
        <v>45795</v>
      </c>
      <c r="W46" s="70">
        <f t="shared" si="19"/>
        <v>3063</v>
      </c>
      <c r="X46" s="68"/>
      <c r="Y46" s="71"/>
      <c r="Z46" s="70">
        <f t="shared" si="20"/>
        <v>3063</v>
      </c>
      <c r="AA46" s="70">
        <v>3063</v>
      </c>
      <c r="AB46" s="67"/>
      <c r="AC46" s="67"/>
      <c r="AD46" s="68">
        <f t="shared" ref="AD46:AD63" si="24">SUM(AE46:AG46)</f>
        <v>3063</v>
      </c>
      <c r="AE46" s="68"/>
      <c r="AF46" s="71"/>
      <c r="AG46" s="71">
        <f>SUM(AH46:AK46)</f>
        <v>3063</v>
      </c>
      <c r="AH46" s="71">
        <v>3063</v>
      </c>
      <c r="AI46" s="67"/>
      <c r="AJ46" s="67"/>
      <c r="AK46" s="67"/>
      <c r="AL46" s="68">
        <f>AM46+AN46+AO46</f>
        <v>3063</v>
      </c>
      <c r="AM46" s="68"/>
      <c r="AN46" s="67"/>
      <c r="AO46" s="71">
        <f>AP46+AQ46+AR46+AS46</f>
        <v>3063</v>
      </c>
      <c r="AP46" s="71">
        <v>3063</v>
      </c>
      <c r="AQ46" s="67"/>
      <c r="AR46" s="67"/>
      <c r="AS46" s="67"/>
      <c r="AT46" s="70">
        <f t="shared" si="22"/>
        <v>0</v>
      </c>
      <c r="AU46" s="71"/>
      <c r="AV46" s="71"/>
      <c r="AW46" s="70">
        <f t="shared" si="21"/>
        <v>0</v>
      </c>
      <c r="AX46" s="71"/>
      <c r="AY46" s="67"/>
      <c r="AZ46" s="67"/>
      <c r="BA46" s="68"/>
      <c r="BB46" s="68"/>
      <c r="BC46" s="71"/>
      <c r="BD46" s="71"/>
      <c r="BE46" s="71"/>
      <c r="BF46" s="67"/>
      <c r="BG46" s="67"/>
      <c r="BH46" s="67"/>
      <c r="BI46" s="67"/>
      <c r="BJ46" s="67"/>
      <c r="BK46" s="67"/>
      <c r="BL46" s="67"/>
      <c r="BM46" s="67"/>
      <c r="BN46" s="67"/>
      <c r="BO46" s="67"/>
      <c r="BP46" s="67"/>
      <c r="BQ46" s="67"/>
      <c r="BR46" s="67"/>
      <c r="BS46" s="67"/>
      <c r="BT46" s="67"/>
      <c r="BU46" s="67"/>
      <c r="BV46" s="67"/>
      <c r="BW46" s="541" t="s">
        <v>108</v>
      </c>
      <c r="BX46" s="101">
        <f t="shared" si="2"/>
        <v>0</v>
      </c>
      <c r="BY46" s="11">
        <v>3063</v>
      </c>
      <c r="BZ46" s="12"/>
      <c r="CA46" s="578"/>
      <c r="CB46" s="10"/>
      <c r="CC46" s="385"/>
    </row>
    <row r="47" spans="1:81" ht="46.15" outlineLevel="1">
      <c r="A47" s="535">
        <v>13</v>
      </c>
      <c r="B47" s="580" t="s">
        <v>176</v>
      </c>
      <c r="C47" s="534" t="s">
        <v>99</v>
      </c>
      <c r="D47" s="70" t="s">
        <v>140</v>
      </c>
      <c r="E47" s="535" t="s">
        <v>49</v>
      </c>
      <c r="F47" s="535" t="s">
        <v>105</v>
      </c>
      <c r="G47" s="70" t="s">
        <v>145</v>
      </c>
      <c r="H47" s="584">
        <v>7887060</v>
      </c>
      <c r="I47" s="535">
        <v>2021</v>
      </c>
      <c r="J47" s="535">
        <v>2021</v>
      </c>
      <c r="K47" s="532"/>
      <c r="L47" s="585" t="s">
        <v>177</v>
      </c>
      <c r="M47" s="68">
        <v>6000</v>
      </c>
      <c r="N47" s="69"/>
      <c r="O47" s="67"/>
      <c r="P47" s="68">
        <v>4000</v>
      </c>
      <c r="Q47" s="70" t="s">
        <v>178</v>
      </c>
      <c r="R47" s="70" t="s">
        <v>148</v>
      </c>
      <c r="S47" s="71">
        <f>T47+U47+V47</f>
        <v>0</v>
      </c>
      <c r="T47" s="67"/>
      <c r="U47" s="67"/>
      <c r="V47" s="69"/>
      <c r="W47" s="70">
        <f t="shared" si="19"/>
        <v>4000</v>
      </c>
      <c r="X47" s="68"/>
      <c r="Y47" s="69"/>
      <c r="Z47" s="70">
        <f t="shared" si="20"/>
        <v>4000</v>
      </c>
      <c r="AA47" s="70">
        <v>4000</v>
      </c>
      <c r="AB47" s="67"/>
      <c r="AC47" s="71"/>
      <c r="AD47" s="68">
        <f t="shared" si="24"/>
        <v>4000</v>
      </c>
      <c r="AE47" s="68"/>
      <c r="AF47" s="69"/>
      <c r="AG47" s="71">
        <f>SUM(AH47:AK47)</f>
        <v>4000</v>
      </c>
      <c r="AH47" s="70">
        <v>4000</v>
      </c>
      <c r="AI47" s="67"/>
      <c r="AJ47" s="67"/>
      <c r="AK47" s="71"/>
      <c r="AL47" s="68">
        <f>AM47+AN47+AO47</f>
        <v>4000</v>
      </c>
      <c r="AM47" s="68"/>
      <c r="AN47" s="67"/>
      <c r="AO47" s="71">
        <f>AP47+AQ47+AR47+AS47</f>
        <v>4000</v>
      </c>
      <c r="AP47" s="71">
        <v>4000</v>
      </c>
      <c r="AQ47" s="67"/>
      <c r="AR47" s="67"/>
      <c r="AS47" s="67"/>
      <c r="AT47" s="70">
        <f t="shared" si="22"/>
        <v>0</v>
      </c>
      <c r="AU47" s="71"/>
      <c r="AV47" s="71"/>
      <c r="AW47" s="70">
        <f t="shared" si="21"/>
        <v>0</v>
      </c>
      <c r="AX47" s="71"/>
      <c r="AY47" s="67"/>
      <c r="AZ47" s="67"/>
      <c r="BA47" s="68"/>
      <c r="BB47" s="68"/>
      <c r="BC47" s="69"/>
      <c r="BD47" s="69"/>
      <c r="BE47" s="69"/>
      <c r="BF47" s="67"/>
      <c r="BG47" s="67"/>
      <c r="BH47" s="67"/>
      <c r="BI47" s="67"/>
      <c r="BJ47" s="67"/>
      <c r="BK47" s="67"/>
      <c r="BL47" s="67"/>
      <c r="BM47" s="67"/>
      <c r="BN47" s="67"/>
      <c r="BO47" s="67"/>
      <c r="BP47" s="67"/>
      <c r="BQ47" s="67"/>
      <c r="BR47" s="67"/>
      <c r="BS47" s="67"/>
      <c r="BT47" s="67"/>
      <c r="BU47" s="67"/>
      <c r="BV47" s="67"/>
      <c r="BW47" s="541" t="s">
        <v>108</v>
      </c>
      <c r="BX47" s="101">
        <f t="shared" si="2"/>
        <v>0</v>
      </c>
      <c r="BY47" s="11">
        <v>4000</v>
      </c>
      <c r="BZ47" s="12"/>
      <c r="CA47" s="578"/>
      <c r="CB47" s="10"/>
      <c r="CC47" s="385"/>
    </row>
    <row r="48" spans="1:81" ht="46.15" outlineLevel="1">
      <c r="A48" s="535">
        <v>14</v>
      </c>
      <c r="B48" s="580" t="s">
        <v>179</v>
      </c>
      <c r="C48" s="534" t="s">
        <v>99</v>
      </c>
      <c r="D48" s="70" t="s">
        <v>140</v>
      </c>
      <c r="E48" s="535" t="s">
        <v>49</v>
      </c>
      <c r="F48" s="535" t="s">
        <v>48</v>
      </c>
      <c r="G48" s="70" t="s">
        <v>145</v>
      </c>
      <c r="H48" s="584">
        <v>8071724</v>
      </c>
      <c r="I48" s="535">
        <v>2023</v>
      </c>
      <c r="J48" s="535">
        <v>2023</v>
      </c>
      <c r="K48" s="585"/>
      <c r="L48" s="585" t="s">
        <v>117</v>
      </c>
      <c r="M48" s="68">
        <f>N48+O48+P48</f>
        <v>385</v>
      </c>
      <c r="N48" s="69"/>
      <c r="O48" s="67"/>
      <c r="P48" s="68">
        <v>385</v>
      </c>
      <c r="Q48" s="70" t="s">
        <v>180</v>
      </c>
      <c r="R48" s="70" t="s">
        <v>148</v>
      </c>
      <c r="S48" s="71">
        <f>T48+U48+V48</f>
        <v>0</v>
      </c>
      <c r="T48" s="67"/>
      <c r="U48" s="67"/>
      <c r="V48" s="69"/>
      <c r="W48" s="70">
        <f t="shared" si="19"/>
        <v>308</v>
      </c>
      <c r="X48" s="68"/>
      <c r="Y48" s="69"/>
      <c r="Z48" s="70">
        <f t="shared" si="20"/>
        <v>308</v>
      </c>
      <c r="AA48" s="70">
        <v>308</v>
      </c>
      <c r="AB48" s="67"/>
      <c r="AC48" s="71"/>
      <c r="AD48" s="68">
        <f t="shared" si="24"/>
        <v>308</v>
      </c>
      <c r="AE48" s="68"/>
      <c r="AF48" s="69"/>
      <c r="AG48" s="71">
        <f>SUM(AH48:AK48)</f>
        <v>308</v>
      </c>
      <c r="AH48" s="70">
        <v>308</v>
      </c>
      <c r="AI48" s="67"/>
      <c r="AJ48" s="67"/>
      <c r="AK48" s="71"/>
      <c r="AL48" s="68">
        <f>AM48+AN48+AO48</f>
        <v>308</v>
      </c>
      <c r="AM48" s="68"/>
      <c r="AN48" s="67"/>
      <c r="AO48" s="71">
        <f>AP48+AQ48+AR48+AS48</f>
        <v>308</v>
      </c>
      <c r="AP48" s="71">
        <v>308</v>
      </c>
      <c r="AQ48" s="67"/>
      <c r="AR48" s="67"/>
      <c r="AS48" s="67"/>
      <c r="AT48" s="70">
        <f t="shared" si="22"/>
        <v>0</v>
      </c>
      <c r="AU48" s="71"/>
      <c r="AV48" s="71"/>
      <c r="AW48" s="70">
        <f t="shared" si="21"/>
        <v>0</v>
      </c>
      <c r="AX48" s="71"/>
      <c r="AY48" s="67"/>
      <c r="AZ48" s="67"/>
      <c r="BA48" s="68"/>
      <c r="BB48" s="68"/>
      <c r="BC48" s="69"/>
      <c r="BD48" s="69"/>
      <c r="BE48" s="69"/>
      <c r="BF48" s="67"/>
      <c r="BG48" s="67"/>
      <c r="BH48" s="67"/>
      <c r="BI48" s="67"/>
      <c r="BJ48" s="67"/>
      <c r="BK48" s="67"/>
      <c r="BL48" s="67"/>
      <c r="BM48" s="67"/>
      <c r="BN48" s="67"/>
      <c r="BO48" s="67"/>
      <c r="BP48" s="67"/>
      <c r="BQ48" s="67"/>
      <c r="BR48" s="67"/>
      <c r="BS48" s="67"/>
      <c r="BT48" s="67"/>
      <c r="BU48" s="67"/>
      <c r="BV48" s="67"/>
      <c r="BW48" s="541" t="s">
        <v>108</v>
      </c>
      <c r="BX48" s="101">
        <f t="shared" si="2"/>
        <v>0</v>
      </c>
      <c r="BY48" s="11">
        <v>308</v>
      </c>
      <c r="BZ48" s="12"/>
      <c r="CA48" s="578"/>
      <c r="CB48" s="10"/>
      <c r="CC48" s="385"/>
    </row>
    <row r="49" spans="1:81" ht="46.5" customHeight="1" outlineLevel="1">
      <c r="A49" s="535">
        <v>15</v>
      </c>
      <c r="B49" s="580" t="s">
        <v>181</v>
      </c>
      <c r="C49" s="535" t="s">
        <v>140</v>
      </c>
      <c r="D49" s="70" t="s">
        <v>140</v>
      </c>
      <c r="E49" s="535" t="s">
        <v>49</v>
      </c>
      <c r="F49" s="535" t="s">
        <v>82</v>
      </c>
      <c r="G49" s="70" t="s">
        <v>142</v>
      </c>
      <c r="H49" s="532"/>
      <c r="I49" s="535">
        <v>2023</v>
      </c>
      <c r="J49" s="535">
        <v>2023</v>
      </c>
      <c r="K49" s="585"/>
      <c r="L49" s="585" t="s">
        <v>117</v>
      </c>
      <c r="M49" s="68">
        <f>N49+O49+P49</f>
        <v>100</v>
      </c>
      <c r="N49" s="69"/>
      <c r="O49" s="67"/>
      <c r="P49" s="68">
        <v>100</v>
      </c>
      <c r="Q49" s="67"/>
      <c r="R49" s="70" t="s">
        <v>142</v>
      </c>
      <c r="S49" s="71">
        <f>T49+U49+V49</f>
        <v>0</v>
      </c>
      <c r="T49" s="67"/>
      <c r="U49" s="67"/>
      <c r="V49" s="69"/>
      <c r="W49" s="70">
        <f t="shared" si="19"/>
        <v>70</v>
      </c>
      <c r="X49" s="68"/>
      <c r="Y49" s="69"/>
      <c r="Z49" s="70">
        <f t="shared" si="20"/>
        <v>70</v>
      </c>
      <c r="AA49" s="70">
        <v>70</v>
      </c>
      <c r="AB49" s="67"/>
      <c r="AC49" s="71"/>
      <c r="AD49" s="68">
        <f t="shared" si="24"/>
        <v>70</v>
      </c>
      <c r="AE49" s="68"/>
      <c r="AF49" s="69"/>
      <c r="AG49" s="71">
        <f>SUM(AH49:AK49)</f>
        <v>70</v>
      </c>
      <c r="AH49" s="70">
        <v>70</v>
      </c>
      <c r="AI49" s="67"/>
      <c r="AJ49" s="67"/>
      <c r="AK49" s="71"/>
      <c r="AL49" s="68">
        <f>AM49+AN49+AO49</f>
        <v>70</v>
      </c>
      <c r="AM49" s="68"/>
      <c r="AN49" s="67"/>
      <c r="AO49" s="71">
        <f>AP49+AQ49+AR49+AS49</f>
        <v>70</v>
      </c>
      <c r="AP49" s="71">
        <v>70</v>
      </c>
      <c r="AQ49" s="67"/>
      <c r="AR49" s="67"/>
      <c r="AS49" s="67"/>
      <c r="AT49" s="70">
        <f t="shared" si="22"/>
        <v>0</v>
      </c>
      <c r="AU49" s="71"/>
      <c r="AV49" s="71"/>
      <c r="AW49" s="70">
        <f t="shared" si="21"/>
        <v>0</v>
      </c>
      <c r="AX49" s="71"/>
      <c r="AY49" s="67"/>
      <c r="AZ49" s="67"/>
      <c r="BA49" s="68"/>
      <c r="BB49" s="68"/>
      <c r="BC49" s="69"/>
      <c r="BD49" s="69"/>
      <c r="BE49" s="69"/>
      <c r="BF49" s="67"/>
      <c r="BG49" s="67"/>
      <c r="BH49" s="67"/>
      <c r="BI49" s="67"/>
      <c r="BJ49" s="67"/>
      <c r="BK49" s="67"/>
      <c r="BL49" s="67"/>
      <c r="BM49" s="67"/>
      <c r="BN49" s="67"/>
      <c r="BO49" s="67"/>
      <c r="BP49" s="67"/>
      <c r="BQ49" s="67"/>
      <c r="BR49" s="67"/>
      <c r="BS49" s="67"/>
      <c r="BT49" s="67"/>
      <c r="BU49" s="67"/>
      <c r="BV49" s="67"/>
      <c r="BW49" s="541"/>
      <c r="BX49" s="101">
        <f t="shared" si="2"/>
        <v>0</v>
      </c>
      <c r="BY49" s="11">
        <v>70</v>
      </c>
      <c r="BZ49" s="12"/>
      <c r="CA49" s="578"/>
      <c r="CB49" s="10"/>
      <c r="CC49" s="385"/>
    </row>
    <row r="50" spans="1:81" ht="46.15" outlineLevel="1">
      <c r="A50" s="535">
        <v>16</v>
      </c>
      <c r="B50" s="539" t="s">
        <v>182</v>
      </c>
      <c r="C50" s="535" t="s">
        <v>183</v>
      </c>
      <c r="D50" s="70" t="s">
        <v>140</v>
      </c>
      <c r="E50" s="535" t="s">
        <v>49</v>
      </c>
      <c r="F50" s="535"/>
      <c r="G50" s="70" t="s">
        <v>145</v>
      </c>
      <c r="H50" s="535">
        <v>8061151</v>
      </c>
      <c r="I50" s="535">
        <v>2024</v>
      </c>
      <c r="J50" s="535">
        <v>2024</v>
      </c>
      <c r="K50" s="585"/>
      <c r="L50" s="535" t="s">
        <v>184</v>
      </c>
      <c r="M50" s="68">
        <f>SUM(N50:P50)</f>
        <v>200</v>
      </c>
      <c r="N50" s="69"/>
      <c r="O50" s="68"/>
      <c r="P50" s="68">
        <v>200</v>
      </c>
      <c r="Q50" s="67"/>
      <c r="R50" s="70" t="s">
        <v>142</v>
      </c>
      <c r="S50" s="71"/>
      <c r="T50" s="67"/>
      <c r="U50" s="67"/>
      <c r="V50" s="71"/>
      <c r="W50" s="70">
        <f t="shared" si="19"/>
        <v>200</v>
      </c>
      <c r="X50" s="71"/>
      <c r="Y50" s="68"/>
      <c r="Z50" s="70">
        <f t="shared" si="20"/>
        <v>200</v>
      </c>
      <c r="AA50" s="70">
        <v>200</v>
      </c>
      <c r="AB50" s="67"/>
      <c r="AC50" s="71"/>
      <c r="AD50" s="68">
        <f t="shared" si="24"/>
        <v>200</v>
      </c>
      <c r="AE50" s="71"/>
      <c r="AF50" s="68"/>
      <c r="AG50" s="71">
        <f>AH50</f>
        <v>200</v>
      </c>
      <c r="AH50" s="70">
        <v>200</v>
      </c>
      <c r="AI50" s="67"/>
      <c r="AJ50" s="71"/>
      <c r="AK50" s="71"/>
      <c r="AL50" s="68">
        <f>SUM(AM50:AO50)</f>
        <v>159.077855</v>
      </c>
      <c r="AM50" s="68"/>
      <c r="AN50" s="108"/>
      <c r="AO50" s="71">
        <f>AP50</f>
        <v>159.077855</v>
      </c>
      <c r="AP50" s="71">
        <v>159.077855</v>
      </c>
      <c r="AQ50" s="71"/>
      <c r="AR50" s="67"/>
      <c r="AS50" s="67"/>
      <c r="AT50" s="70">
        <f t="shared" si="22"/>
        <v>0</v>
      </c>
      <c r="AU50" s="72"/>
      <c r="AV50" s="72"/>
      <c r="AW50" s="70">
        <f t="shared" si="21"/>
        <v>0</v>
      </c>
      <c r="AX50" s="71"/>
      <c r="AY50" s="67"/>
      <c r="AZ50" s="67"/>
      <c r="BA50" s="72"/>
      <c r="BB50" s="72"/>
      <c r="BC50" s="72"/>
      <c r="BD50" s="69"/>
      <c r="BE50" s="69"/>
      <c r="BF50" s="67"/>
      <c r="BG50" s="67"/>
      <c r="BH50" s="67"/>
      <c r="BI50" s="67"/>
      <c r="BJ50" s="67"/>
      <c r="BK50" s="67"/>
      <c r="BL50" s="67"/>
      <c r="BM50" s="67"/>
      <c r="BN50" s="67"/>
      <c r="BO50" s="67"/>
      <c r="BP50" s="67"/>
      <c r="BQ50" s="67"/>
      <c r="BR50" s="67"/>
      <c r="BS50" s="67"/>
      <c r="BT50" s="67"/>
      <c r="BU50" s="67"/>
      <c r="BV50" s="67"/>
      <c r="BW50" s="541"/>
      <c r="BX50" s="101">
        <f t="shared" si="2"/>
        <v>0</v>
      </c>
      <c r="BY50" s="6">
        <v>200</v>
      </c>
      <c r="BZ50" s="11"/>
      <c r="CA50" s="578"/>
      <c r="CB50" s="10"/>
      <c r="CC50" s="385"/>
    </row>
    <row r="51" spans="1:81" ht="30.75" outlineLevel="1">
      <c r="A51" s="535">
        <v>17</v>
      </c>
      <c r="B51" s="539" t="s">
        <v>185</v>
      </c>
      <c r="C51" s="535" t="s">
        <v>140</v>
      </c>
      <c r="D51" s="70" t="s">
        <v>140</v>
      </c>
      <c r="E51" s="535" t="s">
        <v>49</v>
      </c>
      <c r="F51" s="535"/>
      <c r="G51" s="70" t="s">
        <v>142</v>
      </c>
      <c r="H51" s="535">
        <v>8066031</v>
      </c>
      <c r="I51" s="535">
        <v>2024</v>
      </c>
      <c r="J51" s="535">
        <v>2024</v>
      </c>
      <c r="K51" s="585"/>
      <c r="L51" s="535" t="s">
        <v>186</v>
      </c>
      <c r="M51" s="68">
        <f>SUM(N51:P51)</f>
        <v>990</v>
      </c>
      <c r="N51" s="69"/>
      <c r="O51" s="68"/>
      <c r="P51" s="68">
        <v>990</v>
      </c>
      <c r="Q51" s="67"/>
      <c r="R51" s="70" t="s">
        <v>142</v>
      </c>
      <c r="S51" s="71"/>
      <c r="T51" s="67"/>
      <c r="U51" s="67"/>
      <c r="V51" s="71"/>
      <c r="W51" s="70">
        <f t="shared" si="19"/>
        <v>990</v>
      </c>
      <c r="X51" s="71"/>
      <c r="Y51" s="68"/>
      <c r="Z51" s="70">
        <f t="shared" si="20"/>
        <v>990</v>
      </c>
      <c r="AA51" s="70">
        <v>990</v>
      </c>
      <c r="AB51" s="67"/>
      <c r="AC51" s="71"/>
      <c r="AD51" s="68">
        <f t="shared" si="24"/>
        <v>990</v>
      </c>
      <c r="AE51" s="71"/>
      <c r="AF51" s="68"/>
      <c r="AG51" s="71">
        <f>AH51</f>
        <v>990</v>
      </c>
      <c r="AH51" s="70">
        <v>990</v>
      </c>
      <c r="AI51" s="67"/>
      <c r="AJ51" s="71"/>
      <c r="AK51" s="71"/>
      <c r="AL51" s="68">
        <f>SUM(AM51:AO51)</f>
        <v>956.63300000000004</v>
      </c>
      <c r="AM51" s="68"/>
      <c r="AN51" s="108"/>
      <c r="AO51" s="71">
        <f>AP51</f>
        <v>956.63300000000004</v>
      </c>
      <c r="AP51" s="71">
        <v>956.63300000000004</v>
      </c>
      <c r="AQ51" s="71"/>
      <c r="AR51" s="67"/>
      <c r="AS51" s="67"/>
      <c r="AT51" s="70">
        <f t="shared" si="22"/>
        <v>0</v>
      </c>
      <c r="AU51" s="72"/>
      <c r="AV51" s="72"/>
      <c r="AW51" s="70">
        <f t="shared" si="21"/>
        <v>0</v>
      </c>
      <c r="AX51" s="71"/>
      <c r="AY51" s="67"/>
      <c r="AZ51" s="67"/>
      <c r="BA51" s="72"/>
      <c r="BB51" s="72"/>
      <c r="BC51" s="72"/>
      <c r="BD51" s="69"/>
      <c r="BE51" s="69"/>
      <c r="BF51" s="67"/>
      <c r="BG51" s="67"/>
      <c r="BH51" s="67"/>
      <c r="BI51" s="67"/>
      <c r="BJ51" s="67"/>
      <c r="BK51" s="67"/>
      <c r="BL51" s="67"/>
      <c r="BM51" s="67"/>
      <c r="BN51" s="67"/>
      <c r="BO51" s="67"/>
      <c r="BP51" s="67"/>
      <c r="BQ51" s="67"/>
      <c r="BR51" s="67"/>
      <c r="BS51" s="67"/>
      <c r="BT51" s="67"/>
      <c r="BU51" s="67"/>
      <c r="BV51" s="67"/>
      <c r="BW51" s="541" t="s">
        <v>869</v>
      </c>
      <c r="BX51" s="101">
        <f t="shared" si="2"/>
        <v>0</v>
      </c>
      <c r="BY51" s="6">
        <v>990</v>
      </c>
      <c r="BZ51" s="11"/>
      <c r="CA51" s="578"/>
      <c r="CB51" s="10"/>
      <c r="CC51" s="385"/>
    </row>
    <row r="52" spans="1:81" ht="46.15" outlineLevel="1">
      <c r="A52" s="535">
        <v>18</v>
      </c>
      <c r="B52" s="580" t="s">
        <v>187</v>
      </c>
      <c r="C52" s="534" t="s">
        <v>99</v>
      </c>
      <c r="D52" s="70" t="s">
        <v>140</v>
      </c>
      <c r="E52" s="535" t="s">
        <v>49</v>
      </c>
      <c r="F52" s="589" t="s">
        <v>48</v>
      </c>
      <c r="G52" s="70" t="s">
        <v>145</v>
      </c>
      <c r="H52" s="580"/>
      <c r="I52" s="535" t="s">
        <v>188</v>
      </c>
      <c r="J52" s="535" t="s">
        <v>188</v>
      </c>
      <c r="K52" s="532"/>
      <c r="L52" s="534" t="s">
        <v>171</v>
      </c>
      <c r="M52" s="68">
        <v>13564</v>
      </c>
      <c r="N52" s="74"/>
      <c r="O52" s="67"/>
      <c r="P52" s="68">
        <v>13564</v>
      </c>
      <c r="Q52" s="67"/>
      <c r="R52" s="70" t="s">
        <v>148</v>
      </c>
      <c r="S52" s="74"/>
      <c r="T52" s="67"/>
      <c r="U52" s="67"/>
      <c r="V52" s="74"/>
      <c r="W52" s="70">
        <f t="shared" si="19"/>
        <v>13564</v>
      </c>
      <c r="X52" s="74"/>
      <c r="Y52" s="74"/>
      <c r="Z52" s="70">
        <f t="shared" si="20"/>
        <v>13564</v>
      </c>
      <c r="AA52" s="70">
        <v>0</v>
      </c>
      <c r="AB52" s="68">
        <f>5633+7931</f>
        <v>13564</v>
      </c>
      <c r="AC52" s="74"/>
      <c r="AD52" s="68">
        <f t="shared" si="24"/>
        <v>5633</v>
      </c>
      <c r="AE52" s="74"/>
      <c r="AF52" s="74"/>
      <c r="AG52" s="68">
        <f t="shared" ref="AG52:AG63" si="25">SUM(AH52:AK52)</f>
        <v>5633</v>
      </c>
      <c r="AH52" s="68">
        <v>5633</v>
      </c>
      <c r="AI52" s="74"/>
      <c r="AJ52" s="68"/>
      <c r="AK52" s="74"/>
      <c r="AL52" s="68">
        <f>SUM(AM52:AO52)</f>
        <v>5633</v>
      </c>
      <c r="AM52" s="74"/>
      <c r="AN52" s="67"/>
      <c r="AO52" s="68">
        <f>SUM(AP52:AS52)</f>
        <v>5633</v>
      </c>
      <c r="AP52" s="68">
        <v>5633</v>
      </c>
      <c r="AQ52" s="67"/>
      <c r="AR52" s="68"/>
      <c r="AS52" s="67"/>
      <c r="AT52" s="70">
        <f t="shared" si="22"/>
        <v>0</v>
      </c>
      <c r="AU52" s="74"/>
      <c r="AV52" s="74"/>
      <c r="AW52" s="70">
        <f t="shared" si="21"/>
        <v>0</v>
      </c>
      <c r="AX52" s="74"/>
      <c r="AY52" s="67"/>
      <c r="AZ52" s="67"/>
      <c r="BA52" s="74"/>
      <c r="BB52" s="74"/>
      <c r="BC52" s="74"/>
      <c r="BD52" s="74"/>
      <c r="BE52" s="74"/>
      <c r="BF52" s="67"/>
      <c r="BG52" s="67"/>
      <c r="BH52" s="67"/>
      <c r="BI52" s="67"/>
      <c r="BJ52" s="67"/>
      <c r="BK52" s="67"/>
      <c r="BL52" s="67"/>
      <c r="BM52" s="67"/>
      <c r="BN52" s="67"/>
      <c r="BO52" s="67"/>
      <c r="BP52" s="67"/>
      <c r="BQ52" s="67"/>
      <c r="BR52" s="67"/>
      <c r="BS52" s="67"/>
      <c r="BT52" s="67"/>
      <c r="BU52" s="67"/>
      <c r="BV52" s="67"/>
      <c r="BW52" s="543"/>
      <c r="BX52" s="101">
        <f t="shared" si="2"/>
        <v>0</v>
      </c>
      <c r="BY52" s="17"/>
      <c r="BZ52" s="16"/>
      <c r="CA52" s="578"/>
      <c r="CB52" s="15"/>
      <c r="CC52" s="385"/>
    </row>
    <row r="53" spans="1:81" ht="46.15" outlineLevel="1">
      <c r="A53" s="535">
        <v>19</v>
      </c>
      <c r="B53" s="580" t="s">
        <v>189</v>
      </c>
      <c r="C53" s="534" t="s">
        <v>99</v>
      </c>
      <c r="D53" s="70" t="s">
        <v>140</v>
      </c>
      <c r="E53" s="535" t="s">
        <v>49</v>
      </c>
      <c r="F53" s="535" t="s">
        <v>105</v>
      </c>
      <c r="G53" s="70" t="s">
        <v>142</v>
      </c>
      <c r="H53" s="580">
        <v>7880889</v>
      </c>
      <c r="I53" s="535">
        <v>2020</v>
      </c>
      <c r="J53" s="535">
        <v>2020</v>
      </c>
      <c r="K53" s="532"/>
      <c r="L53" s="534" t="s">
        <v>190</v>
      </c>
      <c r="M53" s="68">
        <v>1200</v>
      </c>
      <c r="N53" s="74"/>
      <c r="O53" s="67"/>
      <c r="P53" s="68">
        <v>1200</v>
      </c>
      <c r="Q53" s="70" t="s">
        <v>191</v>
      </c>
      <c r="R53" s="70" t="s">
        <v>142</v>
      </c>
      <c r="S53" s="74"/>
      <c r="T53" s="67"/>
      <c r="U53" s="67"/>
      <c r="V53" s="74"/>
      <c r="W53" s="70">
        <f t="shared" si="19"/>
        <v>1075.509</v>
      </c>
      <c r="X53" s="74"/>
      <c r="Y53" s="74"/>
      <c r="Z53" s="70">
        <f t="shared" si="20"/>
        <v>1075.509</v>
      </c>
      <c r="AA53" s="70">
        <v>0</v>
      </c>
      <c r="AB53" s="68">
        <v>1075.509</v>
      </c>
      <c r="AC53" s="74"/>
      <c r="AD53" s="68">
        <f t="shared" si="24"/>
        <v>1075.509</v>
      </c>
      <c r="AE53" s="74"/>
      <c r="AF53" s="74"/>
      <c r="AG53" s="68">
        <f t="shared" si="25"/>
        <v>1075.509</v>
      </c>
      <c r="AH53" s="68">
        <v>1075.509</v>
      </c>
      <c r="AI53" s="74"/>
      <c r="AJ53" s="68"/>
      <c r="AK53" s="74"/>
      <c r="AL53" s="68">
        <f>SUM(AM53:AO53)</f>
        <v>1075.509</v>
      </c>
      <c r="AM53" s="74"/>
      <c r="AN53" s="67"/>
      <c r="AO53" s="68">
        <f>SUM(AP53:AS53)</f>
        <v>1075.509</v>
      </c>
      <c r="AP53" s="68">
        <v>1075.509</v>
      </c>
      <c r="AQ53" s="67"/>
      <c r="AR53" s="68"/>
      <c r="AS53" s="67"/>
      <c r="AT53" s="70">
        <f t="shared" si="22"/>
        <v>0</v>
      </c>
      <c r="AU53" s="74"/>
      <c r="AV53" s="74"/>
      <c r="AW53" s="70">
        <f t="shared" si="21"/>
        <v>0</v>
      </c>
      <c r="AX53" s="74"/>
      <c r="AY53" s="67"/>
      <c r="AZ53" s="67"/>
      <c r="BA53" s="74"/>
      <c r="BB53" s="74"/>
      <c r="BC53" s="74"/>
      <c r="BD53" s="74"/>
      <c r="BE53" s="74"/>
      <c r="BF53" s="67"/>
      <c r="BG53" s="67"/>
      <c r="BH53" s="67"/>
      <c r="BI53" s="67"/>
      <c r="BJ53" s="67"/>
      <c r="BK53" s="67"/>
      <c r="BL53" s="67"/>
      <c r="BM53" s="67"/>
      <c r="BN53" s="67"/>
      <c r="BO53" s="67"/>
      <c r="BP53" s="67"/>
      <c r="BQ53" s="67"/>
      <c r="BR53" s="67"/>
      <c r="BS53" s="67"/>
      <c r="BT53" s="67"/>
      <c r="BU53" s="67"/>
      <c r="BV53" s="67"/>
      <c r="BW53" s="543"/>
      <c r="BX53" s="101">
        <f t="shared" si="2"/>
        <v>0</v>
      </c>
      <c r="BY53" s="17"/>
      <c r="BZ53" s="16"/>
      <c r="CA53" s="578"/>
      <c r="CB53" s="15"/>
      <c r="CC53" s="385"/>
    </row>
    <row r="54" spans="1:81" ht="46.15" outlineLevel="1">
      <c r="A54" s="535">
        <v>20</v>
      </c>
      <c r="B54" s="580" t="s">
        <v>192</v>
      </c>
      <c r="C54" s="534" t="s">
        <v>99</v>
      </c>
      <c r="D54" s="70" t="s">
        <v>140</v>
      </c>
      <c r="E54" s="535" t="s">
        <v>49</v>
      </c>
      <c r="F54" s="535" t="s">
        <v>105</v>
      </c>
      <c r="G54" s="70" t="s">
        <v>145</v>
      </c>
      <c r="H54" s="580">
        <v>8132466</v>
      </c>
      <c r="I54" s="535">
        <v>2025</v>
      </c>
      <c r="J54" s="535">
        <v>2025</v>
      </c>
      <c r="K54" s="532"/>
      <c r="L54" s="534" t="s">
        <v>159</v>
      </c>
      <c r="M54" s="68">
        <v>1500</v>
      </c>
      <c r="N54" s="69"/>
      <c r="O54" s="67"/>
      <c r="P54" s="68">
        <v>1500</v>
      </c>
      <c r="Q54" s="67"/>
      <c r="R54" s="70" t="s">
        <v>148</v>
      </c>
      <c r="S54" s="69"/>
      <c r="T54" s="67"/>
      <c r="U54" s="67"/>
      <c r="V54" s="69"/>
      <c r="W54" s="70">
        <f t="shared" si="19"/>
        <v>1441.05</v>
      </c>
      <c r="X54" s="68"/>
      <c r="Y54" s="69"/>
      <c r="Z54" s="70">
        <f t="shared" si="20"/>
        <v>1441.05</v>
      </c>
      <c r="AA54" s="70">
        <v>0</v>
      </c>
      <c r="AB54" s="68">
        <v>1441.05</v>
      </c>
      <c r="AC54" s="67"/>
      <c r="AD54" s="68">
        <f t="shared" si="24"/>
        <v>1441.05</v>
      </c>
      <c r="AE54" s="68"/>
      <c r="AF54" s="69"/>
      <c r="AG54" s="68">
        <f t="shared" si="25"/>
        <v>1441.05</v>
      </c>
      <c r="AH54" s="68">
        <v>1441.05</v>
      </c>
      <c r="AI54" s="67"/>
      <c r="AJ54" s="68"/>
      <c r="AK54" s="67"/>
      <c r="AL54" s="68">
        <f>SUM(AM54:AO54)</f>
        <v>1441.05</v>
      </c>
      <c r="AM54" s="68"/>
      <c r="AN54" s="67"/>
      <c r="AO54" s="68">
        <f>SUM(AP54:AS54)</f>
        <v>1441.05</v>
      </c>
      <c r="AP54" s="68">
        <v>1441.05</v>
      </c>
      <c r="AQ54" s="67"/>
      <c r="AR54" s="68"/>
      <c r="AS54" s="67"/>
      <c r="AT54" s="70">
        <f t="shared" si="22"/>
        <v>0</v>
      </c>
      <c r="AU54" s="71"/>
      <c r="AV54" s="71"/>
      <c r="AW54" s="70">
        <f t="shared" si="21"/>
        <v>0</v>
      </c>
      <c r="AX54" s="71"/>
      <c r="AY54" s="67"/>
      <c r="AZ54" s="67"/>
      <c r="BA54" s="68"/>
      <c r="BB54" s="68"/>
      <c r="BC54" s="71"/>
      <c r="BD54" s="71"/>
      <c r="BE54" s="71"/>
      <c r="BF54" s="67"/>
      <c r="BG54" s="67"/>
      <c r="BH54" s="67"/>
      <c r="BI54" s="67"/>
      <c r="BJ54" s="67"/>
      <c r="BK54" s="67"/>
      <c r="BL54" s="67"/>
      <c r="BM54" s="67"/>
      <c r="BN54" s="67"/>
      <c r="BO54" s="67"/>
      <c r="BP54" s="67"/>
      <c r="BQ54" s="67"/>
      <c r="BR54" s="67"/>
      <c r="BS54" s="67"/>
      <c r="BT54" s="67"/>
      <c r="BU54" s="70"/>
      <c r="BV54" s="70"/>
      <c r="BW54" s="541" t="s">
        <v>3679</v>
      </c>
      <c r="BX54" s="101">
        <f t="shared" si="2"/>
        <v>0</v>
      </c>
      <c r="BY54" s="14"/>
      <c r="BZ54" s="12"/>
      <c r="CA54" s="578"/>
      <c r="CB54" s="10"/>
      <c r="CC54" s="385"/>
    </row>
    <row r="55" spans="1:81" ht="55.5" customHeight="1" outlineLevel="1">
      <c r="A55" s="535">
        <v>21</v>
      </c>
      <c r="B55" s="580" t="s">
        <v>193</v>
      </c>
      <c r="C55" s="534" t="s">
        <v>194</v>
      </c>
      <c r="D55" s="70" t="s">
        <v>140</v>
      </c>
      <c r="E55" s="535" t="s">
        <v>49</v>
      </c>
      <c r="F55" s="535"/>
      <c r="G55" s="70" t="s">
        <v>853</v>
      </c>
      <c r="H55" s="532"/>
      <c r="I55" s="535" t="s">
        <v>461</v>
      </c>
      <c r="J55" s="535">
        <v>2021</v>
      </c>
      <c r="K55" s="532"/>
      <c r="L55" s="534" t="s">
        <v>852</v>
      </c>
      <c r="M55" s="68">
        <v>9840</v>
      </c>
      <c r="N55" s="69"/>
      <c r="O55" s="67"/>
      <c r="P55" s="68">
        <v>9840</v>
      </c>
      <c r="Q55" s="67"/>
      <c r="R55" s="70" t="s">
        <v>195</v>
      </c>
      <c r="S55" s="69"/>
      <c r="T55" s="67"/>
      <c r="U55" s="67"/>
      <c r="V55" s="69"/>
      <c r="W55" s="70">
        <f t="shared" si="19"/>
        <v>3240</v>
      </c>
      <c r="X55" s="68"/>
      <c r="Y55" s="69"/>
      <c r="Z55" s="70">
        <f t="shared" si="20"/>
        <v>3240</v>
      </c>
      <c r="AA55" s="70">
        <v>0</v>
      </c>
      <c r="AB55" s="67"/>
      <c r="AC55" s="71">
        <f>1500+1500+240</f>
        <v>3240</v>
      </c>
      <c r="AD55" s="68">
        <f t="shared" si="24"/>
        <v>3240</v>
      </c>
      <c r="AE55" s="68"/>
      <c r="AF55" s="69"/>
      <c r="AG55" s="71">
        <f t="shared" si="25"/>
        <v>3240</v>
      </c>
      <c r="AH55" s="67"/>
      <c r="AI55" s="67"/>
      <c r="AJ55" s="67"/>
      <c r="AK55" s="71">
        <f>1500+1500+240</f>
        <v>3240</v>
      </c>
      <c r="AL55" s="68"/>
      <c r="AM55" s="68"/>
      <c r="AN55" s="67"/>
      <c r="AO55" s="71"/>
      <c r="AP55" s="71"/>
      <c r="AQ55" s="67"/>
      <c r="AR55" s="67"/>
      <c r="AS55" s="67"/>
      <c r="AT55" s="70">
        <f t="shared" si="22"/>
        <v>0</v>
      </c>
      <c r="AU55" s="69"/>
      <c r="AV55" s="69"/>
      <c r="AW55" s="70">
        <f t="shared" si="21"/>
        <v>0</v>
      </c>
      <c r="AX55" s="69"/>
      <c r="AY55" s="67"/>
      <c r="AZ55" s="67"/>
      <c r="BA55" s="68"/>
      <c r="BB55" s="68"/>
      <c r="BC55" s="69"/>
      <c r="BD55" s="69"/>
      <c r="BE55" s="69"/>
      <c r="BF55" s="67"/>
      <c r="BG55" s="67"/>
      <c r="BH55" s="67"/>
      <c r="BI55" s="67"/>
      <c r="BJ55" s="67"/>
      <c r="BK55" s="67"/>
      <c r="BL55" s="67"/>
      <c r="BM55" s="67"/>
      <c r="BN55" s="67"/>
      <c r="BO55" s="67"/>
      <c r="BP55" s="67"/>
      <c r="BQ55" s="67"/>
      <c r="BR55" s="67"/>
      <c r="BS55" s="67"/>
      <c r="BT55" s="67"/>
      <c r="BU55" s="67"/>
      <c r="BV55" s="67"/>
      <c r="BW55" s="541"/>
      <c r="BX55" s="101">
        <f t="shared" si="2"/>
        <v>0</v>
      </c>
      <c r="BY55" s="12"/>
      <c r="BZ55" s="12"/>
      <c r="CA55" s="578"/>
      <c r="CB55" s="8"/>
      <c r="CC55" s="385"/>
    </row>
    <row r="56" spans="1:81" ht="51.75" customHeight="1" outlineLevel="1">
      <c r="A56" s="535">
        <v>24</v>
      </c>
      <c r="B56" s="580" t="s">
        <v>196</v>
      </c>
      <c r="C56" s="534" t="s">
        <v>194</v>
      </c>
      <c r="D56" s="70" t="s">
        <v>140</v>
      </c>
      <c r="E56" s="535" t="s">
        <v>49</v>
      </c>
      <c r="F56" s="535"/>
      <c r="G56" s="70" t="s">
        <v>853</v>
      </c>
      <c r="H56" s="532"/>
      <c r="I56" s="535" t="s">
        <v>461</v>
      </c>
      <c r="J56" s="535"/>
      <c r="K56" s="532"/>
      <c r="L56" s="534" t="s">
        <v>854</v>
      </c>
      <c r="M56" s="68">
        <v>4458</v>
      </c>
      <c r="N56" s="69"/>
      <c r="O56" s="67"/>
      <c r="P56" s="68">
        <v>834.7</v>
      </c>
      <c r="Q56" s="67"/>
      <c r="R56" s="70" t="s">
        <v>195</v>
      </c>
      <c r="S56" s="69"/>
      <c r="T56" s="67"/>
      <c r="U56" s="67"/>
      <c r="V56" s="69"/>
      <c r="W56" s="70">
        <f t="shared" si="19"/>
        <v>834.7</v>
      </c>
      <c r="X56" s="68"/>
      <c r="Y56" s="69"/>
      <c r="Z56" s="70">
        <f t="shared" si="20"/>
        <v>834.7</v>
      </c>
      <c r="AA56" s="70">
        <v>0</v>
      </c>
      <c r="AB56" s="67"/>
      <c r="AC56" s="71">
        <v>834.7</v>
      </c>
      <c r="AD56" s="68">
        <f t="shared" si="24"/>
        <v>834.7</v>
      </c>
      <c r="AE56" s="68"/>
      <c r="AF56" s="69"/>
      <c r="AG56" s="71">
        <f t="shared" si="25"/>
        <v>834.7</v>
      </c>
      <c r="AH56" s="67"/>
      <c r="AI56" s="67"/>
      <c r="AJ56" s="67"/>
      <c r="AK56" s="71">
        <v>834.7</v>
      </c>
      <c r="AL56" s="68"/>
      <c r="AM56" s="68"/>
      <c r="AN56" s="67"/>
      <c r="AO56" s="71"/>
      <c r="AP56" s="71"/>
      <c r="AQ56" s="67"/>
      <c r="AR56" s="67"/>
      <c r="AS56" s="67"/>
      <c r="AT56" s="70">
        <f t="shared" si="22"/>
        <v>0</v>
      </c>
      <c r="AU56" s="69"/>
      <c r="AV56" s="69"/>
      <c r="AW56" s="70">
        <f t="shared" si="21"/>
        <v>0</v>
      </c>
      <c r="AX56" s="69"/>
      <c r="AY56" s="67"/>
      <c r="AZ56" s="67"/>
      <c r="BA56" s="68"/>
      <c r="BB56" s="68"/>
      <c r="BC56" s="69"/>
      <c r="BD56" s="69"/>
      <c r="BE56" s="69"/>
      <c r="BF56" s="67"/>
      <c r="BG56" s="67"/>
      <c r="BH56" s="67"/>
      <c r="BI56" s="67"/>
      <c r="BJ56" s="67"/>
      <c r="BK56" s="67"/>
      <c r="BL56" s="67"/>
      <c r="BM56" s="67"/>
      <c r="BN56" s="67"/>
      <c r="BO56" s="67"/>
      <c r="BP56" s="67"/>
      <c r="BQ56" s="67"/>
      <c r="BR56" s="67"/>
      <c r="BS56" s="67"/>
      <c r="BT56" s="67"/>
      <c r="BU56" s="67"/>
      <c r="BV56" s="67"/>
      <c r="BW56" s="541"/>
      <c r="BX56" s="101">
        <f t="shared" si="2"/>
        <v>0</v>
      </c>
      <c r="BY56" s="12"/>
      <c r="BZ56" s="12"/>
      <c r="CA56" s="578"/>
      <c r="CB56" s="8"/>
      <c r="CC56" s="385"/>
    </row>
    <row r="57" spans="1:81" ht="61.5" customHeight="1" outlineLevel="1">
      <c r="A57" s="535">
        <v>25</v>
      </c>
      <c r="B57" s="586" t="s">
        <v>197</v>
      </c>
      <c r="C57" s="585" t="s">
        <v>198</v>
      </c>
      <c r="D57" s="70" t="s">
        <v>140</v>
      </c>
      <c r="E57" s="535" t="s">
        <v>49</v>
      </c>
      <c r="F57" s="535"/>
      <c r="G57" s="70" t="s">
        <v>853</v>
      </c>
      <c r="H57" s="532"/>
      <c r="I57" s="535">
        <v>2021</v>
      </c>
      <c r="J57" s="535"/>
      <c r="K57" s="532"/>
      <c r="L57" s="585" t="s">
        <v>199</v>
      </c>
      <c r="M57" s="110">
        <f>SUM(N57:P57)</f>
        <v>23948</v>
      </c>
      <c r="N57" s="69"/>
      <c r="O57" s="67"/>
      <c r="P57" s="110">
        <v>23948</v>
      </c>
      <c r="Q57" s="67"/>
      <c r="R57" s="70" t="s">
        <v>195</v>
      </c>
      <c r="S57" s="69"/>
      <c r="T57" s="67"/>
      <c r="U57" s="67"/>
      <c r="V57" s="69"/>
      <c r="W57" s="70">
        <f t="shared" si="19"/>
        <v>2059</v>
      </c>
      <c r="X57" s="68"/>
      <c r="Y57" s="69"/>
      <c r="Z57" s="70">
        <f t="shared" si="20"/>
        <v>2059</v>
      </c>
      <c r="AA57" s="70">
        <v>0</v>
      </c>
      <c r="AB57" s="67"/>
      <c r="AC57" s="110">
        <v>2059</v>
      </c>
      <c r="AD57" s="68">
        <f t="shared" si="24"/>
        <v>2059</v>
      </c>
      <c r="AE57" s="68"/>
      <c r="AF57" s="69"/>
      <c r="AG57" s="71">
        <f t="shared" si="25"/>
        <v>2059</v>
      </c>
      <c r="AH57" s="67"/>
      <c r="AI57" s="67"/>
      <c r="AJ57" s="67"/>
      <c r="AK57" s="110">
        <v>2059</v>
      </c>
      <c r="AL57" s="68"/>
      <c r="AM57" s="68"/>
      <c r="AN57" s="67"/>
      <c r="AO57" s="71"/>
      <c r="AP57" s="71"/>
      <c r="AQ57" s="67"/>
      <c r="AR57" s="67"/>
      <c r="AS57" s="67"/>
      <c r="AT57" s="70">
        <f t="shared" si="22"/>
        <v>0</v>
      </c>
      <c r="AU57" s="69"/>
      <c r="AV57" s="69"/>
      <c r="AW57" s="70">
        <f t="shared" si="21"/>
        <v>0</v>
      </c>
      <c r="AX57" s="69"/>
      <c r="AY57" s="67"/>
      <c r="AZ57" s="67"/>
      <c r="BA57" s="68"/>
      <c r="BB57" s="68"/>
      <c r="BC57" s="69"/>
      <c r="BD57" s="69"/>
      <c r="BE57" s="69"/>
      <c r="BF57" s="67"/>
      <c r="BG57" s="67"/>
      <c r="BH57" s="67"/>
      <c r="BI57" s="67"/>
      <c r="BJ57" s="67"/>
      <c r="BK57" s="67"/>
      <c r="BL57" s="67"/>
      <c r="BM57" s="67"/>
      <c r="BN57" s="67"/>
      <c r="BO57" s="67"/>
      <c r="BP57" s="67"/>
      <c r="BQ57" s="67"/>
      <c r="BR57" s="67"/>
      <c r="BS57" s="67"/>
      <c r="BT57" s="67"/>
      <c r="BU57" s="67"/>
      <c r="BV57" s="67"/>
      <c r="BW57" s="541"/>
      <c r="BX57" s="101">
        <f t="shared" si="2"/>
        <v>0</v>
      </c>
      <c r="BY57" s="12"/>
      <c r="BZ57" s="12"/>
      <c r="CA57" s="578"/>
      <c r="CB57" s="8"/>
      <c r="CC57" s="385"/>
    </row>
    <row r="58" spans="1:81" ht="30.75" outlineLevel="1">
      <c r="A58" s="535">
        <v>26</v>
      </c>
      <c r="B58" s="586" t="s">
        <v>200</v>
      </c>
      <c r="C58" s="585" t="s">
        <v>201</v>
      </c>
      <c r="D58" s="70" t="s">
        <v>140</v>
      </c>
      <c r="E58" s="535" t="s">
        <v>49</v>
      </c>
      <c r="F58" s="535" t="s">
        <v>48</v>
      </c>
      <c r="G58" s="70" t="s">
        <v>202</v>
      </c>
      <c r="H58" s="109" t="s">
        <v>203</v>
      </c>
      <c r="I58" s="535">
        <v>2021</v>
      </c>
      <c r="J58" s="580"/>
      <c r="K58" s="580"/>
      <c r="L58" s="585" t="s">
        <v>135</v>
      </c>
      <c r="M58" s="110">
        <f>SUM(N58:P58)</f>
        <v>500</v>
      </c>
      <c r="N58" s="68"/>
      <c r="O58" s="68"/>
      <c r="P58" s="110">
        <v>500</v>
      </c>
      <c r="Q58" s="68"/>
      <c r="R58" s="70" t="s">
        <v>204</v>
      </c>
      <c r="S58" s="68"/>
      <c r="T58" s="68"/>
      <c r="U58" s="68"/>
      <c r="V58" s="68"/>
      <c r="W58" s="70">
        <f t="shared" si="19"/>
        <v>500</v>
      </c>
      <c r="X58" s="68"/>
      <c r="Y58" s="68"/>
      <c r="Z58" s="70">
        <f t="shared" si="20"/>
        <v>500</v>
      </c>
      <c r="AA58" s="70">
        <v>0</v>
      </c>
      <c r="AB58" s="68"/>
      <c r="AC58" s="110">
        <v>500</v>
      </c>
      <c r="AD58" s="68">
        <f t="shared" si="24"/>
        <v>500</v>
      </c>
      <c r="AE58" s="68"/>
      <c r="AF58" s="68"/>
      <c r="AG58" s="71">
        <f t="shared" si="25"/>
        <v>500</v>
      </c>
      <c r="AH58" s="68"/>
      <c r="AI58" s="68"/>
      <c r="AJ58" s="68"/>
      <c r="AK58" s="110">
        <v>500</v>
      </c>
      <c r="AL58" s="68"/>
      <c r="AM58" s="68"/>
      <c r="AN58" s="68"/>
      <c r="AO58" s="68"/>
      <c r="AP58" s="68"/>
      <c r="AQ58" s="68"/>
      <c r="AR58" s="68"/>
      <c r="AS58" s="68"/>
      <c r="AT58" s="70">
        <f t="shared" si="22"/>
        <v>0</v>
      </c>
      <c r="AU58" s="68"/>
      <c r="AV58" s="68"/>
      <c r="AW58" s="70">
        <f t="shared" si="21"/>
        <v>0</v>
      </c>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580"/>
      <c r="BX58" s="101">
        <f t="shared" si="2"/>
        <v>0</v>
      </c>
      <c r="BY58" s="17"/>
      <c r="BZ58" s="17"/>
      <c r="CA58" s="578"/>
      <c r="CB58" s="581"/>
      <c r="CC58" s="581"/>
    </row>
    <row r="59" spans="1:81" ht="57" customHeight="1" outlineLevel="1">
      <c r="A59" s="535">
        <v>27</v>
      </c>
      <c r="B59" s="586" t="s">
        <v>205</v>
      </c>
      <c r="C59" s="585" t="s">
        <v>183</v>
      </c>
      <c r="D59" s="70" t="s">
        <v>140</v>
      </c>
      <c r="E59" s="535" t="s">
        <v>49</v>
      </c>
      <c r="F59" s="535" t="s">
        <v>48</v>
      </c>
      <c r="G59" s="70" t="s">
        <v>145</v>
      </c>
      <c r="H59" s="109" t="s">
        <v>206</v>
      </c>
      <c r="I59" s="535">
        <v>2021</v>
      </c>
      <c r="J59" s="580"/>
      <c r="K59" s="580"/>
      <c r="L59" s="585" t="s">
        <v>135</v>
      </c>
      <c r="M59" s="110">
        <f>SUM(N59:P59)</f>
        <v>681</v>
      </c>
      <c r="N59" s="68"/>
      <c r="O59" s="68"/>
      <c r="P59" s="110">
        <v>681</v>
      </c>
      <c r="Q59" s="68"/>
      <c r="R59" s="70" t="s">
        <v>142</v>
      </c>
      <c r="S59" s="68"/>
      <c r="T59" s="68"/>
      <c r="U59" s="68"/>
      <c r="V59" s="68"/>
      <c r="W59" s="70">
        <f t="shared" si="19"/>
        <v>681</v>
      </c>
      <c r="X59" s="68"/>
      <c r="Y59" s="68"/>
      <c r="Z59" s="70">
        <f t="shared" si="20"/>
        <v>681</v>
      </c>
      <c r="AA59" s="70">
        <v>0</v>
      </c>
      <c r="AB59" s="68"/>
      <c r="AC59" s="110">
        <v>681</v>
      </c>
      <c r="AD59" s="68">
        <f t="shared" si="24"/>
        <v>681</v>
      </c>
      <c r="AE59" s="68"/>
      <c r="AF59" s="68"/>
      <c r="AG59" s="71">
        <f t="shared" si="25"/>
        <v>681</v>
      </c>
      <c r="AH59" s="68"/>
      <c r="AI59" s="68"/>
      <c r="AJ59" s="68"/>
      <c r="AK59" s="110">
        <v>681</v>
      </c>
      <c r="AL59" s="68"/>
      <c r="AM59" s="68"/>
      <c r="AN59" s="68"/>
      <c r="AO59" s="68"/>
      <c r="AP59" s="68"/>
      <c r="AQ59" s="68"/>
      <c r="AR59" s="68"/>
      <c r="AS59" s="68"/>
      <c r="AT59" s="70">
        <f t="shared" si="22"/>
        <v>0</v>
      </c>
      <c r="AU59" s="68"/>
      <c r="AV59" s="68"/>
      <c r="AW59" s="70">
        <f t="shared" si="21"/>
        <v>0</v>
      </c>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580"/>
      <c r="BX59" s="101">
        <f t="shared" si="2"/>
        <v>0</v>
      </c>
      <c r="BY59" s="17"/>
      <c r="BZ59" s="17"/>
      <c r="CA59" s="578"/>
      <c r="CB59" s="581"/>
      <c r="CC59" s="581"/>
    </row>
    <row r="60" spans="1:81" ht="46.15" outlineLevel="1">
      <c r="A60" s="535">
        <v>28</v>
      </c>
      <c r="B60" s="590" t="s">
        <v>207</v>
      </c>
      <c r="C60" s="534" t="s">
        <v>99</v>
      </c>
      <c r="D60" s="70" t="s">
        <v>140</v>
      </c>
      <c r="E60" s="535" t="s">
        <v>49</v>
      </c>
      <c r="F60" s="535"/>
      <c r="G60" s="70" t="s">
        <v>145</v>
      </c>
      <c r="H60" s="580">
        <v>7887060</v>
      </c>
      <c r="I60" s="535" t="s">
        <v>208</v>
      </c>
      <c r="J60" s="535"/>
      <c r="K60" s="532"/>
      <c r="L60" s="585" t="s">
        <v>177</v>
      </c>
      <c r="M60" s="68">
        <v>6000</v>
      </c>
      <c r="N60" s="67"/>
      <c r="O60" s="67"/>
      <c r="P60" s="70">
        <v>6000</v>
      </c>
      <c r="Q60" s="67"/>
      <c r="R60" s="70" t="s">
        <v>148</v>
      </c>
      <c r="S60" s="67"/>
      <c r="T60" s="67"/>
      <c r="U60" s="67"/>
      <c r="V60" s="67"/>
      <c r="W60" s="70">
        <f t="shared" si="19"/>
        <v>1333.78</v>
      </c>
      <c r="X60" s="70"/>
      <c r="Y60" s="70"/>
      <c r="Z60" s="70">
        <f t="shared" si="20"/>
        <v>1333.78</v>
      </c>
      <c r="AA60" s="70">
        <v>0</v>
      </c>
      <c r="AB60" s="70"/>
      <c r="AC60" s="110">
        <v>1333.78</v>
      </c>
      <c r="AD60" s="70">
        <f t="shared" si="24"/>
        <v>1333.78</v>
      </c>
      <c r="AE60" s="70"/>
      <c r="AF60" s="70"/>
      <c r="AG60" s="70">
        <f t="shared" si="25"/>
        <v>1333.78</v>
      </c>
      <c r="AH60" s="72"/>
      <c r="AI60" s="70"/>
      <c r="AJ60" s="70"/>
      <c r="AK60" s="110">
        <v>1333.78</v>
      </c>
      <c r="AL60" s="70"/>
      <c r="AM60" s="70"/>
      <c r="AN60" s="70"/>
      <c r="AO60" s="70"/>
      <c r="AP60" s="70"/>
      <c r="AQ60" s="70"/>
      <c r="AR60" s="70"/>
      <c r="AS60" s="70"/>
      <c r="AT60" s="70">
        <f t="shared" si="22"/>
        <v>0</v>
      </c>
      <c r="AU60" s="70"/>
      <c r="AV60" s="70"/>
      <c r="AW60" s="70">
        <f t="shared" si="21"/>
        <v>0</v>
      </c>
      <c r="AX60" s="70"/>
      <c r="AY60" s="70"/>
      <c r="AZ60" s="70"/>
      <c r="BA60" s="70"/>
      <c r="BB60" s="70"/>
      <c r="BC60" s="70"/>
      <c r="BD60" s="70"/>
      <c r="BE60" s="70"/>
      <c r="BF60" s="70"/>
      <c r="BG60" s="70"/>
      <c r="BH60" s="70"/>
      <c r="BI60" s="67"/>
      <c r="BJ60" s="67"/>
      <c r="BK60" s="67"/>
      <c r="BL60" s="67"/>
      <c r="BM60" s="67"/>
      <c r="BN60" s="67"/>
      <c r="BO60" s="67"/>
      <c r="BP60" s="67"/>
      <c r="BQ60" s="67"/>
      <c r="BR60" s="67"/>
      <c r="BS60" s="67"/>
      <c r="BT60" s="67"/>
      <c r="BU60" s="67"/>
      <c r="BV60" s="67"/>
      <c r="BW60" s="541" t="s">
        <v>108</v>
      </c>
      <c r="BX60" s="101">
        <f t="shared" si="2"/>
        <v>0</v>
      </c>
      <c r="BY60" s="6"/>
      <c r="BZ60" s="6"/>
      <c r="CA60" s="583"/>
      <c r="CB60" s="9"/>
      <c r="CC60" s="9"/>
    </row>
    <row r="61" spans="1:81" ht="46.15" outlineLevel="1">
      <c r="A61" s="535">
        <v>29</v>
      </c>
      <c r="B61" s="590" t="s">
        <v>209</v>
      </c>
      <c r="C61" s="534" t="s">
        <v>99</v>
      </c>
      <c r="D61" s="70" t="s">
        <v>140</v>
      </c>
      <c r="E61" s="535" t="s">
        <v>49</v>
      </c>
      <c r="F61" s="535" t="s">
        <v>105</v>
      </c>
      <c r="G61" s="70" t="s">
        <v>142</v>
      </c>
      <c r="H61" s="580">
        <v>7880889</v>
      </c>
      <c r="I61" s="535" t="s">
        <v>208</v>
      </c>
      <c r="J61" s="535"/>
      <c r="K61" s="532"/>
      <c r="L61" s="585" t="s">
        <v>190</v>
      </c>
      <c r="M61" s="68">
        <v>1200</v>
      </c>
      <c r="N61" s="67"/>
      <c r="O61" s="67"/>
      <c r="P61" s="70">
        <v>1200</v>
      </c>
      <c r="Q61" s="67"/>
      <c r="R61" s="70" t="s">
        <v>142</v>
      </c>
      <c r="S61" s="67"/>
      <c r="T61" s="67"/>
      <c r="U61" s="67"/>
      <c r="V61" s="67"/>
      <c r="W61" s="70">
        <f t="shared" si="19"/>
        <v>100</v>
      </c>
      <c r="X61" s="70"/>
      <c r="Y61" s="70"/>
      <c r="Z61" s="70">
        <f t="shared" si="20"/>
        <v>100</v>
      </c>
      <c r="AA61" s="70">
        <v>0</v>
      </c>
      <c r="AB61" s="70"/>
      <c r="AC61" s="110">
        <v>100</v>
      </c>
      <c r="AD61" s="70">
        <f t="shared" si="24"/>
        <v>100</v>
      </c>
      <c r="AE61" s="70"/>
      <c r="AF61" s="70"/>
      <c r="AG61" s="70">
        <f t="shared" si="25"/>
        <v>100</v>
      </c>
      <c r="AH61" s="72"/>
      <c r="AI61" s="70"/>
      <c r="AJ61" s="70"/>
      <c r="AK61" s="110">
        <v>100</v>
      </c>
      <c r="AL61" s="70"/>
      <c r="AM61" s="70"/>
      <c r="AN61" s="70"/>
      <c r="AO61" s="70"/>
      <c r="AP61" s="70"/>
      <c r="AQ61" s="70"/>
      <c r="AR61" s="70"/>
      <c r="AS61" s="70"/>
      <c r="AT61" s="70">
        <f t="shared" si="22"/>
        <v>0</v>
      </c>
      <c r="AU61" s="70"/>
      <c r="AV61" s="70"/>
      <c r="AW61" s="70">
        <f t="shared" si="21"/>
        <v>0</v>
      </c>
      <c r="AX61" s="70"/>
      <c r="AY61" s="70"/>
      <c r="AZ61" s="70"/>
      <c r="BA61" s="70"/>
      <c r="BB61" s="70"/>
      <c r="BC61" s="70"/>
      <c r="BD61" s="70"/>
      <c r="BE61" s="70"/>
      <c r="BF61" s="70"/>
      <c r="BG61" s="70"/>
      <c r="BH61" s="70"/>
      <c r="BI61" s="67"/>
      <c r="BJ61" s="67"/>
      <c r="BK61" s="67"/>
      <c r="BL61" s="67"/>
      <c r="BM61" s="67"/>
      <c r="BN61" s="67"/>
      <c r="BO61" s="67"/>
      <c r="BP61" s="67"/>
      <c r="BQ61" s="67"/>
      <c r="BR61" s="67"/>
      <c r="BS61" s="67"/>
      <c r="BT61" s="67"/>
      <c r="BU61" s="67"/>
      <c r="BV61" s="67"/>
      <c r="BW61" s="541" t="s">
        <v>108</v>
      </c>
      <c r="BX61" s="101">
        <f t="shared" si="2"/>
        <v>0</v>
      </c>
      <c r="BY61" s="6"/>
      <c r="BZ61" s="6"/>
      <c r="CA61" s="583"/>
      <c r="CB61" s="9"/>
      <c r="CC61" s="9"/>
    </row>
    <row r="62" spans="1:81" ht="45.75" customHeight="1" outlineLevel="1">
      <c r="A62" s="535">
        <v>30</v>
      </c>
      <c r="B62" s="580" t="s">
        <v>210</v>
      </c>
      <c r="C62" s="535" t="s">
        <v>183</v>
      </c>
      <c r="D62" s="70" t="s">
        <v>140</v>
      </c>
      <c r="E62" s="535" t="s">
        <v>49</v>
      </c>
      <c r="F62" s="535"/>
      <c r="G62" s="70" t="s">
        <v>145</v>
      </c>
      <c r="H62" s="580">
        <v>8106569</v>
      </c>
      <c r="I62" s="535" t="s">
        <v>312</v>
      </c>
      <c r="J62" s="535"/>
      <c r="K62" s="532"/>
      <c r="L62" s="534" t="s">
        <v>211</v>
      </c>
      <c r="M62" s="68">
        <v>850</v>
      </c>
      <c r="N62" s="67"/>
      <c r="O62" s="67"/>
      <c r="P62" s="70"/>
      <c r="Q62" s="67"/>
      <c r="R62" s="70" t="s">
        <v>142</v>
      </c>
      <c r="S62" s="67"/>
      <c r="T62" s="67"/>
      <c r="U62" s="67"/>
      <c r="V62" s="67"/>
      <c r="W62" s="70">
        <f t="shared" si="19"/>
        <v>850</v>
      </c>
      <c r="X62" s="70"/>
      <c r="Y62" s="70"/>
      <c r="Z62" s="70">
        <f t="shared" si="20"/>
        <v>850</v>
      </c>
      <c r="AA62" s="70">
        <v>0</v>
      </c>
      <c r="AB62" s="70"/>
      <c r="AC62" s="70">
        <v>850</v>
      </c>
      <c r="AD62" s="68">
        <f t="shared" si="24"/>
        <v>850</v>
      </c>
      <c r="AE62" s="70"/>
      <c r="AF62" s="70"/>
      <c r="AG62" s="68">
        <f t="shared" si="25"/>
        <v>850</v>
      </c>
      <c r="AH62" s="72"/>
      <c r="AI62" s="70"/>
      <c r="AJ62" s="70"/>
      <c r="AK62" s="70">
        <v>850</v>
      </c>
      <c r="AL62" s="70"/>
      <c r="AM62" s="70"/>
      <c r="AN62" s="70"/>
      <c r="AO62" s="70"/>
      <c r="AP62" s="70"/>
      <c r="AQ62" s="70"/>
      <c r="AR62" s="70"/>
      <c r="AS62" s="70"/>
      <c r="AT62" s="70">
        <f t="shared" si="22"/>
        <v>0</v>
      </c>
      <c r="AU62" s="70"/>
      <c r="AV62" s="70"/>
      <c r="AW62" s="70">
        <f t="shared" si="21"/>
        <v>0</v>
      </c>
      <c r="AX62" s="70"/>
      <c r="AY62" s="70"/>
      <c r="AZ62" s="70"/>
      <c r="BA62" s="70"/>
      <c r="BB62" s="70"/>
      <c r="BC62" s="70"/>
      <c r="BD62" s="70"/>
      <c r="BE62" s="70"/>
      <c r="BF62" s="70"/>
      <c r="BG62" s="70"/>
      <c r="BH62" s="70"/>
      <c r="BI62" s="67"/>
      <c r="BJ62" s="67"/>
      <c r="BK62" s="67"/>
      <c r="BL62" s="67"/>
      <c r="BM62" s="67"/>
      <c r="BN62" s="67"/>
      <c r="BO62" s="67"/>
      <c r="BP62" s="67"/>
      <c r="BQ62" s="67"/>
      <c r="BR62" s="67"/>
      <c r="BS62" s="67"/>
      <c r="BT62" s="67"/>
      <c r="BU62" s="67"/>
      <c r="BV62" s="67"/>
      <c r="BW62" s="541"/>
      <c r="BX62" s="101">
        <f t="shared" si="2"/>
        <v>0</v>
      </c>
      <c r="BY62" s="6"/>
      <c r="BZ62" s="6"/>
      <c r="CA62" s="583"/>
      <c r="CB62" s="9"/>
      <c r="CC62" s="9"/>
    </row>
    <row r="63" spans="1:81" ht="50.25" customHeight="1" outlineLevel="1">
      <c r="A63" s="535">
        <v>31</v>
      </c>
      <c r="B63" s="580" t="s">
        <v>212</v>
      </c>
      <c r="C63" s="534" t="s">
        <v>213</v>
      </c>
      <c r="D63" s="70" t="s">
        <v>140</v>
      </c>
      <c r="E63" s="535" t="s">
        <v>49</v>
      </c>
      <c r="F63" s="535"/>
      <c r="G63" s="70" t="s">
        <v>145</v>
      </c>
      <c r="H63" s="580">
        <v>8100259</v>
      </c>
      <c r="I63" s="535" t="s">
        <v>312</v>
      </c>
      <c r="J63" s="535"/>
      <c r="K63" s="532"/>
      <c r="L63" s="534" t="s">
        <v>214</v>
      </c>
      <c r="M63" s="68">
        <v>1700</v>
      </c>
      <c r="N63" s="67"/>
      <c r="O63" s="67"/>
      <c r="P63" s="70"/>
      <c r="Q63" s="67"/>
      <c r="R63" s="70" t="s">
        <v>142</v>
      </c>
      <c r="S63" s="67"/>
      <c r="T63" s="67"/>
      <c r="U63" s="67"/>
      <c r="V63" s="67"/>
      <c r="W63" s="70">
        <f t="shared" si="19"/>
        <v>1700</v>
      </c>
      <c r="X63" s="70"/>
      <c r="Y63" s="70"/>
      <c r="Z63" s="70">
        <f t="shared" si="20"/>
        <v>1700</v>
      </c>
      <c r="AA63" s="70">
        <v>0</v>
      </c>
      <c r="AB63" s="70"/>
      <c r="AC63" s="70">
        <v>1700</v>
      </c>
      <c r="AD63" s="68">
        <f t="shared" si="24"/>
        <v>1700</v>
      </c>
      <c r="AE63" s="70"/>
      <c r="AF63" s="70"/>
      <c r="AG63" s="68">
        <f t="shared" si="25"/>
        <v>1700</v>
      </c>
      <c r="AH63" s="72"/>
      <c r="AI63" s="70"/>
      <c r="AJ63" s="70"/>
      <c r="AK63" s="70">
        <v>1700</v>
      </c>
      <c r="AL63" s="70"/>
      <c r="AM63" s="70"/>
      <c r="AN63" s="70"/>
      <c r="AO63" s="70"/>
      <c r="AP63" s="70"/>
      <c r="AQ63" s="70"/>
      <c r="AR63" s="70"/>
      <c r="AS63" s="70"/>
      <c r="AT63" s="70">
        <f t="shared" si="22"/>
        <v>0</v>
      </c>
      <c r="AU63" s="70"/>
      <c r="AV63" s="70"/>
      <c r="AW63" s="70">
        <f t="shared" si="21"/>
        <v>0</v>
      </c>
      <c r="AX63" s="70"/>
      <c r="AY63" s="70"/>
      <c r="AZ63" s="70"/>
      <c r="BA63" s="70"/>
      <c r="BB63" s="70"/>
      <c r="BC63" s="70"/>
      <c r="BD63" s="70"/>
      <c r="BE63" s="70"/>
      <c r="BF63" s="70"/>
      <c r="BG63" s="70"/>
      <c r="BH63" s="70"/>
      <c r="BI63" s="67"/>
      <c r="BJ63" s="67"/>
      <c r="BK63" s="67"/>
      <c r="BL63" s="67"/>
      <c r="BM63" s="67"/>
      <c r="BN63" s="67"/>
      <c r="BO63" s="67"/>
      <c r="BP63" s="67"/>
      <c r="BQ63" s="67"/>
      <c r="BR63" s="67"/>
      <c r="BS63" s="67"/>
      <c r="BT63" s="67"/>
      <c r="BU63" s="67"/>
      <c r="BV63" s="67"/>
      <c r="BW63" s="541"/>
      <c r="BX63" s="101">
        <f t="shared" si="2"/>
        <v>0</v>
      </c>
      <c r="BY63" s="6"/>
      <c r="BZ63" s="6"/>
      <c r="CA63" s="583"/>
      <c r="CB63" s="9"/>
      <c r="CC63" s="9"/>
    </row>
    <row r="64" spans="1:81" ht="46.15" outlineLevel="1">
      <c r="A64" s="535">
        <v>32</v>
      </c>
      <c r="B64" s="580" t="s">
        <v>215</v>
      </c>
      <c r="C64" s="534" t="s">
        <v>99</v>
      </c>
      <c r="D64" s="70" t="s">
        <v>140</v>
      </c>
      <c r="E64" s="535" t="s">
        <v>49</v>
      </c>
      <c r="F64" s="535" t="s">
        <v>48</v>
      </c>
      <c r="G64" s="70" t="s">
        <v>142</v>
      </c>
      <c r="H64" s="580">
        <v>8132467</v>
      </c>
      <c r="I64" s="535">
        <v>2025</v>
      </c>
      <c r="J64" s="535">
        <v>2025</v>
      </c>
      <c r="K64" s="532"/>
      <c r="L64" s="534" t="s">
        <v>216</v>
      </c>
      <c r="M64" s="110">
        <v>2500</v>
      </c>
      <c r="N64" s="67"/>
      <c r="O64" s="67"/>
      <c r="P64" s="70">
        <v>2500</v>
      </c>
      <c r="Q64" s="67"/>
      <c r="R64" s="70" t="s">
        <v>142</v>
      </c>
      <c r="S64" s="67"/>
      <c r="T64" s="67"/>
      <c r="U64" s="67"/>
      <c r="V64" s="67"/>
      <c r="W64" s="70">
        <f t="shared" si="19"/>
        <v>2444</v>
      </c>
      <c r="X64" s="70"/>
      <c r="Y64" s="70"/>
      <c r="Z64" s="70">
        <f t="shared" si="20"/>
        <v>2444</v>
      </c>
      <c r="AA64" s="70">
        <v>0</v>
      </c>
      <c r="AB64" s="70"/>
      <c r="AC64" s="110">
        <f>600+1844</f>
        <v>2444</v>
      </c>
      <c r="AD64" s="70"/>
      <c r="AE64" s="70"/>
      <c r="AF64" s="70"/>
      <c r="AG64" s="70"/>
      <c r="AH64" s="72"/>
      <c r="AI64" s="70"/>
      <c r="AJ64" s="70"/>
      <c r="AK64" s="70"/>
      <c r="AL64" s="70"/>
      <c r="AM64" s="70"/>
      <c r="AN64" s="70"/>
      <c r="AO64" s="70"/>
      <c r="AP64" s="70"/>
      <c r="AQ64" s="70"/>
      <c r="AR64" s="70"/>
      <c r="AS64" s="70"/>
      <c r="AT64" s="70">
        <f t="shared" si="22"/>
        <v>2444</v>
      </c>
      <c r="AU64" s="70"/>
      <c r="AV64" s="70"/>
      <c r="AW64" s="70">
        <f t="shared" si="21"/>
        <v>2444</v>
      </c>
      <c r="AX64" s="70"/>
      <c r="AY64" s="70"/>
      <c r="AZ64" s="110">
        <f>600+1844</f>
        <v>2444</v>
      </c>
      <c r="BA64" s="70"/>
      <c r="BB64" s="70"/>
      <c r="BC64" s="70"/>
      <c r="BD64" s="70"/>
      <c r="BE64" s="70"/>
      <c r="BF64" s="70"/>
      <c r="BG64" s="70"/>
      <c r="BH64" s="70"/>
      <c r="BI64" s="67"/>
      <c r="BJ64" s="67"/>
      <c r="BK64" s="67"/>
      <c r="BL64" s="67"/>
      <c r="BM64" s="67"/>
      <c r="BN64" s="67"/>
      <c r="BO64" s="67"/>
      <c r="BP64" s="67"/>
      <c r="BQ64" s="67"/>
      <c r="BR64" s="67"/>
      <c r="BS64" s="67"/>
      <c r="BT64" s="67"/>
      <c r="BU64" s="67"/>
      <c r="BV64" s="67"/>
      <c r="BW64" s="541" t="s">
        <v>151</v>
      </c>
      <c r="BX64" s="101">
        <f t="shared" si="2"/>
        <v>0</v>
      </c>
      <c r="BY64" s="6"/>
      <c r="BZ64" s="6"/>
      <c r="CA64" s="583"/>
      <c r="CB64" s="9"/>
      <c r="CC64" s="9"/>
    </row>
    <row r="65" spans="1:81" ht="45.75" customHeight="1" outlineLevel="1">
      <c r="A65" s="535">
        <v>33</v>
      </c>
      <c r="B65" s="580" t="s">
        <v>217</v>
      </c>
      <c r="C65" s="534" t="s">
        <v>218</v>
      </c>
      <c r="D65" s="70" t="s">
        <v>140</v>
      </c>
      <c r="E65" s="535" t="s">
        <v>49</v>
      </c>
      <c r="F65" s="535" t="s">
        <v>105</v>
      </c>
      <c r="G65" s="70" t="s">
        <v>145</v>
      </c>
      <c r="H65" s="584" t="s">
        <v>219</v>
      </c>
      <c r="I65" s="535">
        <v>2025</v>
      </c>
      <c r="J65" s="535">
        <v>2025</v>
      </c>
      <c r="K65" s="532"/>
      <c r="L65" s="534" t="s">
        <v>220</v>
      </c>
      <c r="M65" s="110">
        <v>866</v>
      </c>
      <c r="N65" s="67"/>
      <c r="O65" s="67"/>
      <c r="P65" s="110">
        <v>866</v>
      </c>
      <c r="Q65" s="67"/>
      <c r="R65" s="70" t="s">
        <v>148</v>
      </c>
      <c r="S65" s="67"/>
      <c r="T65" s="67"/>
      <c r="U65" s="67"/>
      <c r="V65" s="67"/>
      <c r="W65" s="70">
        <f t="shared" si="19"/>
        <v>860</v>
      </c>
      <c r="X65" s="70"/>
      <c r="Y65" s="70"/>
      <c r="Z65" s="70">
        <f t="shared" si="20"/>
        <v>860</v>
      </c>
      <c r="AA65" s="70">
        <v>0</v>
      </c>
      <c r="AB65" s="70"/>
      <c r="AC65" s="110">
        <v>860</v>
      </c>
      <c r="AD65" s="70"/>
      <c r="AE65" s="70"/>
      <c r="AF65" s="70"/>
      <c r="AG65" s="70"/>
      <c r="AH65" s="72"/>
      <c r="AI65" s="70"/>
      <c r="AJ65" s="70"/>
      <c r="AK65" s="70"/>
      <c r="AL65" s="70"/>
      <c r="AM65" s="70"/>
      <c r="AN65" s="70"/>
      <c r="AO65" s="70"/>
      <c r="AP65" s="70"/>
      <c r="AQ65" s="70"/>
      <c r="AR65" s="70"/>
      <c r="AS65" s="70"/>
      <c r="AT65" s="70">
        <f t="shared" si="22"/>
        <v>860</v>
      </c>
      <c r="AU65" s="70"/>
      <c r="AV65" s="70"/>
      <c r="AW65" s="70">
        <f t="shared" si="21"/>
        <v>860</v>
      </c>
      <c r="AX65" s="70"/>
      <c r="AY65" s="70"/>
      <c r="AZ65" s="110">
        <v>860</v>
      </c>
      <c r="BA65" s="70"/>
      <c r="BB65" s="70"/>
      <c r="BC65" s="70"/>
      <c r="BD65" s="70"/>
      <c r="BE65" s="70"/>
      <c r="BF65" s="70"/>
      <c r="BG65" s="70"/>
      <c r="BH65" s="70"/>
      <c r="BI65" s="67"/>
      <c r="BJ65" s="67"/>
      <c r="BK65" s="67"/>
      <c r="BL65" s="67"/>
      <c r="BM65" s="67"/>
      <c r="BN65" s="67"/>
      <c r="BO65" s="67"/>
      <c r="BP65" s="67"/>
      <c r="BQ65" s="67"/>
      <c r="BR65" s="67"/>
      <c r="BS65" s="67"/>
      <c r="BT65" s="67"/>
      <c r="BU65" s="67"/>
      <c r="BV65" s="67"/>
      <c r="BW65" s="541" t="s">
        <v>108</v>
      </c>
      <c r="BX65" s="101">
        <f t="shared" si="2"/>
        <v>0</v>
      </c>
      <c r="BY65" s="6"/>
      <c r="BZ65" s="6"/>
      <c r="CA65" s="583"/>
      <c r="CB65" s="9"/>
      <c r="CC65" s="9"/>
    </row>
    <row r="66" spans="1:81" ht="46.15" outlineLevel="1">
      <c r="A66" s="535">
        <v>34</v>
      </c>
      <c r="B66" s="580" t="s">
        <v>221</v>
      </c>
      <c r="C66" s="534" t="s">
        <v>99</v>
      </c>
      <c r="D66" s="70" t="s">
        <v>140</v>
      </c>
      <c r="E66" s="535" t="s">
        <v>10</v>
      </c>
      <c r="F66" s="534" t="s">
        <v>48</v>
      </c>
      <c r="G66" s="70" t="s">
        <v>145</v>
      </c>
      <c r="H66" s="584">
        <v>7902730</v>
      </c>
      <c r="I66" s="535" t="s">
        <v>83</v>
      </c>
      <c r="J66" s="535">
        <v>2022</v>
      </c>
      <c r="K66" s="532"/>
      <c r="L66" s="585" t="s">
        <v>222</v>
      </c>
      <c r="M66" s="68">
        <v>86550</v>
      </c>
      <c r="N66" s="70"/>
      <c r="O66" s="70">
        <v>70000</v>
      </c>
      <c r="P66" s="68">
        <f>M66-O66</f>
        <v>16550</v>
      </c>
      <c r="Q66" s="67"/>
      <c r="R66" s="70" t="s">
        <v>148</v>
      </c>
      <c r="S66" s="68"/>
      <c r="T66" s="67"/>
      <c r="U66" s="67"/>
      <c r="V66" s="68"/>
      <c r="W66" s="70">
        <f t="shared" si="19"/>
        <v>16450</v>
      </c>
      <c r="X66" s="68"/>
      <c r="Y66" s="68">
        <v>25000</v>
      </c>
      <c r="Z66" s="70">
        <f t="shared" si="20"/>
        <v>16450</v>
      </c>
      <c r="AA66" s="70">
        <v>2780</v>
      </c>
      <c r="AB66" s="70">
        <v>13670</v>
      </c>
      <c r="AC66" s="67"/>
      <c r="AD66" s="68">
        <v>25000</v>
      </c>
      <c r="AE66" s="68"/>
      <c r="AF66" s="68">
        <v>25000</v>
      </c>
      <c r="AG66" s="68"/>
      <c r="AH66" s="67"/>
      <c r="AI66" s="67"/>
      <c r="AJ66" s="67"/>
      <c r="AK66" s="67"/>
      <c r="AL66" s="68">
        <v>25000</v>
      </c>
      <c r="AM66" s="68"/>
      <c r="AN66" s="68">
        <v>25000</v>
      </c>
      <c r="AO66" s="67"/>
      <c r="AP66" s="67"/>
      <c r="AQ66" s="67"/>
      <c r="AR66" s="67"/>
      <c r="AS66" s="67"/>
      <c r="AT66" s="70">
        <f t="shared" si="22"/>
        <v>0</v>
      </c>
      <c r="AU66" s="68"/>
      <c r="AV66" s="68">
        <v>12042</v>
      </c>
      <c r="AW66" s="70">
        <f t="shared" si="21"/>
        <v>0</v>
      </c>
      <c r="AX66" s="68"/>
      <c r="AY66" s="67"/>
      <c r="AZ66" s="67"/>
      <c r="BA66" s="68">
        <v>12042</v>
      </c>
      <c r="BB66" s="68"/>
      <c r="BC66" s="68">
        <v>12042</v>
      </c>
      <c r="BD66" s="68"/>
      <c r="BE66" s="68"/>
      <c r="BF66" s="67"/>
      <c r="BG66" s="67"/>
      <c r="BH66" s="67"/>
      <c r="BI66" s="67"/>
      <c r="BJ66" s="67"/>
      <c r="BK66" s="67"/>
      <c r="BL66" s="67"/>
      <c r="BM66" s="67"/>
      <c r="BN66" s="67"/>
      <c r="BO66" s="67"/>
      <c r="BP66" s="67"/>
      <c r="BQ66" s="70">
        <f>SUM(BR66:BT66)</f>
        <v>13870</v>
      </c>
      <c r="BR66" s="70"/>
      <c r="BS66" s="70">
        <v>13870</v>
      </c>
      <c r="BT66" s="70"/>
      <c r="BU66" s="67"/>
      <c r="BV66" s="67"/>
      <c r="BW66" s="541" t="s">
        <v>151</v>
      </c>
      <c r="BX66" s="101">
        <f t="shared" si="2"/>
        <v>0</v>
      </c>
      <c r="BY66" s="11">
        <v>2780</v>
      </c>
      <c r="BZ66" s="12"/>
      <c r="CA66" s="591"/>
      <c r="CB66" s="7"/>
      <c r="CC66" s="385"/>
    </row>
    <row r="67" spans="1:81" ht="46.15" outlineLevel="1">
      <c r="A67" s="535">
        <v>35</v>
      </c>
      <c r="B67" s="580" t="s">
        <v>223</v>
      </c>
      <c r="C67" s="534" t="s">
        <v>99</v>
      </c>
      <c r="D67" s="70" t="s">
        <v>140</v>
      </c>
      <c r="E67" s="535" t="s">
        <v>49</v>
      </c>
      <c r="F67" s="535"/>
      <c r="G67" s="70" t="s">
        <v>145</v>
      </c>
      <c r="H67" s="532"/>
      <c r="I67" s="535" t="s">
        <v>861</v>
      </c>
      <c r="J67" s="535"/>
      <c r="K67" s="532"/>
      <c r="L67" s="585" t="s">
        <v>224</v>
      </c>
      <c r="M67" s="70">
        <f t="shared" ref="M67:M68" si="26">SUM(N67:P67)</f>
        <v>15000</v>
      </c>
      <c r="N67" s="70"/>
      <c r="O67" s="67"/>
      <c r="P67" s="68">
        <v>15000</v>
      </c>
      <c r="Q67" s="67"/>
      <c r="R67" s="70" t="s">
        <v>148</v>
      </c>
      <c r="S67" s="68"/>
      <c r="T67" s="67"/>
      <c r="U67" s="67"/>
      <c r="V67" s="68"/>
      <c r="W67" s="70">
        <f t="shared" si="19"/>
        <v>7500</v>
      </c>
      <c r="X67" s="68"/>
      <c r="Y67" s="68"/>
      <c r="Z67" s="70">
        <f t="shared" si="20"/>
        <v>7500</v>
      </c>
      <c r="AA67" s="70">
        <v>0</v>
      </c>
      <c r="AB67" s="70">
        <v>7500</v>
      </c>
      <c r="AC67" s="67"/>
      <c r="AD67" s="68"/>
      <c r="AE67" s="68"/>
      <c r="AF67" s="68"/>
      <c r="AG67" s="68"/>
      <c r="AH67" s="67"/>
      <c r="AI67" s="67"/>
      <c r="AJ67" s="67"/>
      <c r="AK67" s="67"/>
      <c r="AL67" s="68"/>
      <c r="AM67" s="68"/>
      <c r="AN67" s="67"/>
      <c r="AO67" s="67"/>
      <c r="AP67" s="67"/>
      <c r="AQ67" s="67"/>
      <c r="AR67" s="67"/>
      <c r="AS67" s="67"/>
      <c r="AT67" s="70">
        <f t="shared" si="22"/>
        <v>0</v>
      </c>
      <c r="AU67" s="68"/>
      <c r="AV67" s="68"/>
      <c r="AW67" s="70">
        <f t="shared" si="21"/>
        <v>0</v>
      </c>
      <c r="AX67" s="68"/>
      <c r="AY67" s="67"/>
      <c r="AZ67" s="67"/>
      <c r="BA67" s="68"/>
      <c r="BB67" s="68"/>
      <c r="BC67" s="68"/>
      <c r="BD67" s="68"/>
      <c r="BE67" s="68"/>
      <c r="BF67" s="67"/>
      <c r="BG67" s="67"/>
      <c r="BH67" s="67"/>
      <c r="BI67" s="67"/>
      <c r="BJ67" s="67"/>
      <c r="BK67" s="67"/>
      <c r="BL67" s="67"/>
      <c r="BM67" s="67"/>
      <c r="BN67" s="67"/>
      <c r="BO67" s="67"/>
      <c r="BP67" s="67"/>
      <c r="BQ67" s="70"/>
      <c r="BR67" s="70"/>
      <c r="BS67" s="70"/>
      <c r="BT67" s="72"/>
      <c r="BU67" s="67"/>
      <c r="BV67" s="67"/>
      <c r="BW67" s="541" t="s">
        <v>151</v>
      </c>
      <c r="BX67" s="101">
        <f t="shared" si="2"/>
        <v>0</v>
      </c>
      <c r="BY67" s="12"/>
      <c r="BZ67" s="12"/>
      <c r="CA67" s="592"/>
      <c r="CB67" s="7"/>
      <c r="CC67" s="385"/>
    </row>
    <row r="68" spans="1:81" ht="46.15" outlineLevel="1">
      <c r="A68" s="535">
        <v>36</v>
      </c>
      <c r="B68" s="580" t="s">
        <v>225</v>
      </c>
      <c r="C68" s="534" t="s">
        <v>99</v>
      </c>
      <c r="D68" s="70" t="s">
        <v>140</v>
      </c>
      <c r="E68" s="535" t="s">
        <v>10</v>
      </c>
      <c r="F68" s="535" t="s">
        <v>48</v>
      </c>
      <c r="G68" s="70" t="s">
        <v>145</v>
      </c>
      <c r="H68" s="593">
        <v>7902731</v>
      </c>
      <c r="I68" s="535" t="s">
        <v>53</v>
      </c>
      <c r="J68" s="535">
        <v>2024</v>
      </c>
      <c r="K68" s="532"/>
      <c r="L68" s="585" t="s">
        <v>226</v>
      </c>
      <c r="M68" s="70">
        <f t="shared" si="26"/>
        <v>263062</v>
      </c>
      <c r="N68" s="70">
        <v>192000</v>
      </c>
      <c r="O68" s="67"/>
      <c r="P68" s="68">
        <v>71062</v>
      </c>
      <c r="Q68" s="67"/>
      <c r="R68" s="70" t="s">
        <v>148</v>
      </c>
      <c r="S68" s="68"/>
      <c r="T68" s="67"/>
      <c r="U68" s="67"/>
      <c r="V68" s="68"/>
      <c r="W68" s="70">
        <f t="shared" si="19"/>
        <v>71062</v>
      </c>
      <c r="X68" s="68">
        <v>100000</v>
      </c>
      <c r="Y68" s="68"/>
      <c r="Z68" s="70">
        <f t="shared" si="20"/>
        <v>71062</v>
      </c>
      <c r="AA68" s="70">
        <v>0</v>
      </c>
      <c r="AB68" s="70">
        <v>71062</v>
      </c>
      <c r="AC68" s="67"/>
      <c r="AD68" s="68">
        <v>100000</v>
      </c>
      <c r="AE68" s="68">
        <v>100000</v>
      </c>
      <c r="AF68" s="68"/>
      <c r="AG68" s="68"/>
      <c r="AH68" s="67"/>
      <c r="AI68" s="67"/>
      <c r="AJ68" s="67"/>
      <c r="AK68" s="67"/>
      <c r="AL68" s="68">
        <v>98300</v>
      </c>
      <c r="AM68" s="68">
        <v>98300</v>
      </c>
      <c r="AN68" s="67"/>
      <c r="AO68" s="67"/>
      <c r="AP68" s="67"/>
      <c r="AQ68" s="67"/>
      <c r="AR68" s="67"/>
      <c r="AS68" s="67"/>
      <c r="AT68" s="70">
        <f t="shared" si="22"/>
        <v>0</v>
      </c>
      <c r="AU68" s="68">
        <v>50000</v>
      </c>
      <c r="AV68" s="68"/>
      <c r="AW68" s="70">
        <f t="shared" si="21"/>
        <v>0</v>
      </c>
      <c r="AX68" s="68"/>
      <c r="AY68" s="67"/>
      <c r="AZ68" s="67"/>
      <c r="BA68" s="68">
        <v>48300</v>
      </c>
      <c r="BB68" s="68">
        <v>48300</v>
      </c>
      <c r="BC68" s="68"/>
      <c r="BD68" s="68"/>
      <c r="BE68" s="68"/>
      <c r="BF68" s="67"/>
      <c r="BG68" s="67"/>
      <c r="BH68" s="67"/>
      <c r="BI68" s="67"/>
      <c r="BJ68" s="67"/>
      <c r="BK68" s="67"/>
      <c r="BL68" s="67"/>
      <c r="BM68" s="67"/>
      <c r="BN68" s="67"/>
      <c r="BO68" s="67"/>
      <c r="BP68" s="67"/>
      <c r="BQ68" s="70">
        <f>SUM(BR68:BS68)</f>
        <v>161062</v>
      </c>
      <c r="BR68" s="70">
        <v>90000</v>
      </c>
      <c r="BS68" s="70">
        <f>71262-200</f>
        <v>71062</v>
      </c>
      <c r="BT68" s="72"/>
      <c r="BU68" s="67"/>
      <c r="BV68" s="67"/>
      <c r="BW68" s="541" t="s">
        <v>151</v>
      </c>
      <c r="BX68" s="101">
        <f t="shared" si="2"/>
        <v>0</v>
      </c>
      <c r="BY68" s="12"/>
      <c r="BZ68" s="12"/>
      <c r="CA68" s="592"/>
      <c r="CB68" s="7"/>
      <c r="CC68" s="385"/>
    </row>
    <row r="69" spans="1:81" ht="30" customHeight="1">
      <c r="A69" s="536" t="s">
        <v>14</v>
      </c>
      <c r="B69" s="536" t="s">
        <v>227</v>
      </c>
      <c r="C69" s="536"/>
      <c r="D69" s="104"/>
      <c r="E69" s="536"/>
      <c r="F69" s="536"/>
      <c r="G69" s="104"/>
      <c r="H69" s="536"/>
      <c r="I69" s="536"/>
      <c r="J69" s="536"/>
      <c r="K69" s="536"/>
      <c r="L69" s="536"/>
      <c r="M69" s="104">
        <f>M70</f>
        <v>5000</v>
      </c>
      <c r="N69" s="104">
        <f t="shared" ref="N69:BT69" si="27">N70</f>
        <v>0</v>
      </c>
      <c r="O69" s="104">
        <f t="shared" si="27"/>
        <v>0</v>
      </c>
      <c r="P69" s="104">
        <f t="shared" si="27"/>
        <v>5000</v>
      </c>
      <c r="Q69" s="104">
        <f t="shared" si="27"/>
        <v>0</v>
      </c>
      <c r="R69" s="104">
        <f t="shared" si="27"/>
        <v>0</v>
      </c>
      <c r="S69" s="104">
        <f t="shared" si="27"/>
        <v>0</v>
      </c>
      <c r="T69" s="104">
        <f t="shared" si="27"/>
        <v>0</v>
      </c>
      <c r="U69" s="104">
        <f t="shared" si="27"/>
        <v>0</v>
      </c>
      <c r="V69" s="104">
        <f t="shared" si="27"/>
        <v>0</v>
      </c>
      <c r="W69" s="104">
        <f t="shared" si="27"/>
        <v>4953.5020000000004</v>
      </c>
      <c r="X69" s="104">
        <f t="shared" si="27"/>
        <v>0</v>
      </c>
      <c r="Y69" s="104">
        <f t="shared" si="27"/>
        <v>0</v>
      </c>
      <c r="Z69" s="104">
        <f t="shared" si="27"/>
        <v>4953.5020000000004</v>
      </c>
      <c r="AA69" s="104">
        <f t="shared" si="27"/>
        <v>4953.5020000000004</v>
      </c>
      <c r="AB69" s="104">
        <f t="shared" si="27"/>
        <v>0</v>
      </c>
      <c r="AC69" s="104">
        <f t="shared" si="27"/>
        <v>0</v>
      </c>
      <c r="AD69" s="104">
        <f t="shared" si="27"/>
        <v>4683.5020000000004</v>
      </c>
      <c r="AE69" s="104">
        <f t="shared" si="27"/>
        <v>0</v>
      </c>
      <c r="AF69" s="104">
        <f t="shared" si="27"/>
        <v>0</v>
      </c>
      <c r="AG69" s="104">
        <f t="shared" si="27"/>
        <v>4683.5020000000004</v>
      </c>
      <c r="AH69" s="104">
        <f t="shared" si="27"/>
        <v>4683.5020000000004</v>
      </c>
      <c r="AI69" s="104">
        <f t="shared" si="27"/>
        <v>0</v>
      </c>
      <c r="AJ69" s="104">
        <f t="shared" si="27"/>
        <v>0</v>
      </c>
      <c r="AK69" s="104">
        <f t="shared" si="27"/>
        <v>0</v>
      </c>
      <c r="AL69" s="104">
        <f t="shared" si="27"/>
        <v>4683.5020000000004</v>
      </c>
      <c r="AM69" s="104">
        <f t="shared" si="27"/>
        <v>0</v>
      </c>
      <c r="AN69" s="104">
        <f t="shared" si="27"/>
        <v>0</v>
      </c>
      <c r="AO69" s="104">
        <f t="shared" si="27"/>
        <v>4683.5020000000004</v>
      </c>
      <c r="AP69" s="104">
        <f t="shared" si="27"/>
        <v>4683.5020000000004</v>
      </c>
      <c r="AQ69" s="104">
        <f t="shared" si="27"/>
        <v>0</v>
      </c>
      <c r="AR69" s="104">
        <f t="shared" si="27"/>
        <v>0</v>
      </c>
      <c r="AS69" s="104">
        <f t="shared" si="27"/>
        <v>0</v>
      </c>
      <c r="AT69" s="104">
        <f t="shared" si="27"/>
        <v>270</v>
      </c>
      <c r="AU69" s="104">
        <f t="shared" si="27"/>
        <v>0</v>
      </c>
      <c r="AV69" s="104">
        <f t="shared" si="27"/>
        <v>0</v>
      </c>
      <c r="AW69" s="104">
        <f t="shared" si="27"/>
        <v>270</v>
      </c>
      <c r="AX69" s="104">
        <f t="shared" si="27"/>
        <v>270</v>
      </c>
      <c r="AY69" s="104">
        <f t="shared" si="27"/>
        <v>0</v>
      </c>
      <c r="AZ69" s="104">
        <f t="shared" si="27"/>
        <v>0</v>
      </c>
      <c r="BA69" s="104">
        <f t="shared" si="27"/>
        <v>256.37</v>
      </c>
      <c r="BB69" s="104">
        <f t="shared" si="27"/>
        <v>0</v>
      </c>
      <c r="BC69" s="104">
        <f t="shared" si="27"/>
        <v>0</v>
      </c>
      <c r="BD69" s="104">
        <f t="shared" si="27"/>
        <v>256.37</v>
      </c>
      <c r="BE69" s="104">
        <f t="shared" si="27"/>
        <v>256.37</v>
      </c>
      <c r="BF69" s="104">
        <f t="shared" si="27"/>
        <v>0</v>
      </c>
      <c r="BG69" s="104">
        <f t="shared" si="27"/>
        <v>0</v>
      </c>
      <c r="BH69" s="104">
        <f t="shared" si="27"/>
        <v>0</v>
      </c>
      <c r="BI69" s="104">
        <f t="shared" si="27"/>
        <v>0</v>
      </c>
      <c r="BJ69" s="104">
        <f t="shared" si="27"/>
        <v>0</v>
      </c>
      <c r="BK69" s="104">
        <f t="shared" si="27"/>
        <v>0</v>
      </c>
      <c r="BL69" s="104">
        <f t="shared" si="27"/>
        <v>0</v>
      </c>
      <c r="BM69" s="104">
        <f t="shared" si="27"/>
        <v>0</v>
      </c>
      <c r="BN69" s="104">
        <f t="shared" si="27"/>
        <v>0</v>
      </c>
      <c r="BO69" s="104">
        <f t="shared" si="27"/>
        <v>0</v>
      </c>
      <c r="BP69" s="104">
        <f t="shared" si="27"/>
        <v>0</v>
      </c>
      <c r="BQ69" s="104">
        <f t="shared" si="27"/>
        <v>0</v>
      </c>
      <c r="BR69" s="104">
        <f t="shared" si="27"/>
        <v>0</v>
      </c>
      <c r="BS69" s="104">
        <f t="shared" si="27"/>
        <v>0</v>
      </c>
      <c r="BT69" s="104">
        <f t="shared" si="27"/>
        <v>0</v>
      </c>
      <c r="BU69" s="536"/>
      <c r="BV69" s="536"/>
      <c r="BW69" s="536"/>
      <c r="BX69" s="101">
        <f t="shared" si="2"/>
        <v>0</v>
      </c>
      <c r="BY69" s="104">
        <f t="shared" ref="BY69" si="28">BY70</f>
        <v>4953.5020000000004</v>
      </c>
      <c r="BZ69" s="12"/>
      <c r="CA69" s="578"/>
      <c r="CB69" s="579"/>
      <c r="CC69" s="579"/>
    </row>
    <row r="70" spans="1:81" ht="37.5" customHeight="1">
      <c r="A70" s="537" t="s">
        <v>44</v>
      </c>
      <c r="B70" s="533" t="s">
        <v>51</v>
      </c>
      <c r="C70" s="533"/>
      <c r="D70" s="102"/>
      <c r="E70" s="533"/>
      <c r="F70" s="533"/>
      <c r="G70" s="102"/>
      <c r="H70" s="533"/>
      <c r="I70" s="533"/>
      <c r="J70" s="533"/>
      <c r="K70" s="533"/>
      <c r="L70" s="533"/>
      <c r="M70" s="102">
        <f>SUM(M71:M73)</f>
        <v>5000</v>
      </c>
      <c r="N70" s="102">
        <f t="shared" ref="N70:BT70" si="29">SUM(N71:N73)</f>
        <v>0</v>
      </c>
      <c r="O70" s="102">
        <f t="shared" si="29"/>
        <v>0</v>
      </c>
      <c r="P70" s="102">
        <f t="shared" si="29"/>
        <v>5000</v>
      </c>
      <c r="Q70" s="102">
        <f t="shared" si="29"/>
        <v>0</v>
      </c>
      <c r="R70" s="102">
        <f t="shared" si="29"/>
        <v>0</v>
      </c>
      <c r="S70" s="102">
        <f t="shared" si="29"/>
        <v>0</v>
      </c>
      <c r="T70" s="102">
        <f t="shared" si="29"/>
        <v>0</v>
      </c>
      <c r="U70" s="102">
        <f t="shared" si="29"/>
        <v>0</v>
      </c>
      <c r="V70" s="102">
        <f t="shared" si="29"/>
        <v>0</v>
      </c>
      <c r="W70" s="102">
        <f t="shared" si="29"/>
        <v>4953.5020000000004</v>
      </c>
      <c r="X70" s="102">
        <f t="shared" si="29"/>
        <v>0</v>
      </c>
      <c r="Y70" s="102">
        <f t="shared" si="29"/>
        <v>0</v>
      </c>
      <c r="Z70" s="102">
        <f t="shared" si="29"/>
        <v>4953.5020000000004</v>
      </c>
      <c r="AA70" s="102">
        <f t="shared" si="29"/>
        <v>4953.5020000000004</v>
      </c>
      <c r="AB70" s="102">
        <f t="shared" si="29"/>
        <v>0</v>
      </c>
      <c r="AC70" s="102">
        <f t="shared" si="29"/>
        <v>0</v>
      </c>
      <c r="AD70" s="102">
        <f t="shared" si="29"/>
        <v>4683.5020000000004</v>
      </c>
      <c r="AE70" s="102">
        <f t="shared" si="29"/>
        <v>0</v>
      </c>
      <c r="AF70" s="102">
        <f t="shared" si="29"/>
        <v>0</v>
      </c>
      <c r="AG70" s="102">
        <f t="shared" si="29"/>
        <v>4683.5020000000004</v>
      </c>
      <c r="AH70" s="102">
        <f t="shared" si="29"/>
        <v>4683.5020000000004</v>
      </c>
      <c r="AI70" s="102">
        <f t="shared" si="29"/>
        <v>0</v>
      </c>
      <c r="AJ70" s="102">
        <f t="shared" si="29"/>
        <v>0</v>
      </c>
      <c r="AK70" s="102">
        <f t="shared" si="29"/>
        <v>0</v>
      </c>
      <c r="AL70" s="102">
        <f t="shared" si="29"/>
        <v>4683.5020000000004</v>
      </c>
      <c r="AM70" s="102">
        <f t="shared" si="29"/>
        <v>0</v>
      </c>
      <c r="AN70" s="102">
        <f t="shared" si="29"/>
        <v>0</v>
      </c>
      <c r="AO70" s="102">
        <f t="shared" si="29"/>
        <v>4683.5020000000004</v>
      </c>
      <c r="AP70" s="102">
        <f t="shared" si="29"/>
        <v>4683.5020000000004</v>
      </c>
      <c r="AQ70" s="102">
        <f t="shared" si="29"/>
        <v>0</v>
      </c>
      <c r="AR70" s="102">
        <f t="shared" si="29"/>
        <v>0</v>
      </c>
      <c r="AS70" s="102">
        <f t="shared" si="29"/>
        <v>0</v>
      </c>
      <c r="AT70" s="102">
        <f t="shared" si="29"/>
        <v>270</v>
      </c>
      <c r="AU70" s="102">
        <f t="shared" si="29"/>
        <v>0</v>
      </c>
      <c r="AV70" s="102">
        <f t="shared" si="29"/>
        <v>0</v>
      </c>
      <c r="AW70" s="102">
        <f t="shared" si="29"/>
        <v>270</v>
      </c>
      <c r="AX70" s="102">
        <f t="shared" si="29"/>
        <v>270</v>
      </c>
      <c r="AY70" s="102">
        <f t="shared" si="29"/>
        <v>0</v>
      </c>
      <c r="AZ70" s="102">
        <f t="shared" si="29"/>
        <v>0</v>
      </c>
      <c r="BA70" s="102">
        <f t="shared" si="29"/>
        <v>256.37</v>
      </c>
      <c r="BB70" s="102">
        <f t="shared" si="29"/>
        <v>0</v>
      </c>
      <c r="BC70" s="102">
        <f t="shared" si="29"/>
        <v>0</v>
      </c>
      <c r="BD70" s="102">
        <f t="shared" si="29"/>
        <v>256.37</v>
      </c>
      <c r="BE70" s="102">
        <f t="shared" si="29"/>
        <v>256.37</v>
      </c>
      <c r="BF70" s="102">
        <f t="shared" si="29"/>
        <v>0</v>
      </c>
      <c r="BG70" s="102">
        <f t="shared" si="29"/>
        <v>0</v>
      </c>
      <c r="BH70" s="102">
        <f t="shared" si="29"/>
        <v>0</v>
      </c>
      <c r="BI70" s="102">
        <f t="shared" si="29"/>
        <v>0</v>
      </c>
      <c r="BJ70" s="102">
        <f t="shared" si="29"/>
        <v>0</v>
      </c>
      <c r="BK70" s="102">
        <f t="shared" si="29"/>
        <v>0</v>
      </c>
      <c r="BL70" s="102">
        <f t="shared" si="29"/>
        <v>0</v>
      </c>
      <c r="BM70" s="102">
        <f t="shared" si="29"/>
        <v>0</v>
      </c>
      <c r="BN70" s="102">
        <f t="shared" si="29"/>
        <v>0</v>
      </c>
      <c r="BO70" s="102">
        <f t="shared" si="29"/>
        <v>0</v>
      </c>
      <c r="BP70" s="102">
        <f t="shared" si="29"/>
        <v>0</v>
      </c>
      <c r="BQ70" s="102">
        <f t="shared" si="29"/>
        <v>0</v>
      </c>
      <c r="BR70" s="102">
        <f t="shared" si="29"/>
        <v>0</v>
      </c>
      <c r="BS70" s="102">
        <f t="shared" si="29"/>
        <v>0</v>
      </c>
      <c r="BT70" s="102">
        <f t="shared" si="29"/>
        <v>0</v>
      </c>
      <c r="BU70" s="533"/>
      <c r="BV70" s="533"/>
      <c r="BW70" s="533"/>
      <c r="BX70" s="101">
        <f t="shared" si="2"/>
        <v>0</v>
      </c>
      <c r="BY70" s="102">
        <f t="shared" ref="BY70" si="30">SUM(BY71:BY73)</f>
        <v>4953.5020000000004</v>
      </c>
      <c r="BZ70" s="12"/>
      <c r="CA70" s="578"/>
      <c r="CB70" s="579"/>
      <c r="CC70" s="579"/>
    </row>
    <row r="71" spans="1:81" ht="68.25" customHeight="1" outlineLevel="1">
      <c r="A71" s="535">
        <v>1</v>
      </c>
      <c r="B71" s="580" t="s">
        <v>228</v>
      </c>
      <c r="C71" s="534" t="s">
        <v>99</v>
      </c>
      <c r="D71" s="70" t="s">
        <v>227</v>
      </c>
      <c r="E71" s="535" t="s">
        <v>49</v>
      </c>
      <c r="F71" s="535" t="s">
        <v>105</v>
      </c>
      <c r="G71" s="70" t="s">
        <v>229</v>
      </c>
      <c r="H71" s="584">
        <v>8066809</v>
      </c>
      <c r="I71" s="535" t="s">
        <v>84</v>
      </c>
      <c r="J71" s="535">
        <v>2024</v>
      </c>
      <c r="K71" s="535"/>
      <c r="L71" s="534" t="s">
        <v>230</v>
      </c>
      <c r="M71" s="68">
        <f>N71+O71+P71</f>
        <v>600</v>
      </c>
      <c r="N71" s="71"/>
      <c r="O71" s="70"/>
      <c r="P71" s="68">
        <v>600</v>
      </c>
      <c r="Q71" s="70" t="s">
        <v>231</v>
      </c>
      <c r="R71" s="70" t="s">
        <v>232</v>
      </c>
      <c r="S71" s="71"/>
      <c r="T71" s="70"/>
      <c r="U71" s="70"/>
      <c r="V71" s="71"/>
      <c r="W71" s="70">
        <f t="shared" ref="W71:W73" si="31">SUM(AA71+AB71+AC71)</f>
        <v>579</v>
      </c>
      <c r="X71" s="68"/>
      <c r="Y71" s="71"/>
      <c r="Z71" s="70">
        <f>SUM(AA71:AC71)</f>
        <v>579</v>
      </c>
      <c r="AA71" s="70">
        <v>579</v>
      </c>
      <c r="AB71" s="70"/>
      <c r="AC71" s="70"/>
      <c r="AD71" s="71">
        <f>SUM(AE71:AG71)</f>
        <v>524</v>
      </c>
      <c r="AE71" s="68"/>
      <c r="AF71" s="71"/>
      <c r="AG71" s="68">
        <f>SUM(AH71:AK71)</f>
        <v>524</v>
      </c>
      <c r="AH71" s="71">
        <v>524</v>
      </c>
      <c r="AI71" s="71"/>
      <c r="AJ71" s="70"/>
      <c r="AK71" s="70"/>
      <c r="AL71" s="71">
        <f>SUM(AM71:AO71)</f>
        <v>524</v>
      </c>
      <c r="AM71" s="68"/>
      <c r="AN71" s="70"/>
      <c r="AO71" s="71">
        <f>AP71+AQ71+AR71+AS71</f>
        <v>524</v>
      </c>
      <c r="AP71" s="71">
        <v>524</v>
      </c>
      <c r="AQ71" s="71"/>
      <c r="AR71" s="70"/>
      <c r="AS71" s="70"/>
      <c r="AT71" s="70">
        <f t="shared" ref="AT71:AT73" si="32">SUM(AX71+AY71+AZ71)</f>
        <v>55</v>
      </c>
      <c r="AU71" s="71"/>
      <c r="AV71" s="71"/>
      <c r="AW71" s="70">
        <f>SUM(AX71:AZ71)</f>
        <v>55</v>
      </c>
      <c r="AX71" s="71">
        <v>55</v>
      </c>
      <c r="AY71" s="68"/>
      <c r="AZ71" s="70"/>
      <c r="BA71" s="68">
        <f>SUM(BB71:BD71)</f>
        <v>51.713999999999999</v>
      </c>
      <c r="BB71" s="68"/>
      <c r="BC71" s="71"/>
      <c r="BD71" s="71">
        <f>SUM(BE71:BH71)</f>
        <v>51.713999999999999</v>
      </c>
      <c r="BE71" s="71">
        <v>51.713999999999999</v>
      </c>
      <c r="BF71" s="70"/>
      <c r="BG71" s="70"/>
      <c r="BH71" s="70"/>
      <c r="BI71" s="70"/>
      <c r="BJ71" s="70"/>
      <c r="BK71" s="70"/>
      <c r="BL71" s="70"/>
      <c r="BM71" s="70"/>
      <c r="BN71" s="70"/>
      <c r="BO71" s="70"/>
      <c r="BP71" s="70"/>
      <c r="BQ71" s="70"/>
      <c r="BR71" s="70"/>
      <c r="BS71" s="70"/>
      <c r="BT71" s="70"/>
      <c r="BU71" s="70"/>
      <c r="BV71" s="70"/>
      <c r="BW71" s="541" t="s">
        <v>108</v>
      </c>
      <c r="BX71" s="101">
        <f t="shared" si="2"/>
        <v>0</v>
      </c>
      <c r="BY71" s="6">
        <v>579</v>
      </c>
      <c r="BZ71" s="6"/>
      <c r="CB71" s="10">
        <v>55</v>
      </c>
      <c r="CC71" s="9"/>
    </row>
    <row r="72" spans="1:81" ht="72.75" customHeight="1" outlineLevel="1">
      <c r="A72" s="535">
        <v>2</v>
      </c>
      <c r="B72" s="580" t="s">
        <v>233</v>
      </c>
      <c r="C72" s="534" t="s">
        <v>99</v>
      </c>
      <c r="D72" s="70" t="s">
        <v>227</v>
      </c>
      <c r="E72" s="535" t="s">
        <v>49</v>
      </c>
      <c r="F72" s="535" t="s">
        <v>105</v>
      </c>
      <c r="G72" s="70" t="s">
        <v>234</v>
      </c>
      <c r="H72" s="584">
        <v>8066811</v>
      </c>
      <c r="I72" s="535">
        <v>2024</v>
      </c>
      <c r="J72" s="535">
        <v>2024</v>
      </c>
      <c r="K72" s="535"/>
      <c r="L72" s="534" t="s">
        <v>235</v>
      </c>
      <c r="M72" s="68">
        <f>N72+O72+P72</f>
        <v>1900</v>
      </c>
      <c r="N72" s="71"/>
      <c r="O72" s="70"/>
      <c r="P72" s="68">
        <v>1900</v>
      </c>
      <c r="Q72" s="70" t="s">
        <v>236</v>
      </c>
      <c r="R72" s="70" t="s">
        <v>237</v>
      </c>
      <c r="S72" s="71"/>
      <c r="T72" s="70"/>
      <c r="U72" s="70"/>
      <c r="V72" s="71"/>
      <c r="W72" s="70">
        <f t="shared" si="31"/>
        <v>1875</v>
      </c>
      <c r="X72" s="68"/>
      <c r="Y72" s="71"/>
      <c r="Z72" s="70">
        <f>SUM(AA72:AC72)</f>
        <v>1875</v>
      </c>
      <c r="AA72" s="70">
        <v>1875</v>
      </c>
      <c r="AB72" s="70"/>
      <c r="AC72" s="70"/>
      <c r="AD72" s="71">
        <f>SUM(AE72:AG72)</f>
        <v>1660</v>
      </c>
      <c r="AE72" s="68"/>
      <c r="AF72" s="71"/>
      <c r="AG72" s="68">
        <f>SUM(AH72:AK72)</f>
        <v>1660</v>
      </c>
      <c r="AH72" s="71">
        <v>1660</v>
      </c>
      <c r="AI72" s="71"/>
      <c r="AJ72" s="70"/>
      <c r="AK72" s="70"/>
      <c r="AL72" s="71">
        <f>SUM(AM72:AO72)</f>
        <v>1660</v>
      </c>
      <c r="AM72" s="68"/>
      <c r="AN72" s="70"/>
      <c r="AO72" s="71">
        <f>AP72+AQ72+AR72+AS72</f>
        <v>1660</v>
      </c>
      <c r="AP72" s="71">
        <v>1660</v>
      </c>
      <c r="AQ72" s="71"/>
      <c r="AR72" s="70"/>
      <c r="AS72" s="70"/>
      <c r="AT72" s="70">
        <f t="shared" si="32"/>
        <v>215</v>
      </c>
      <c r="AU72" s="71"/>
      <c r="AV72" s="71"/>
      <c r="AW72" s="70">
        <f>SUM(AX72:AZ72)</f>
        <v>215</v>
      </c>
      <c r="AX72" s="71">
        <v>215</v>
      </c>
      <c r="AY72" s="68"/>
      <c r="AZ72" s="70"/>
      <c r="BA72" s="68">
        <f>SUM(BB72:BD72)</f>
        <v>204.65600000000001</v>
      </c>
      <c r="BB72" s="68"/>
      <c r="BC72" s="71"/>
      <c r="BD72" s="71">
        <f>SUM(BE72:BH72)</f>
        <v>204.65600000000001</v>
      </c>
      <c r="BE72" s="71">
        <v>204.65600000000001</v>
      </c>
      <c r="BF72" s="70"/>
      <c r="BG72" s="70"/>
      <c r="BH72" s="70"/>
      <c r="BI72" s="70"/>
      <c r="BJ72" s="70"/>
      <c r="BK72" s="70"/>
      <c r="BL72" s="70"/>
      <c r="BM72" s="70"/>
      <c r="BN72" s="70"/>
      <c r="BO72" s="70"/>
      <c r="BP72" s="70"/>
      <c r="BQ72" s="70"/>
      <c r="BR72" s="70"/>
      <c r="BS72" s="70"/>
      <c r="BT72" s="70"/>
      <c r="BU72" s="70"/>
      <c r="BV72" s="70"/>
      <c r="BW72" s="541" t="s">
        <v>108</v>
      </c>
      <c r="BX72" s="101">
        <f t="shared" si="2"/>
        <v>0</v>
      </c>
      <c r="BY72" s="6">
        <v>1875</v>
      </c>
      <c r="BZ72" s="6"/>
      <c r="CB72" s="10">
        <v>215</v>
      </c>
      <c r="CC72" s="9"/>
    </row>
    <row r="73" spans="1:81" ht="46.15" outlineLevel="1">
      <c r="A73" s="535">
        <v>3</v>
      </c>
      <c r="B73" s="539" t="s">
        <v>238</v>
      </c>
      <c r="C73" s="534" t="s">
        <v>99</v>
      </c>
      <c r="D73" s="70" t="s">
        <v>227</v>
      </c>
      <c r="E73" s="535" t="s">
        <v>49</v>
      </c>
      <c r="F73" s="535" t="s">
        <v>105</v>
      </c>
      <c r="G73" s="70" t="s">
        <v>239</v>
      </c>
      <c r="H73" s="584">
        <v>7935596</v>
      </c>
      <c r="I73" s="535">
        <v>2022</v>
      </c>
      <c r="J73" s="535">
        <v>2022</v>
      </c>
      <c r="K73" s="532"/>
      <c r="L73" s="534" t="s">
        <v>240</v>
      </c>
      <c r="M73" s="68">
        <f>N73+O73+P73</f>
        <v>2500</v>
      </c>
      <c r="N73" s="69"/>
      <c r="O73" s="67"/>
      <c r="P73" s="68">
        <v>2500</v>
      </c>
      <c r="Q73" s="70" t="s">
        <v>241</v>
      </c>
      <c r="R73" s="70" t="s">
        <v>237</v>
      </c>
      <c r="S73" s="69"/>
      <c r="T73" s="67"/>
      <c r="U73" s="67"/>
      <c r="V73" s="69"/>
      <c r="W73" s="70">
        <f t="shared" si="31"/>
        <v>2499.502</v>
      </c>
      <c r="X73" s="68"/>
      <c r="Y73" s="69"/>
      <c r="Z73" s="70">
        <f>SUM(AA73:AC73)</f>
        <v>2499.502</v>
      </c>
      <c r="AA73" s="70">
        <v>2499.502</v>
      </c>
      <c r="AB73" s="67"/>
      <c r="AC73" s="70"/>
      <c r="AD73" s="71">
        <f>SUM(AE73:AG73)</f>
        <v>2499.502</v>
      </c>
      <c r="AE73" s="68"/>
      <c r="AF73" s="69"/>
      <c r="AG73" s="68">
        <f>SUM(AH73:AK73)</f>
        <v>2499.502</v>
      </c>
      <c r="AH73" s="70">
        <f>650.502+1849</f>
        <v>2499.502</v>
      </c>
      <c r="AI73" s="71"/>
      <c r="AJ73" s="67"/>
      <c r="AK73" s="67"/>
      <c r="AL73" s="71">
        <f>SUM(AM73:AO73)</f>
        <v>2499.502</v>
      </c>
      <c r="AM73" s="68"/>
      <c r="AN73" s="67"/>
      <c r="AO73" s="71">
        <f>AP73+AQ73+AR73+AS73</f>
        <v>2499.502</v>
      </c>
      <c r="AP73" s="71">
        <v>2499.502</v>
      </c>
      <c r="AQ73" s="71"/>
      <c r="AR73" s="67"/>
      <c r="AS73" s="67"/>
      <c r="AT73" s="70">
        <f t="shared" si="32"/>
        <v>0</v>
      </c>
      <c r="AU73" s="69"/>
      <c r="AV73" s="69"/>
      <c r="AW73" s="70">
        <f>SUM(AX73:AZ73)</f>
        <v>0</v>
      </c>
      <c r="AX73" s="69"/>
      <c r="AY73" s="67"/>
      <c r="AZ73" s="67"/>
      <c r="BA73" s="68">
        <f>SUM(BB73:BD73)</f>
        <v>0</v>
      </c>
      <c r="BB73" s="68"/>
      <c r="BC73" s="69"/>
      <c r="BD73" s="71">
        <f>SUM(BE73:BH73)</f>
        <v>0</v>
      </c>
      <c r="BE73" s="69"/>
      <c r="BF73" s="67"/>
      <c r="BG73" s="67"/>
      <c r="BH73" s="67"/>
      <c r="BI73" s="67"/>
      <c r="BJ73" s="67"/>
      <c r="BK73" s="67"/>
      <c r="BL73" s="67"/>
      <c r="BM73" s="67"/>
      <c r="BN73" s="67"/>
      <c r="BO73" s="67"/>
      <c r="BP73" s="67"/>
      <c r="BQ73" s="67"/>
      <c r="BR73" s="67"/>
      <c r="BS73" s="67"/>
      <c r="BT73" s="67"/>
      <c r="BU73" s="67"/>
      <c r="BV73" s="67"/>
      <c r="BW73" s="541" t="s">
        <v>108</v>
      </c>
      <c r="BX73" s="101">
        <f t="shared" si="2"/>
        <v>0</v>
      </c>
      <c r="BY73" s="6">
        <v>2499.502</v>
      </c>
      <c r="BZ73" s="6"/>
      <c r="CA73" s="578"/>
      <c r="CB73" s="8"/>
      <c r="CC73" s="385"/>
    </row>
    <row r="74" spans="1:81" ht="30" customHeight="1">
      <c r="A74" s="536" t="s">
        <v>59</v>
      </c>
      <c r="B74" s="536" t="s">
        <v>242</v>
      </c>
      <c r="C74" s="536"/>
      <c r="D74" s="104"/>
      <c r="E74" s="536"/>
      <c r="F74" s="536"/>
      <c r="G74" s="104"/>
      <c r="H74" s="536"/>
      <c r="I74" s="536"/>
      <c r="J74" s="536"/>
      <c r="K74" s="536"/>
      <c r="L74" s="536"/>
      <c r="M74" s="104">
        <f>M75</f>
        <v>14190</v>
      </c>
      <c r="N74" s="104">
        <f t="shared" ref="N74:BU74" si="33">N75</f>
        <v>0</v>
      </c>
      <c r="O74" s="104">
        <f t="shared" si="33"/>
        <v>0</v>
      </c>
      <c r="P74" s="104">
        <f t="shared" si="33"/>
        <v>14190</v>
      </c>
      <c r="Q74" s="104">
        <f t="shared" si="33"/>
        <v>0</v>
      </c>
      <c r="R74" s="104">
        <f t="shared" si="33"/>
        <v>0</v>
      </c>
      <c r="S74" s="104">
        <f t="shared" si="33"/>
        <v>0</v>
      </c>
      <c r="T74" s="104">
        <f t="shared" si="33"/>
        <v>0</v>
      </c>
      <c r="U74" s="104">
        <f t="shared" si="33"/>
        <v>0</v>
      </c>
      <c r="V74" s="104">
        <f t="shared" si="33"/>
        <v>0</v>
      </c>
      <c r="W74" s="104">
        <f t="shared" si="33"/>
        <v>9382.4580000000005</v>
      </c>
      <c r="X74" s="104">
        <f t="shared" si="33"/>
        <v>0</v>
      </c>
      <c r="Y74" s="104">
        <f t="shared" si="33"/>
        <v>0</v>
      </c>
      <c r="Z74" s="104">
        <f t="shared" si="33"/>
        <v>9382.4580000000005</v>
      </c>
      <c r="AA74" s="104">
        <f t="shared" si="33"/>
        <v>5501</v>
      </c>
      <c r="AB74" s="104">
        <f t="shared" si="33"/>
        <v>500</v>
      </c>
      <c r="AC74" s="104">
        <f t="shared" si="33"/>
        <v>3381.4580000000001</v>
      </c>
      <c r="AD74" s="104">
        <f t="shared" si="33"/>
        <v>7882.4579999999996</v>
      </c>
      <c r="AE74" s="104">
        <f t="shared" si="33"/>
        <v>0</v>
      </c>
      <c r="AF74" s="104">
        <f t="shared" si="33"/>
        <v>0</v>
      </c>
      <c r="AG74" s="104">
        <f t="shared" si="33"/>
        <v>7882.4579999999996</v>
      </c>
      <c r="AH74" s="104">
        <f t="shared" si="33"/>
        <v>3351</v>
      </c>
      <c r="AI74" s="104">
        <f t="shared" si="33"/>
        <v>650</v>
      </c>
      <c r="AJ74" s="104">
        <f t="shared" si="33"/>
        <v>500</v>
      </c>
      <c r="AK74" s="104">
        <f t="shared" si="33"/>
        <v>3381.4580000000001</v>
      </c>
      <c r="AL74" s="104">
        <f t="shared" si="33"/>
        <v>4501</v>
      </c>
      <c r="AM74" s="104">
        <f t="shared" si="33"/>
        <v>0</v>
      </c>
      <c r="AN74" s="104">
        <f t="shared" si="33"/>
        <v>0</v>
      </c>
      <c r="AO74" s="104">
        <f t="shared" si="33"/>
        <v>4501</v>
      </c>
      <c r="AP74" s="104">
        <f t="shared" si="33"/>
        <v>3351</v>
      </c>
      <c r="AQ74" s="104">
        <f t="shared" si="33"/>
        <v>650</v>
      </c>
      <c r="AR74" s="104">
        <f t="shared" si="33"/>
        <v>500</v>
      </c>
      <c r="AS74" s="104">
        <f t="shared" si="33"/>
        <v>0</v>
      </c>
      <c r="AT74" s="104">
        <f t="shared" si="33"/>
        <v>2000</v>
      </c>
      <c r="AU74" s="104">
        <f t="shared" si="33"/>
        <v>0</v>
      </c>
      <c r="AV74" s="104">
        <f t="shared" si="33"/>
        <v>0</v>
      </c>
      <c r="AW74" s="104">
        <f t="shared" si="33"/>
        <v>2000</v>
      </c>
      <c r="AX74" s="104">
        <f t="shared" si="33"/>
        <v>1500</v>
      </c>
      <c r="AY74" s="104">
        <f t="shared" si="33"/>
        <v>500</v>
      </c>
      <c r="AZ74" s="104">
        <f t="shared" si="33"/>
        <v>0</v>
      </c>
      <c r="BA74" s="104">
        <f t="shared" si="33"/>
        <v>1926</v>
      </c>
      <c r="BB74" s="104">
        <f t="shared" si="33"/>
        <v>0</v>
      </c>
      <c r="BC74" s="104">
        <f t="shared" si="33"/>
        <v>0</v>
      </c>
      <c r="BD74" s="104">
        <f t="shared" si="33"/>
        <v>1926</v>
      </c>
      <c r="BE74" s="104">
        <f t="shared" si="33"/>
        <v>1926</v>
      </c>
      <c r="BF74" s="104">
        <f t="shared" si="33"/>
        <v>0</v>
      </c>
      <c r="BG74" s="104">
        <f t="shared" si="33"/>
        <v>0</v>
      </c>
      <c r="BH74" s="104">
        <f t="shared" si="33"/>
        <v>0</v>
      </c>
      <c r="BI74" s="104">
        <f t="shared" si="33"/>
        <v>0</v>
      </c>
      <c r="BJ74" s="104">
        <f t="shared" si="33"/>
        <v>0</v>
      </c>
      <c r="BK74" s="104">
        <f t="shared" si="33"/>
        <v>0</v>
      </c>
      <c r="BL74" s="104">
        <f t="shared" si="33"/>
        <v>0</v>
      </c>
      <c r="BM74" s="104">
        <f t="shared" si="33"/>
        <v>0</v>
      </c>
      <c r="BN74" s="104">
        <f t="shared" si="33"/>
        <v>0</v>
      </c>
      <c r="BO74" s="104">
        <f t="shared" si="33"/>
        <v>0</v>
      </c>
      <c r="BP74" s="104">
        <f t="shared" si="33"/>
        <v>0</v>
      </c>
      <c r="BQ74" s="104">
        <f t="shared" si="33"/>
        <v>0</v>
      </c>
      <c r="BR74" s="104">
        <f t="shared" si="33"/>
        <v>0</v>
      </c>
      <c r="BS74" s="104">
        <f t="shared" si="33"/>
        <v>0</v>
      </c>
      <c r="BT74" s="104">
        <f t="shared" si="33"/>
        <v>0</v>
      </c>
      <c r="BU74" s="536">
        <f t="shared" si="33"/>
        <v>0</v>
      </c>
      <c r="BV74" s="536"/>
      <c r="BW74" s="536"/>
      <c r="BX74" s="101">
        <f t="shared" si="2"/>
        <v>0</v>
      </c>
      <c r="BY74" s="104">
        <f t="shared" ref="BY74:BZ74" si="34">BY75</f>
        <v>4851</v>
      </c>
      <c r="BZ74" s="104">
        <f t="shared" si="34"/>
        <v>650</v>
      </c>
      <c r="CA74" s="578"/>
      <c r="CB74" s="579"/>
      <c r="CC74" s="579"/>
    </row>
    <row r="75" spans="1:81" ht="39" customHeight="1">
      <c r="A75" s="553" t="s">
        <v>45</v>
      </c>
      <c r="B75" s="533" t="s">
        <v>51</v>
      </c>
      <c r="C75" s="533"/>
      <c r="D75" s="102"/>
      <c r="E75" s="533"/>
      <c r="F75" s="533"/>
      <c r="G75" s="102"/>
      <c r="H75" s="533"/>
      <c r="I75" s="533"/>
      <c r="J75" s="533"/>
      <c r="K75" s="533"/>
      <c r="L75" s="533"/>
      <c r="M75" s="102">
        <f>SUM(M76:M86)</f>
        <v>14190</v>
      </c>
      <c r="N75" s="102">
        <f t="shared" ref="N75:BU75" si="35">SUM(N76:N86)</f>
        <v>0</v>
      </c>
      <c r="O75" s="102">
        <f t="shared" si="35"/>
        <v>0</v>
      </c>
      <c r="P75" s="102">
        <f t="shared" si="35"/>
        <v>14190</v>
      </c>
      <c r="Q75" s="102">
        <f t="shared" si="35"/>
        <v>0</v>
      </c>
      <c r="R75" s="102">
        <f t="shared" si="35"/>
        <v>0</v>
      </c>
      <c r="S75" s="102">
        <f t="shared" si="35"/>
        <v>0</v>
      </c>
      <c r="T75" s="102">
        <f t="shared" si="35"/>
        <v>0</v>
      </c>
      <c r="U75" s="102">
        <f t="shared" si="35"/>
        <v>0</v>
      </c>
      <c r="V75" s="102">
        <f t="shared" si="35"/>
        <v>0</v>
      </c>
      <c r="W75" s="102">
        <f t="shared" si="35"/>
        <v>9382.4580000000005</v>
      </c>
      <c r="X75" s="102">
        <f t="shared" si="35"/>
        <v>0</v>
      </c>
      <c r="Y75" s="102">
        <f t="shared" si="35"/>
        <v>0</v>
      </c>
      <c r="Z75" s="102">
        <f t="shared" si="35"/>
        <v>9382.4580000000005</v>
      </c>
      <c r="AA75" s="102">
        <f t="shared" si="35"/>
        <v>5501</v>
      </c>
      <c r="AB75" s="102">
        <f t="shared" si="35"/>
        <v>500</v>
      </c>
      <c r="AC75" s="102">
        <f t="shared" si="35"/>
        <v>3381.4580000000001</v>
      </c>
      <c r="AD75" s="102">
        <f t="shared" si="35"/>
        <v>7882.4579999999996</v>
      </c>
      <c r="AE75" s="102">
        <f t="shared" si="35"/>
        <v>0</v>
      </c>
      <c r="AF75" s="102">
        <f t="shared" si="35"/>
        <v>0</v>
      </c>
      <c r="AG75" s="102">
        <f t="shared" si="35"/>
        <v>7882.4579999999996</v>
      </c>
      <c r="AH75" s="102">
        <f t="shared" si="35"/>
        <v>3351</v>
      </c>
      <c r="AI75" s="102">
        <f t="shared" si="35"/>
        <v>650</v>
      </c>
      <c r="AJ75" s="102">
        <f t="shared" si="35"/>
        <v>500</v>
      </c>
      <c r="AK75" s="102">
        <f t="shared" si="35"/>
        <v>3381.4580000000001</v>
      </c>
      <c r="AL75" s="102">
        <f t="shared" si="35"/>
        <v>4501</v>
      </c>
      <c r="AM75" s="102">
        <f t="shared" si="35"/>
        <v>0</v>
      </c>
      <c r="AN75" s="102">
        <f t="shared" si="35"/>
        <v>0</v>
      </c>
      <c r="AO75" s="102">
        <f t="shared" si="35"/>
        <v>4501</v>
      </c>
      <c r="AP75" s="102">
        <f t="shared" si="35"/>
        <v>3351</v>
      </c>
      <c r="AQ75" s="102">
        <f t="shared" si="35"/>
        <v>650</v>
      </c>
      <c r="AR75" s="102">
        <f t="shared" si="35"/>
        <v>500</v>
      </c>
      <c r="AS75" s="102">
        <f t="shared" si="35"/>
        <v>0</v>
      </c>
      <c r="AT75" s="102">
        <f t="shared" si="35"/>
        <v>2000</v>
      </c>
      <c r="AU75" s="102">
        <f t="shared" si="35"/>
        <v>0</v>
      </c>
      <c r="AV75" s="102">
        <f t="shared" si="35"/>
        <v>0</v>
      </c>
      <c r="AW75" s="102">
        <f t="shared" si="35"/>
        <v>2000</v>
      </c>
      <c r="AX75" s="102">
        <f t="shared" si="35"/>
        <v>1500</v>
      </c>
      <c r="AY75" s="102">
        <f t="shared" si="35"/>
        <v>500</v>
      </c>
      <c r="AZ75" s="102">
        <f t="shared" si="35"/>
        <v>0</v>
      </c>
      <c r="BA75" s="102">
        <f t="shared" si="35"/>
        <v>1926</v>
      </c>
      <c r="BB75" s="102">
        <f t="shared" si="35"/>
        <v>0</v>
      </c>
      <c r="BC75" s="102">
        <f t="shared" si="35"/>
        <v>0</v>
      </c>
      <c r="BD75" s="102">
        <f t="shared" si="35"/>
        <v>1926</v>
      </c>
      <c r="BE75" s="102">
        <f t="shared" si="35"/>
        <v>1926</v>
      </c>
      <c r="BF75" s="102">
        <f t="shared" si="35"/>
        <v>0</v>
      </c>
      <c r="BG75" s="102">
        <f t="shared" si="35"/>
        <v>0</v>
      </c>
      <c r="BH75" s="102">
        <f t="shared" si="35"/>
        <v>0</v>
      </c>
      <c r="BI75" s="102">
        <f t="shared" si="35"/>
        <v>0</v>
      </c>
      <c r="BJ75" s="102">
        <f t="shared" si="35"/>
        <v>0</v>
      </c>
      <c r="BK75" s="102">
        <f t="shared" si="35"/>
        <v>0</v>
      </c>
      <c r="BL75" s="102">
        <f t="shared" si="35"/>
        <v>0</v>
      </c>
      <c r="BM75" s="102">
        <f t="shared" si="35"/>
        <v>0</v>
      </c>
      <c r="BN75" s="102">
        <f t="shared" si="35"/>
        <v>0</v>
      </c>
      <c r="BO75" s="102">
        <f t="shared" si="35"/>
        <v>0</v>
      </c>
      <c r="BP75" s="102">
        <f t="shared" si="35"/>
        <v>0</v>
      </c>
      <c r="BQ75" s="102">
        <f t="shared" si="35"/>
        <v>0</v>
      </c>
      <c r="BR75" s="102">
        <f t="shared" si="35"/>
        <v>0</v>
      </c>
      <c r="BS75" s="102">
        <f t="shared" si="35"/>
        <v>0</v>
      </c>
      <c r="BT75" s="102">
        <f t="shared" si="35"/>
        <v>0</v>
      </c>
      <c r="BU75" s="533">
        <f t="shared" si="35"/>
        <v>0</v>
      </c>
      <c r="BV75" s="533"/>
      <c r="BW75" s="533"/>
      <c r="BX75" s="101">
        <f t="shared" ref="BX75:BX102" si="36">AA75-BY75-BZ75</f>
        <v>0</v>
      </c>
      <c r="BY75" s="102">
        <f t="shared" ref="BY75:BZ75" si="37">SUM(BY76:BY86)</f>
        <v>4851</v>
      </c>
      <c r="BZ75" s="102">
        <f t="shared" si="37"/>
        <v>650</v>
      </c>
      <c r="CA75" s="578"/>
      <c r="CB75" s="579"/>
      <c r="CC75" s="579"/>
    </row>
    <row r="76" spans="1:81" ht="46.15" outlineLevel="1">
      <c r="A76" s="535">
        <v>1</v>
      </c>
      <c r="B76" s="539" t="s">
        <v>243</v>
      </c>
      <c r="C76" s="534" t="s">
        <v>99</v>
      </c>
      <c r="D76" s="70" t="s">
        <v>242</v>
      </c>
      <c r="E76" s="535" t="s">
        <v>49</v>
      </c>
      <c r="F76" s="535" t="s">
        <v>105</v>
      </c>
      <c r="G76" s="70" t="s">
        <v>244</v>
      </c>
      <c r="H76" s="584">
        <v>8093546</v>
      </c>
      <c r="I76" s="535">
        <v>2021</v>
      </c>
      <c r="J76" s="535">
        <v>2021</v>
      </c>
      <c r="K76" s="532"/>
      <c r="L76" s="534" t="s">
        <v>245</v>
      </c>
      <c r="M76" s="68">
        <f>N76+O76+P76</f>
        <v>1500</v>
      </c>
      <c r="N76" s="69"/>
      <c r="O76" s="67"/>
      <c r="P76" s="68">
        <v>1500</v>
      </c>
      <c r="Q76" s="67"/>
      <c r="R76" s="70" t="s">
        <v>246</v>
      </c>
      <c r="S76" s="69"/>
      <c r="T76" s="67"/>
      <c r="U76" s="67"/>
      <c r="V76" s="69"/>
      <c r="W76" s="70">
        <f t="shared" ref="W76:W86" si="38">SUM(AA76+AB76+AC76)</f>
        <v>1500</v>
      </c>
      <c r="X76" s="68"/>
      <c r="Y76" s="69"/>
      <c r="Z76" s="70">
        <f t="shared" ref="Z76:Z86" si="39">SUM(AA76:AC76)</f>
        <v>1500</v>
      </c>
      <c r="AA76" s="70">
        <v>1500</v>
      </c>
      <c r="AB76" s="67"/>
      <c r="AC76" s="70"/>
      <c r="AD76" s="71">
        <f t="shared" ref="AD76:AD85" si="40">SUM(AE76:AG76)</f>
        <v>0</v>
      </c>
      <c r="AE76" s="68"/>
      <c r="AF76" s="69"/>
      <c r="AG76" s="68">
        <f t="shared" ref="AG76:AG85" si="41">SUM(AH76:AK76)</f>
        <v>0</v>
      </c>
      <c r="AH76" s="72"/>
      <c r="AI76" s="71"/>
      <c r="AJ76" s="67"/>
      <c r="AK76" s="67"/>
      <c r="AL76" s="71">
        <f>SUM(AM76:AO76)</f>
        <v>0</v>
      </c>
      <c r="AM76" s="68"/>
      <c r="AN76" s="67"/>
      <c r="AO76" s="72"/>
      <c r="AP76" s="72"/>
      <c r="AQ76" s="71"/>
      <c r="AR76" s="67"/>
      <c r="AS76" s="67"/>
      <c r="AT76" s="70">
        <f t="shared" ref="AT76:AT86" si="42">SUM(AX76+AY76+AZ76)</f>
        <v>1500</v>
      </c>
      <c r="AU76" s="69"/>
      <c r="AV76" s="69"/>
      <c r="AW76" s="70">
        <f t="shared" ref="AW76:AW86" si="43">SUM(AX76:AZ76)</f>
        <v>1500</v>
      </c>
      <c r="AX76" s="70">
        <v>1500</v>
      </c>
      <c r="AY76" s="72"/>
      <c r="AZ76" s="67"/>
      <c r="BA76" s="68">
        <f>SUM(BB76:BD76)</f>
        <v>1490</v>
      </c>
      <c r="BB76" s="68"/>
      <c r="BC76" s="69"/>
      <c r="BD76" s="71">
        <f>SUM(BE76:BH76)</f>
        <v>1490</v>
      </c>
      <c r="BE76" s="71">
        <v>1490</v>
      </c>
      <c r="BF76" s="67"/>
      <c r="BG76" s="67"/>
      <c r="BH76" s="67"/>
      <c r="BI76" s="67"/>
      <c r="BJ76" s="67"/>
      <c r="BK76" s="67"/>
      <c r="BL76" s="67"/>
      <c r="BM76" s="67"/>
      <c r="BN76" s="67"/>
      <c r="BO76" s="67"/>
      <c r="BP76" s="67"/>
      <c r="BQ76" s="67"/>
      <c r="BR76" s="67"/>
      <c r="BS76" s="67"/>
      <c r="BT76" s="67"/>
      <c r="BU76" s="67"/>
      <c r="BV76" s="67"/>
      <c r="BW76" s="541" t="s">
        <v>108</v>
      </c>
      <c r="BX76" s="101">
        <f t="shared" si="36"/>
        <v>0</v>
      </c>
      <c r="BY76" s="6">
        <v>1500</v>
      </c>
      <c r="BZ76" s="6"/>
      <c r="CA76" s="578"/>
      <c r="CB76" s="9">
        <v>1500</v>
      </c>
      <c r="CC76" s="385"/>
    </row>
    <row r="77" spans="1:81" ht="46.15" outlineLevel="1">
      <c r="A77" s="535">
        <v>2</v>
      </c>
      <c r="B77" s="539" t="s">
        <v>247</v>
      </c>
      <c r="C77" s="534" t="s">
        <v>99</v>
      </c>
      <c r="D77" s="70" t="s">
        <v>242</v>
      </c>
      <c r="E77" s="535" t="s">
        <v>49</v>
      </c>
      <c r="F77" s="535" t="s">
        <v>105</v>
      </c>
      <c r="G77" s="70" t="s">
        <v>248</v>
      </c>
      <c r="H77" s="532"/>
      <c r="I77" s="535">
        <v>2022</v>
      </c>
      <c r="J77" s="535">
        <v>2022</v>
      </c>
      <c r="K77" s="532"/>
      <c r="L77" s="534" t="s">
        <v>249</v>
      </c>
      <c r="M77" s="68">
        <f>N77+O77+P77</f>
        <v>910</v>
      </c>
      <c r="N77" s="69"/>
      <c r="O77" s="67"/>
      <c r="P77" s="68">
        <v>910</v>
      </c>
      <c r="Q77" s="70" t="s">
        <v>250</v>
      </c>
      <c r="R77" s="70" t="s">
        <v>248</v>
      </c>
      <c r="S77" s="69"/>
      <c r="T77" s="67"/>
      <c r="U77" s="67"/>
      <c r="V77" s="69"/>
      <c r="W77" s="70">
        <f t="shared" si="38"/>
        <v>907</v>
      </c>
      <c r="X77" s="68"/>
      <c r="Y77" s="69"/>
      <c r="Z77" s="70">
        <f t="shared" si="39"/>
        <v>907</v>
      </c>
      <c r="AA77" s="70">
        <v>907</v>
      </c>
      <c r="AB77" s="67"/>
      <c r="AC77" s="70"/>
      <c r="AD77" s="71">
        <f t="shared" si="40"/>
        <v>907</v>
      </c>
      <c r="AE77" s="68"/>
      <c r="AF77" s="69"/>
      <c r="AG77" s="68">
        <f t="shared" si="41"/>
        <v>907</v>
      </c>
      <c r="AH77" s="70">
        <f>391+516</f>
        <v>907</v>
      </c>
      <c r="AI77" s="71"/>
      <c r="AJ77" s="67"/>
      <c r="AK77" s="67"/>
      <c r="AL77" s="71">
        <f>SUM(AM77:AO77)</f>
        <v>907</v>
      </c>
      <c r="AM77" s="68"/>
      <c r="AN77" s="67"/>
      <c r="AO77" s="71">
        <f>AP77+AQ77+AR77+AS77</f>
        <v>907</v>
      </c>
      <c r="AP77" s="71">
        <v>907</v>
      </c>
      <c r="AQ77" s="71"/>
      <c r="AR77" s="67"/>
      <c r="AS77" s="67"/>
      <c r="AT77" s="70">
        <f t="shared" si="42"/>
        <v>0</v>
      </c>
      <c r="AU77" s="69"/>
      <c r="AV77" s="69"/>
      <c r="AW77" s="70">
        <f t="shared" si="43"/>
        <v>0</v>
      </c>
      <c r="AX77" s="69"/>
      <c r="AY77" s="67"/>
      <c r="AZ77" s="67"/>
      <c r="BA77" s="68">
        <f>SUM(BB77:BD77)</f>
        <v>0</v>
      </c>
      <c r="BB77" s="68"/>
      <c r="BC77" s="69"/>
      <c r="BD77" s="71">
        <f>SUM(BE77:BH77)</f>
        <v>0</v>
      </c>
      <c r="BE77" s="69"/>
      <c r="BF77" s="67"/>
      <c r="BG77" s="67"/>
      <c r="BH77" s="67"/>
      <c r="BI77" s="67"/>
      <c r="BJ77" s="67"/>
      <c r="BK77" s="67"/>
      <c r="BL77" s="67"/>
      <c r="BM77" s="67"/>
      <c r="BN77" s="67"/>
      <c r="BO77" s="67"/>
      <c r="BP77" s="67"/>
      <c r="BQ77" s="67"/>
      <c r="BR77" s="67"/>
      <c r="BS77" s="67"/>
      <c r="BT77" s="67"/>
      <c r="BU77" s="67"/>
      <c r="BV77" s="67"/>
      <c r="BW77" s="541" t="s">
        <v>108</v>
      </c>
      <c r="BX77" s="101">
        <f t="shared" si="36"/>
        <v>0</v>
      </c>
      <c r="BY77" s="6">
        <v>907</v>
      </c>
      <c r="BZ77" s="6"/>
      <c r="CA77" s="578"/>
      <c r="CB77" s="8"/>
      <c r="CC77" s="385"/>
    </row>
    <row r="78" spans="1:81" ht="46.15" outlineLevel="1">
      <c r="A78" s="535">
        <v>3</v>
      </c>
      <c r="B78" s="539" t="s">
        <v>251</v>
      </c>
      <c r="C78" s="534" t="s">
        <v>99</v>
      </c>
      <c r="D78" s="70" t="s">
        <v>242</v>
      </c>
      <c r="E78" s="535" t="s">
        <v>49</v>
      </c>
      <c r="F78" s="535" t="s">
        <v>105</v>
      </c>
      <c r="G78" s="70" t="s">
        <v>252</v>
      </c>
      <c r="H78" s="584">
        <v>7935595</v>
      </c>
      <c r="I78" s="535">
        <v>2022</v>
      </c>
      <c r="J78" s="535">
        <v>2022</v>
      </c>
      <c r="K78" s="532"/>
      <c r="L78" s="534" t="s">
        <v>253</v>
      </c>
      <c r="M78" s="68">
        <f>N78+O78+P78</f>
        <v>1500</v>
      </c>
      <c r="N78" s="69"/>
      <c r="O78" s="67"/>
      <c r="P78" s="68">
        <v>1500</v>
      </c>
      <c r="Q78" s="70" t="s">
        <v>254</v>
      </c>
      <c r="R78" s="70" t="s">
        <v>255</v>
      </c>
      <c r="S78" s="69"/>
      <c r="T78" s="67"/>
      <c r="U78" s="67"/>
      <c r="V78" s="69"/>
      <c r="W78" s="70">
        <f t="shared" si="38"/>
        <v>1500</v>
      </c>
      <c r="X78" s="68"/>
      <c r="Y78" s="69"/>
      <c r="Z78" s="70">
        <f t="shared" si="39"/>
        <v>1500</v>
      </c>
      <c r="AA78" s="70">
        <v>1500</v>
      </c>
      <c r="AB78" s="67"/>
      <c r="AC78" s="70"/>
      <c r="AD78" s="71">
        <f t="shared" si="40"/>
        <v>1500</v>
      </c>
      <c r="AE78" s="68"/>
      <c r="AF78" s="69"/>
      <c r="AG78" s="68">
        <f t="shared" si="41"/>
        <v>1500</v>
      </c>
      <c r="AH78" s="70">
        <f>960+540</f>
        <v>1500</v>
      </c>
      <c r="AI78" s="71"/>
      <c r="AJ78" s="67"/>
      <c r="AK78" s="67"/>
      <c r="AL78" s="71">
        <f>SUM(AM78:AO78)</f>
        <v>1500</v>
      </c>
      <c r="AM78" s="68"/>
      <c r="AN78" s="67"/>
      <c r="AO78" s="71">
        <f t="shared" ref="AO78" si="44">AP78+AQ78+AR78+AS78</f>
        <v>1500</v>
      </c>
      <c r="AP78" s="71">
        <v>1500</v>
      </c>
      <c r="AQ78" s="71"/>
      <c r="AR78" s="67"/>
      <c r="AS78" s="67"/>
      <c r="AT78" s="70">
        <f t="shared" si="42"/>
        <v>0</v>
      </c>
      <c r="AU78" s="69"/>
      <c r="AV78" s="69"/>
      <c r="AW78" s="70">
        <f t="shared" si="43"/>
        <v>0</v>
      </c>
      <c r="AX78" s="69"/>
      <c r="AY78" s="67"/>
      <c r="AZ78" s="67"/>
      <c r="BA78" s="68">
        <f>SUM(BB78:BD78)</f>
        <v>0</v>
      </c>
      <c r="BB78" s="68"/>
      <c r="BC78" s="69"/>
      <c r="BD78" s="71">
        <f>SUM(BE78:BH78)</f>
        <v>0</v>
      </c>
      <c r="BE78" s="69"/>
      <c r="BF78" s="67"/>
      <c r="BG78" s="67"/>
      <c r="BH78" s="67"/>
      <c r="BI78" s="67"/>
      <c r="BJ78" s="67"/>
      <c r="BK78" s="67"/>
      <c r="BL78" s="67"/>
      <c r="BM78" s="67"/>
      <c r="BN78" s="67"/>
      <c r="BO78" s="67"/>
      <c r="BP78" s="67"/>
      <c r="BQ78" s="67"/>
      <c r="BR78" s="67"/>
      <c r="BS78" s="67"/>
      <c r="BT78" s="67"/>
      <c r="BU78" s="67"/>
      <c r="BV78" s="67"/>
      <c r="BW78" s="541" t="s">
        <v>108</v>
      </c>
      <c r="BX78" s="101">
        <f t="shared" si="36"/>
        <v>0</v>
      </c>
      <c r="BY78" s="6">
        <v>1500</v>
      </c>
      <c r="BZ78" s="6"/>
      <c r="CA78" s="578"/>
      <c r="CB78" s="8"/>
      <c r="CC78" s="385"/>
    </row>
    <row r="79" spans="1:81" ht="46.15" outlineLevel="1">
      <c r="A79" s="535">
        <v>4</v>
      </c>
      <c r="B79" s="580" t="s">
        <v>256</v>
      </c>
      <c r="C79" s="534" t="s">
        <v>99</v>
      </c>
      <c r="D79" s="70" t="s">
        <v>242</v>
      </c>
      <c r="E79" s="535" t="s">
        <v>49</v>
      </c>
      <c r="F79" s="535" t="s">
        <v>48</v>
      </c>
      <c r="G79" s="70" t="s">
        <v>257</v>
      </c>
      <c r="H79" s="532"/>
      <c r="I79" s="535">
        <v>2024</v>
      </c>
      <c r="J79" s="535"/>
      <c r="K79" s="585"/>
      <c r="L79" s="585" t="s">
        <v>117</v>
      </c>
      <c r="M79" s="68">
        <v>850</v>
      </c>
      <c r="N79" s="69"/>
      <c r="O79" s="67"/>
      <c r="P79" s="68">
        <v>850</v>
      </c>
      <c r="Q79" s="67"/>
      <c r="R79" s="70" t="s">
        <v>257</v>
      </c>
      <c r="S79" s="71">
        <f>T79+U79+V79</f>
        <v>0</v>
      </c>
      <c r="T79" s="67"/>
      <c r="U79" s="67"/>
      <c r="V79" s="69"/>
      <c r="W79" s="70">
        <f t="shared" si="38"/>
        <v>680</v>
      </c>
      <c r="X79" s="68"/>
      <c r="Y79" s="69"/>
      <c r="Z79" s="70">
        <f t="shared" si="39"/>
        <v>680</v>
      </c>
      <c r="AA79" s="70">
        <v>680</v>
      </c>
      <c r="AB79" s="67"/>
      <c r="AC79" s="71"/>
      <c r="AD79" s="68">
        <f t="shared" si="40"/>
        <v>680</v>
      </c>
      <c r="AE79" s="68"/>
      <c r="AF79" s="69"/>
      <c r="AG79" s="71">
        <f t="shared" si="41"/>
        <v>680</v>
      </c>
      <c r="AH79" s="70">
        <v>680</v>
      </c>
      <c r="AI79" s="67"/>
      <c r="AJ79" s="67"/>
      <c r="AK79" s="71"/>
      <c r="AL79" s="68">
        <f>AM79+AN79+AO79</f>
        <v>680</v>
      </c>
      <c r="AM79" s="68"/>
      <c r="AN79" s="67"/>
      <c r="AO79" s="71">
        <f>AP79+AQ79+AR79+AS79</f>
        <v>680</v>
      </c>
      <c r="AP79" s="71">
        <v>680</v>
      </c>
      <c r="AQ79" s="67"/>
      <c r="AR79" s="67"/>
      <c r="AS79" s="67"/>
      <c r="AT79" s="70">
        <f t="shared" si="42"/>
        <v>0</v>
      </c>
      <c r="AU79" s="71"/>
      <c r="AV79" s="71"/>
      <c r="AW79" s="70">
        <f t="shared" si="43"/>
        <v>0</v>
      </c>
      <c r="AX79" s="71"/>
      <c r="AY79" s="67"/>
      <c r="AZ79" s="67"/>
      <c r="BA79" s="68"/>
      <c r="BB79" s="68"/>
      <c r="BC79" s="69"/>
      <c r="BD79" s="69"/>
      <c r="BE79" s="69"/>
      <c r="BF79" s="67"/>
      <c r="BG79" s="67"/>
      <c r="BH79" s="67"/>
      <c r="BI79" s="67"/>
      <c r="BJ79" s="67"/>
      <c r="BK79" s="67"/>
      <c r="BL79" s="67"/>
      <c r="BM79" s="67"/>
      <c r="BN79" s="67"/>
      <c r="BO79" s="67"/>
      <c r="BP79" s="67"/>
      <c r="BQ79" s="67"/>
      <c r="BR79" s="67"/>
      <c r="BS79" s="67"/>
      <c r="BT79" s="67"/>
      <c r="BU79" s="67"/>
      <c r="BV79" s="67"/>
      <c r="BW79" s="541" t="s">
        <v>108</v>
      </c>
      <c r="BX79" s="101">
        <f t="shared" si="36"/>
        <v>0</v>
      </c>
      <c r="BY79" s="11">
        <v>680</v>
      </c>
      <c r="BZ79" s="12"/>
      <c r="CA79" s="578"/>
      <c r="CB79" s="10"/>
      <c r="CC79" s="385"/>
    </row>
    <row r="80" spans="1:81" ht="64.5" customHeight="1" outlineLevel="1">
      <c r="A80" s="535">
        <v>5</v>
      </c>
      <c r="B80" s="580" t="s">
        <v>258</v>
      </c>
      <c r="C80" s="534" t="s">
        <v>99</v>
      </c>
      <c r="D80" s="70" t="s">
        <v>242</v>
      </c>
      <c r="E80" s="535" t="s">
        <v>49</v>
      </c>
      <c r="F80" s="535" t="s">
        <v>48</v>
      </c>
      <c r="G80" s="70" t="s">
        <v>244</v>
      </c>
      <c r="H80" s="584">
        <v>8071726</v>
      </c>
      <c r="I80" s="535">
        <v>2023</v>
      </c>
      <c r="J80" s="535">
        <v>2023</v>
      </c>
      <c r="K80" s="585"/>
      <c r="L80" s="585" t="s">
        <v>117</v>
      </c>
      <c r="M80" s="68">
        <f>N80+O80+P80</f>
        <v>330</v>
      </c>
      <c r="N80" s="69"/>
      <c r="O80" s="67"/>
      <c r="P80" s="68">
        <v>330</v>
      </c>
      <c r="Q80" s="67"/>
      <c r="R80" s="70" t="s">
        <v>246</v>
      </c>
      <c r="S80" s="71">
        <f>T80+U80+V80</f>
        <v>0</v>
      </c>
      <c r="T80" s="67"/>
      <c r="U80" s="67"/>
      <c r="V80" s="69"/>
      <c r="W80" s="70">
        <f t="shared" si="38"/>
        <v>264</v>
      </c>
      <c r="X80" s="68"/>
      <c r="Y80" s="69"/>
      <c r="Z80" s="70">
        <f t="shared" si="39"/>
        <v>264</v>
      </c>
      <c r="AA80" s="70">
        <v>264</v>
      </c>
      <c r="AB80" s="67"/>
      <c r="AC80" s="71"/>
      <c r="AD80" s="68">
        <f t="shared" si="40"/>
        <v>264</v>
      </c>
      <c r="AE80" s="68"/>
      <c r="AF80" s="69"/>
      <c r="AG80" s="71">
        <f t="shared" si="41"/>
        <v>264</v>
      </c>
      <c r="AH80" s="70">
        <v>264</v>
      </c>
      <c r="AI80" s="67"/>
      <c r="AJ80" s="67"/>
      <c r="AK80" s="71"/>
      <c r="AL80" s="68">
        <f>AM80+AN80+AO80</f>
        <v>264</v>
      </c>
      <c r="AM80" s="68"/>
      <c r="AN80" s="67"/>
      <c r="AO80" s="71">
        <f>AP80+AQ80+AR80+AS80</f>
        <v>264</v>
      </c>
      <c r="AP80" s="71">
        <v>264</v>
      </c>
      <c r="AQ80" s="67"/>
      <c r="AR80" s="67"/>
      <c r="AS80" s="67"/>
      <c r="AT80" s="70">
        <f t="shared" si="42"/>
        <v>0</v>
      </c>
      <c r="AU80" s="71"/>
      <c r="AV80" s="71"/>
      <c r="AW80" s="70">
        <f t="shared" si="43"/>
        <v>0</v>
      </c>
      <c r="AX80" s="71"/>
      <c r="AY80" s="67"/>
      <c r="AZ80" s="67"/>
      <c r="BA80" s="68"/>
      <c r="BB80" s="68"/>
      <c r="BC80" s="69"/>
      <c r="BD80" s="69"/>
      <c r="BE80" s="69"/>
      <c r="BF80" s="67"/>
      <c r="BG80" s="67"/>
      <c r="BH80" s="67"/>
      <c r="BI80" s="67"/>
      <c r="BJ80" s="67"/>
      <c r="BK80" s="67"/>
      <c r="BL80" s="67"/>
      <c r="BM80" s="67"/>
      <c r="BN80" s="67"/>
      <c r="BO80" s="67"/>
      <c r="BP80" s="67"/>
      <c r="BQ80" s="67"/>
      <c r="BR80" s="67"/>
      <c r="BS80" s="67"/>
      <c r="BT80" s="67"/>
      <c r="BU80" s="67"/>
      <c r="BV80" s="67"/>
      <c r="BW80" s="541" t="s">
        <v>108</v>
      </c>
      <c r="BX80" s="101">
        <f t="shared" si="36"/>
        <v>0</v>
      </c>
      <c r="BY80" s="11">
        <v>264</v>
      </c>
      <c r="BZ80" s="12"/>
      <c r="CA80" s="578"/>
      <c r="CB80" s="10"/>
      <c r="CC80" s="385"/>
    </row>
    <row r="81" spans="1:81" ht="46.15" outlineLevel="1">
      <c r="A81" s="535">
        <v>6</v>
      </c>
      <c r="B81" s="539" t="s">
        <v>259</v>
      </c>
      <c r="C81" s="594" t="str">
        <f>C35</f>
        <v>Ban QLDA - ĐTXD huyện Đăk Glei</v>
      </c>
      <c r="D81" s="70" t="s">
        <v>242</v>
      </c>
      <c r="E81" s="535" t="s">
        <v>49</v>
      </c>
      <c r="F81" s="535" t="s">
        <v>105</v>
      </c>
      <c r="G81" s="70" t="s">
        <v>248</v>
      </c>
      <c r="H81" s="584">
        <v>8066810</v>
      </c>
      <c r="I81" s="535" t="s">
        <v>76</v>
      </c>
      <c r="J81" s="535">
        <v>2022</v>
      </c>
      <c r="K81" s="585"/>
      <c r="L81" s="585" t="s">
        <v>260</v>
      </c>
      <c r="M81" s="68">
        <f>N81+O81+P81</f>
        <v>0</v>
      </c>
      <c r="N81" s="69"/>
      <c r="O81" s="67"/>
      <c r="P81" s="68">
        <f>SUM(Q81:S81)</f>
        <v>0</v>
      </c>
      <c r="Q81" s="70" t="s">
        <v>261</v>
      </c>
      <c r="R81" s="70" t="s">
        <v>248</v>
      </c>
      <c r="S81" s="71">
        <f>T81+U81+V81</f>
        <v>0</v>
      </c>
      <c r="T81" s="67"/>
      <c r="U81" s="67"/>
      <c r="V81" s="71"/>
      <c r="W81" s="70">
        <f t="shared" si="38"/>
        <v>650</v>
      </c>
      <c r="X81" s="68"/>
      <c r="Y81" s="69"/>
      <c r="Z81" s="70">
        <f t="shared" si="39"/>
        <v>650</v>
      </c>
      <c r="AA81" s="70">
        <v>650</v>
      </c>
      <c r="AB81" s="67"/>
      <c r="AC81" s="71"/>
      <c r="AD81" s="68">
        <f t="shared" si="40"/>
        <v>650</v>
      </c>
      <c r="AE81" s="71"/>
      <c r="AF81" s="69"/>
      <c r="AG81" s="71">
        <f t="shared" si="41"/>
        <v>650</v>
      </c>
      <c r="AH81" s="70"/>
      <c r="AI81" s="71">
        <v>650</v>
      </c>
      <c r="AJ81" s="71"/>
      <c r="AK81" s="71"/>
      <c r="AL81" s="71">
        <f>SUM(AM81:AO81)</f>
        <v>650</v>
      </c>
      <c r="AM81" s="68"/>
      <c r="AN81" s="67"/>
      <c r="AO81" s="71">
        <f>SUM(AP81:AS81)</f>
        <v>650</v>
      </c>
      <c r="AP81" s="71"/>
      <c r="AQ81" s="71">
        <v>650</v>
      </c>
      <c r="AR81" s="67"/>
      <c r="AS81" s="67"/>
      <c r="AT81" s="70">
        <f t="shared" si="42"/>
        <v>0</v>
      </c>
      <c r="AU81" s="71"/>
      <c r="AV81" s="71"/>
      <c r="AW81" s="70">
        <f t="shared" si="43"/>
        <v>0</v>
      </c>
      <c r="AX81" s="71"/>
      <c r="AY81" s="67"/>
      <c r="AZ81" s="67"/>
      <c r="BA81" s="68"/>
      <c r="BB81" s="68"/>
      <c r="BC81" s="69"/>
      <c r="BD81" s="69"/>
      <c r="BE81" s="69"/>
      <c r="BF81" s="67"/>
      <c r="BG81" s="67"/>
      <c r="BH81" s="67"/>
      <c r="BI81" s="67"/>
      <c r="BJ81" s="67"/>
      <c r="BK81" s="67"/>
      <c r="BL81" s="67"/>
      <c r="BM81" s="67"/>
      <c r="BN81" s="67"/>
      <c r="BO81" s="67"/>
      <c r="BP81" s="67"/>
      <c r="BQ81" s="67"/>
      <c r="BR81" s="67"/>
      <c r="BS81" s="67"/>
      <c r="BT81" s="67"/>
      <c r="BU81" s="67"/>
      <c r="BV81" s="67"/>
      <c r="BW81" s="541" t="s">
        <v>108</v>
      </c>
      <c r="BX81" s="101">
        <f t="shared" si="36"/>
        <v>0</v>
      </c>
      <c r="BY81" s="12"/>
      <c r="BZ81" s="11">
        <v>650</v>
      </c>
      <c r="CA81" s="578"/>
      <c r="CB81" s="10"/>
      <c r="CC81" s="385"/>
    </row>
    <row r="82" spans="1:81" ht="46.15" outlineLevel="1">
      <c r="A82" s="535">
        <v>7</v>
      </c>
      <c r="B82" s="580" t="s">
        <v>262</v>
      </c>
      <c r="C82" s="534" t="s">
        <v>99</v>
      </c>
      <c r="D82" s="70" t="s">
        <v>242</v>
      </c>
      <c r="E82" s="535" t="s">
        <v>49</v>
      </c>
      <c r="F82" s="535" t="s">
        <v>105</v>
      </c>
      <c r="G82" s="70" t="s">
        <v>244</v>
      </c>
      <c r="H82" s="580">
        <v>8093546</v>
      </c>
      <c r="I82" s="535">
        <v>2021</v>
      </c>
      <c r="J82" s="535">
        <v>2021</v>
      </c>
      <c r="K82" s="532"/>
      <c r="L82" s="534" t="s">
        <v>245</v>
      </c>
      <c r="M82" s="68">
        <v>3400</v>
      </c>
      <c r="N82" s="69"/>
      <c r="O82" s="67"/>
      <c r="P82" s="68">
        <v>3400</v>
      </c>
      <c r="Q82" s="67"/>
      <c r="R82" s="70" t="s">
        <v>246</v>
      </c>
      <c r="S82" s="69"/>
      <c r="T82" s="67"/>
      <c r="U82" s="67"/>
      <c r="V82" s="69"/>
      <c r="W82" s="70">
        <f t="shared" si="38"/>
        <v>500</v>
      </c>
      <c r="X82" s="68"/>
      <c r="Y82" s="69"/>
      <c r="Z82" s="70">
        <f t="shared" si="39"/>
        <v>500</v>
      </c>
      <c r="AA82" s="70">
        <v>0</v>
      </c>
      <c r="AB82" s="68">
        <v>500</v>
      </c>
      <c r="AC82" s="67"/>
      <c r="AD82" s="68">
        <f t="shared" si="40"/>
        <v>500</v>
      </c>
      <c r="AE82" s="68"/>
      <c r="AF82" s="69"/>
      <c r="AG82" s="68">
        <f t="shared" si="41"/>
        <v>500</v>
      </c>
      <c r="AH82" s="68"/>
      <c r="AI82" s="67"/>
      <c r="AJ82" s="68">
        <v>500</v>
      </c>
      <c r="AK82" s="67"/>
      <c r="AL82" s="68">
        <f>SUM(AM82:AO82)</f>
        <v>500</v>
      </c>
      <c r="AM82" s="68"/>
      <c r="AN82" s="67"/>
      <c r="AO82" s="68">
        <f>SUM(AP82:AS82)</f>
        <v>500</v>
      </c>
      <c r="AP82" s="68"/>
      <c r="AQ82" s="67"/>
      <c r="AR82" s="68">
        <v>500</v>
      </c>
      <c r="AS82" s="67"/>
      <c r="AT82" s="70">
        <f t="shared" si="42"/>
        <v>500</v>
      </c>
      <c r="AU82" s="71"/>
      <c r="AV82" s="71"/>
      <c r="AW82" s="70">
        <f t="shared" si="43"/>
        <v>500</v>
      </c>
      <c r="AX82" s="72"/>
      <c r="AY82" s="68">
        <v>500</v>
      </c>
      <c r="AZ82" s="67"/>
      <c r="BA82" s="68">
        <v>436</v>
      </c>
      <c r="BB82" s="68"/>
      <c r="BC82" s="71"/>
      <c r="BD82" s="68">
        <v>436</v>
      </c>
      <c r="BE82" s="68">
        <v>436</v>
      </c>
      <c r="BF82" s="67"/>
      <c r="BG82" s="67"/>
      <c r="BH82" s="67"/>
      <c r="BI82" s="67"/>
      <c r="BJ82" s="67"/>
      <c r="BK82" s="67"/>
      <c r="BL82" s="67"/>
      <c r="BM82" s="67"/>
      <c r="BN82" s="67"/>
      <c r="BO82" s="67"/>
      <c r="BP82" s="67"/>
      <c r="BQ82" s="67"/>
      <c r="BR82" s="67"/>
      <c r="BS82" s="67"/>
      <c r="BT82" s="67"/>
      <c r="BU82" s="70"/>
      <c r="BV82" s="70"/>
      <c r="BW82" s="541" t="s">
        <v>870</v>
      </c>
      <c r="BX82" s="101">
        <f t="shared" si="36"/>
        <v>0</v>
      </c>
      <c r="BY82" s="17"/>
      <c r="BZ82" s="12"/>
      <c r="CA82" s="578"/>
      <c r="CB82" s="574"/>
      <c r="CC82" s="385"/>
    </row>
    <row r="83" spans="1:81" ht="80.25" customHeight="1" outlineLevel="1">
      <c r="A83" s="535">
        <v>8</v>
      </c>
      <c r="B83" s="586" t="s">
        <v>263</v>
      </c>
      <c r="C83" s="585" t="s">
        <v>264</v>
      </c>
      <c r="D83" s="70" t="s">
        <v>242</v>
      </c>
      <c r="E83" s="535" t="s">
        <v>49</v>
      </c>
      <c r="F83" s="535" t="s">
        <v>48</v>
      </c>
      <c r="G83" s="70" t="s">
        <v>244</v>
      </c>
      <c r="H83" s="112" t="s">
        <v>265</v>
      </c>
      <c r="I83" s="535">
        <v>2021</v>
      </c>
      <c r="J83" s="535"/>
      <c r="K83" s="532"/>
      <c r="L83" s="585" t="s">
        <v>135</v>
      </c>
      <c r="M83" s="110">
        <f>SUM(N83:P83)</f>
        <v>600</v>
      </c>
      <c r="N83" s="69"/>
      <c r="O83" s="67"/>
      <c r="P83" s="110">
        <v>600</v>
      </c>
      <c r="Q83" s="67"/>
      <c r="R83" s="70" t="s">
        <v>246</v>
      </c>
      <c r="S83" s="69"/>
      <c r="T83" s="67"/>
      <c r="U83" s="67"/>
      <c r="V83" s="69"/>
      <c r="W83" s="70">
        <f t="shared" si="38"/>
        <v>600</v>
      </c>
      <c r="X83" s="68"/>
      <c r="Y83" s="69"/>
      <c r="Z83" s="70">
        <f t="shared" si="39"/>
        <v>600</v>
      </c>
      <c r="AA83" s="70">
        <v>0</v>
      </c>
      <c r="AB83" s="67"/>
      <c r="AC83" s="110">
        <v>600</v>
      </c>
      <c r="AD83" s="68">
        <f t="shared" si="40"/>
        <v>600</v>
      </c>
      <c r="AE83" s="68"/>
      <c r="AF83" s="69"/>
      <c r="AG83" s="71">
        <f t="shared" si="41"/>
        <v>600</v>
      </c>
      <c r="AH83" s="67"/>
      <c r="AI83" s="67"/>
      <c r="AJ83" s="67"/>
      <c r="AK83" s="110">
        <v>600</v>
      </c>
      <c r="AL83" s="68"/>
      <c r="AM83" s="68"/>
      <c r="AN83" s="67"/>
      <c r="AO83" s="71"/>
      <c r="AP83" s="71"/>
      <c r="AQ83" s="67"/>
      <c r="AR83" s="67"/>
      <c r="AS83" s="67"/>
      <c r="AT83" s="70">
        <f t="shared" si="42"/>
        <v>0</v>
      </c>
      <c r="AU83" s="69"/>
      <c r="AV83" s="69"/>
      <c r="AW83" s="70">
        <f t="shared" si="43"/>
        <v>0</v>
      </c>
      <c r="AX83" s="69"/>
      <c r="AY83" s="67"/>
      <c r="AZ83" s="67"/>
      <c r="BA83" s="68"/>
      <c r="BB83" s="68"/>
      <c r="BC83" s="69"/>
      <c r="BD83" s="69"/>
      <c r="BE83" s="69"/>
      <c r="BF83" s="67"/>
      <c r="BG83" s="67"/>
      <c r="BH83" s="67"/>
      <c r="BI83" s="67"/>
      <c r="BJ83" s="67"/>
      <c r="BK83" s="67"/>
      <c r="BL83" s="67"/>
      <c r="BM83" s="67"/>
      <c r="BN83" s="67"/>
      <c r="BO83" s="67"/>
      <c r="BP83" s="67"/>
      <c r="BQ83" s="67"/>
      <c r="BR83" s="67"/>
      <c r="BS83" s="67"/>
      <c r="BT83" s="67"/>
      <c r="BU83" s="67"/>
      <c r="BV83" s="67"/>
      <c r="BW83" s="541"/>
      <c r="BX83" s="101">
        <f t="shared" si="36"/>
        <v>0</v>
      </c>
      <c r="BY83" s="12"/>
      <c r="BZ83" s="12"/>
      <c r="CA83" s="578"/>
      <c r="CB83" s="8"/>
      <c r="CC83" s="385"/>
    </row>
    <row r="84" spans="1:81" ht="73.5" customHeight="1" outlineLevel="1">
      <c r="A84" s="535">
        <v>9</v>
      </c>
      <c r="B84" s="586" t="s">
        <v>266</v>
      </c>
      <c r="C84" s="585" t="s">
        <v>267</v>
      </c>
      <c r="D84" s="70" t="s">
        <v>242</v>
      </c>
      <c r="E84" s="535" t="s">
        <v>49</v>
      </c>
      <c r="F84" s="535" t="s">
        <v>48</v>
      </c>
      <c r="G84" s="70" t="s">
        <v>246</v>
      </c>
      <c r="H84" s="109" t="s">
        <v>268</v>
      </c>
      <c r="I84" s="535">
        <v>2021</v>
      </c>
      <c r="J84" s="535"/>
      <c r="K84" s="532"/>
      <c r="L84" s="585" t="s">
        <v>135</v>
      </c>
      <c r="M84" s="110">
        <f>SUM(N84:P84)</f>
        <v>2300</v>
      </c>
      <c r="N84" s="69"/>
      <c r="O84" s="67"/>
      <c r="P84" s="110">
        <v>2300</v>
      </c>
      <c r="Q84" s="67"/>
      <c r="R84" s="70" t="s">
        <v>246</v>
      </c>
      <c r="S84" s="69"/>
      <c r="T84" s="67"/>
      <c r="U84" s="67"/>
      <c r="V84" s="69"/>
      <c r="W84" s="70">
        <f t="shared" si="38"/>
        <v>1300</v>
      </c>
      <c r="X84" s="68"/>
      <c r="Y84" s="69"/>
      <c r="Z84" s="70">
        <f t="shared" si="39"/>
        <v>1300</v>
      </c>
      <c r="AA84" s="70">
        <v>0</v>
      </c>
      <c r="AB84" s="67"/>
      <c r="AC84" s="110">
        <v>1300</v>
      </c>
      <c r="AD84" s="68">
        <f t="shared" si="40"/>
        <v>1300</v>
      </c>
      <c r="AE84" s="68"/>
      <c r="AF84" s="69"/>
      <c r="AG84" s="71">
        <f t="shared" si="41"/>
        <v>1300</v>
      </c>
      <c r="AH84" s="67"/>
      <c r="AI84" s="67"/>
      <c r="AJ84" s="67"/>
      <c r="AK84" s="110">
        <v>1300</v>
      </c>
      <c r="AL84" s="68"/>
      <c r="AM84" s="68"/>
      <c r="AN84" s="67"/>
      <c r="AO84" s="71"/>
      <c r="AP84" s="71"/>
      <c r="AQ84" s="67"/>
      <c r="AR84" s="67"/>
      <c r="AS84" s="67"/>
      <c r="AT84" s="70">
        <f t="shared" si="42"/>
        <v>0</v>
      </c>
      <c r="AU84" s="69"/>
      <c r="AV84" s="69"/>
      <c r="AW84" s="70">
        <f t="shared" si="43"/>
        <v>0</v>
      </c>
      <c r="AX84" s="69"/>
      <c r="AY84" s="67"/>
      <c r="AZ84" s="67"/>
      <c r="BA84" s="68"/>
      <c r="BB84" s="68"/>
      <c r="BC84" s="69"/>
      <c r="BD84" s="69"/>
      <c r="BE84" s="69"/>
      <c r="BF84" s="67"/>
      <c r="BG84" s="67"/>
      <c r="BH84" s="67"/>
      <c r="BI84" s="67"/>
      <c r="BJ84" s="67"/>
      <c r="BK84" s="67"/>
      <c r="BL84" s="67"/>
      <c r="BM84" s="67"/>
      <c r="BN84" s="67"/>
      <c r="BO84" s="67"/>
      <c r="BP84" s="67"/>
      <c r="BQ84" s="67"/>
      <c r="BR84" s="67"/>
      <c r="BS84" s="67"/>
      <c r="BT84" s="67"/>
      <c r="BU84" s="67"/>
      <c r="BV84" s="67"/>
      <c r="BW84" s="541"/>
      <c r="BX84" s="101">
        <f t="shared" si="36"/>
        <v>0</v>
      </c>
      <c r="BY84" s="12"/>
      <c r="BZ84" s="12"/>
      <c r="CA84" s="578"/>
      <c r="CB84" s="8"/>
      <c r="CC84" s="385"/>
    </row>
    <row r="85" spans="1:81" ht="60" customHeight="1" outlineLevel="1">
      <c r="A85" s="535">
        <v>10</v>
      </c>
      <c r="B85" s="586" t="s">
        <v>269</v>
      </c>
      <c r="C85" s="585" t="s">
        <v>267</v>
      </c>
      <c r="D85" s="70" t="s">
        <v>242</v>
      </c>
      <c r="E85" s="535" t="s">
        <v>49</v>
      </c>
      <c r="F85" s="535" t="s">
        <v>48</v>
      </c>
      <c r="G85" s="70" t="s">
        <v>244</v>
      </c>
      <c r="H85" s="113" t="s">
        <v>270</v>
      </c>
      <c r="I85" s="535">
        <v>2021</v>
      </c>
      <c r="J85" s="580"/>
      <c r="K85" s="580"/>
      <c r="L85" s="585" t="s">
        <v>135</v>
      </c>
      <c r="M85" s="110">
        <f t="shared" ref="M85" si="45">SUM(N85:P85)</f>
        <v>500</v>
      </c>
      <c r="N85" s="68"/>
      <c r="O85" s="68"/>
      <c r="P85" s="110">
        <v>500</v>
      </c>
      <c r="Q85" s="68"/>
      <c r="R85" s="70" t="s">
        <v>246</v>
      </c>
      <c r="S85" s="68"/>
      <c r="T85" s="68"/>
      <c r="U85" s="68"/>
      <c r="V85" s="68"/>
      <c r="W85" s="70">
        <f t="shared" si="38"/>
        <v>500</v>
      </c>
      <c r="X85" s="68"/>
      <c r="Y85" s="68"/>
      <c r="Z85" s="70">
        <f t="shared" si="39"/>
        <v>500</v>
      </c>
      <c r="AA85" s="70">
        <v>0</v>
      </c>
      <c r="AB85" s="68"/>
      <c r="AC85" s="110">
        <v>500</v>
      </c>
      <c r="AD85" s="68">
        <f t="shared" si="40"/>
        <v>500</v>
      </c>
      <c r="AE85" s="68"/>
      <c r="AF85" s="68"/>
      <c r="AG85" s="71">
        <f t="shared" si="41"/>
        <v>500</v>
      </c>
      <c r="AH85" s="68"/>
      <c r="AI85" s="68"/>
      <c r="AJ85" s="68"/>
      <c r="AK85" s="110">
        <v>500</v>
      </c>
      <c r="AL85" s="68"/>
      <c r="AM85" s="68"/>
      <c r="AN85" s="68"/>
      <c r="AO85" s="68"/>
      <c r="AP85" s="68"/>
      <c r="AQ85" s="68"/>
      <c r="AR85" s="68"/>
      <c r="AS85" s="68"/>
      <c r="AT85" s="70">
        <f t="shared" si="42"/>
        <v>0</v>
      </c>
      <c r="AU85" s="68"/>
      <c r="AV85" s="68"/>
      <c r="AW85" s="70">
        <f t="shared" si="43"/>
        <v>0</v>
      </c>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580"/>
      <c r="BX85" s="101">
        <f t="shared" si="36"/>
        <v>0</v>
      </c>
      <c r="BY85" s="17"/>
      <c r="BZ85" s="17"/>
      <c r="CA85" s="578"/>
      <c r="CB85" s="581"/>
      <c r="CC85" s="581"/>
    </row>
    <row r="86" spans="1:81" ht="66" customHeight="1" outlineLevel="1">
      <c r="A86" s="535">
        <v>11</v>
      </c>
      <c r="B86" s="590" t="s">
        <v>271</v>
      </c>
      <c r="C86" s="535" t="s">
        <v>242</v>
      </c>
      <c r="D86" s="70" t="s">
        <v>242</v>
      </c>
      <c r="E86" s="535" t="s">
        <v>49</v>
      </c>
      <c r="F86" s="535"/>
      <c r="G86" s="70" t="s">
        <v>246</v>
      </c>
      <c r="H86" s="580">
        <v>7975474</v>
      </c>
      <c r="I86" s="535" t="s">
        <v>272</v>
      </c>
      <c r="J86" s="535"/>
      <c r="K86" s="532"/>
      <c r="L86" s="585" t="s">
        <v>273</v>
      </c>
      <c r="M86" s="68">
        <v>2300</v>
      </c>
      <c r="N86" s="67"/>
      <c r="O86" s="67"/>
      <c r="P86" s="70">
        <v>2300</v>
      </c>
      <c r="Q86" s="67"/>
      <c r="R86" s="70" t="s">
        <v>246</v>
      </c>
      <c r="S86" s="67"/>
      <c r="T86" s="67"/>
      <c r="U86" s="67"/>
      <c r="V86" s="67"/>
      <c r="W86" s="70">
        <f t="shared" si="38"/>
        <v>981.45799999999997</v>
      </c>
      <c r="X86" s="70"/>
      <c r="Y86" s="70"/>
      <c r="Z86" s="70">
        <f t="shared" si="39"/>
        <v>981.45799999999997</v>
      </c>
      <c r="AA86" s="70">
        <v>0</v>
      </c>
      <c r="AB86" s="70"/>
      <c r="AC86" s="110">
        <v>981.45799999999997</v>
      </c>
      <c r="AD86" s="70">
        <f>SUM(AE86:AG86)</f>
        <v>981.45799999999997</v>
      </c>
      <c r="AE86" s="70"/>
      <c r="AF86" s="70"/>
      <c r="AG86" s="70">
        <f>SUM(AH86:AK86)</f>
        <v>981.45799999999997</v>
      </c>
      <c r="AH86" s="72"/>
      <c r="AI86" s="70"/>
      <c r="AJ86" s="70"/>
      <c r="AK86" s="110">
        <v>981.45799999999997</v>
      </c>
      <c r="AL86" s="70"/>
      <c r="AM86" s="70"/>
      <c r="AN86" s="70"/>
      <c r="AO86" s="70"/>
      <c r="AP86" s="70"/>
      <c r="AQ86" s="70"/>
      <c r="AR86" s="70"/>
      <c r="AS86" s="70"/>
      <c r="AT86" s="70">
        <f t="shared" si="42"/>
        <v>0</v>
      </c>
      <c r="AU86" s="70"/>
      <c r="AV86" s="70"/>
      <c r="AW86" s="70">
        <f t="shared" si="43"/>
        <v>0</v>
      </c>
      <c r="AX86" s="70"/>
      <c r="AY86" s="70"/>
      <c r="AZ86" s="70"/>
      <c r="BA86" s="70"/>
      <c r="BB86" s="70"/>
      <c r="BC86" s="70"/>
      <c r="BD86" s="70"/>
      <c r="BE86" s="70"/>
      <c r="BF86" s="70"/>
      <c r="BG86" s="70"/>
      <c r="BH86" s="70"/>
      <c r="BI86" s="67"/>
      <c r="BJ86" s="67"/>
      <c r="BK86" s="67"/>
      <c r="BL86" s="67"/>
      <c r="BM86" s="67"/>
      <c r="BN86" s="67"/>
      <c r="BO86" s="67"/>
      <c r="BP86" s="67"/>
      <c r="BQ86" s="67"/>
      <c r="BR86" s="67"/>
      <c r="BS86" s="67"/>
      <c r="BT86" s="67"/>
      <c r="BU86" s="67"/>
      <c r="BV86" s="67"/>
      <c r="BW86" s="541"/>
      <c r="BX86" s="101">
        <f t="shared" si="36"/>
        <v>0</v>
      </c>
      <c r="BY86" s="6"/>
      <c r="BZ86" s="6"/>
      <c r="CA86" s="583"/>
      <c r="CB86" s="9"/>
      <c r="CC86" s="9"/>
    </row>
    <row r="87" spans="1:81" ht="30" customHeight="1">
      <c r="A87" s="536" t="s">
        <v>60</v>
      </c>
      <c r="B87" s="536" t="s">
        <v>274</v>
      </c>
      <c r="C87" s="536"/>
      <c r="D87" s="104"/>
      <c r="E87" s="536"/>
      <c r="F87" s="536"/>
      <c r="G87" s="104"/>
      <c r="H87" s="536"/>
      <c r="I87" s="536"/>
      <c r="J87" s="536"/>
      <c r="K87" s="536"/>
      <c r="L87" s="536"/>
      <c r="M87" s="104">
        <f>M88</f>
        <v>7204</v>
      </c>
      <c r="N87" s="104">
        <f t="shared" ref="N87:BU87" si="46">N88</f>
        <v>0</v>
      </c>
      <c r="O87" s="104">
        <f t="shared" si="46"/>
        <v>0</v>
      </c>
      <c r="P87" s="104">
        <f t="shared" si="46"/>
        <v>4152</v>
      </c>
      <c r="Q87" s="104">
        <f t="shared" si="46"/>
        <v>0</v>
      </c>
      <c r="R87" s="104">
        <f t="shared" si="46"/>
        <v>0</v>
      </c>
      <c r="S87" s="104">
        <f t="shared" si="46"/>
        <v>0</v>
      </c>
      <c r="T87" s="104">
        <f t="shared" si="46"/>
        <v>0</v>
      </c>
      <c r="U87" s="104">
        <f t="shared" si="46"/>
        <v>0</v>
      </c>
      <c r="V87" s="104">
        <f t="shared" si="46"/>
        <v>0</v>
      </c>
      <c r="W87" s="104">
        <f t="shared" si="46"/>
        <v>3785.4629999999997</v>
      </c>
      <c r="X87" s="104">
        <f t="shared" si="46"/>
        <v>0</v>
      </c>
      <c r="Y87" s="104">
        <f t="shared" si="46"/>
        <v>0</v>
      </c>
      <c r="Z87" s="104">
        <f t="shared" si="46"/>
        <v>3785.4629999999997</v>
      </c>
      <c r="AA87" s="104">
        <f t="shared" si="46"/>
        <v>3785.4629999999997</v>
      </c>
      <c r="AB87" s="104">
        <f t="shared" si="46"/>
        <v>0</v>
      </c>
      <c r="AC87" s="104">
        <f t="shared" si="46"/>
        <v>0</v>
      </c>
      <c r="AD87" s="104">
        <f t="shared" si="46"/>
        <v>3785.4629999999997</v>
      </c>
      <c r="AE87" s="104">
        <f t="shared" si="46"/>
        <v>0</v>
      </c>
      <c r="AF87" s="104">
        <f t="shared" si="46"/>
        <v>0</v>
      </c>
      <c r="AG87" s="104">
        <f t="shared" si="46"/>
        <v>3785.4629999999997</v>
      </c>
      <c r="AH87" s="104">
        <f t="shared" si="46"/>
        <v>2285.4629999999997</v>
      </c>
      <c r="AI87" s="104">
        <f t="shared" si="46"/>
        <v>1500</v>
      </c>
      <c r="AJ87" s="104">
        <f t="shared" si="46"/>
        <v>0</v>
      </c>
      <c r="AK87" s="104">
        <f t="shared" si="46"/>
        <v>0</v>
      </c>
      <c r="AL87" s="104">
        <f t="shared" si="46"/>
        <v>3785.4629999999997</v>
      </c>
      <c r="AM87" s="104">
        <f t="shared" si="46"/>
        <v>0</v>
      </c>
      <c r="AN87" s="104">
        <f t="shared" si="46"/>
        <v>0</v>
      </c>
      <c r="AO87" s="104">
        <f t="shared" si="46"/>
        <v>3785.4629999999997</v>
      </c>
      <c r="AP87" s="104">
        <f t="shared" si="46"/>
        <v>2285.4629999999997</v>
      </c>
      <c r="AQ87" s="104">
        <f t="shared" si="46"/>
        <v>1500</v>
      </c>
      <c r="AR87" s="104">
        <f t="shared" si="46"/>
        <v>0</v>
      </c>
      <c r="AS87" s="104">
        <f t="shared" si="46"/>
        <v>0</v>
      </c>
      <c r="AT87" s="104">
        <f t="shared" si="46"/>
        <v>0</v>
      </c>
      <c r="AU87" s="104">
        <f t="shared" si="46"/>
        <v>0</v>
      </c>
      <c r="AV87" s="104">
        <f t="shared" si="46"/>
        <v>0</v>
      </c>
      <c r="AW87" s="104">
        <f t="shared" si="46"/>
        <v>0</v>
      </c>
      <c r="AX87" s="104">
        <f t="shared" si="46"/>
        <v>0</v>
      </c>
      <c r="AY87" s="104">
        <f t="shared" si="46"/>
        <v>0</v>
      </c>
      <c r="AZ87" s="104">
        <f t="shared" si="46"/>
        <v>0</v>
      </c>
      <c r="BA87" s="104">
        <f t="shared" si="46"/>
        <v>0</v>
      </c>
      <c r="BB87" s="104">
        <f t="shared" si="46"/>
        <v>0</v>
      </c>
      <c r="BC87" s="104">
        <f t="shared" si="46"/>
        <v>0</v>
      </c>
      <c r="BD87" s="104">
        <f t="shared" si="46"/>
        <v>0</v>
      </c>
      <c r="BE87" s="104">
        <f t="shared" si="46"/>
        <v>0</v>
      </c>
      <c r="BF87" s="104">
        <f t="shared" si="46"/>
        <v>0</v>
      </c>
      <c r="BG87" s="104">
        <f t="shared" si="46"/>
        <v>0</v>
      </c>
      <c r="BH87" s="104">
        <f t="shared" si="46"/>
        <v>0</v>
      </c>
      <c r="BI87" s="104">
        <f t="shared" si="46"/>
        <v>0</v>
      </c>
      <c r="BJ87" s="104">
        <f t="shared" si="46"/>
        <v>0</v>
      </c>
      <c r="BK87" s="104">
        <f t="shared" si="46"/>
        <v>0</v>
      </c>
      <c r="BL87" s="104">
        <f t="shared" si="46"/>
        <v>0</v>
      </c>
      <c r="BM87" s="104">
        <f t="shared" si="46"/>
        <v>0</v>
      </c>
      <c r="BN87" s="104">
        <f t="shared" si="46"/>
        <v>0</v>
      </c>
      <c r="BO87" s="104">
        <f t="shared" si="46"/>
        <v>0</v>
      </c>
      <c r="BP87" s="104">
        <f t="shared" si="46"/>
        <v>0</v>
      </c>
      <c r="BQ87" s="104">
        <f t="shared" si="46"/>
        <v>0</v>
      </c>
      <c r="BR87" s="104">
        <f t="shared" si="46"/>
        <v>0</v>
      </c>
      <c r="BS87" s="104">
        <f t="shared" si="46"/>
        <v>0</v>
      </c>
      <c r="BT87" s="104">
        <f t="shared" si="46"/>
        <v>0</v>
      </c>
      <c r="BU87" s="104">
        <f t="shared" si="46"/>
        <v>0</v>
      </c>
      <c r="BV87" s="104"/>
      <c r="BW87" s="536"/>
      <c r="BX87" s="101">
        <f t="shared" si="36"/>
        <v>0</v>
      </c>
      <c r="BY87" s="104">
        <f t="shared" ref="BY87:CA87" si="47">BY88</f>
        <v>2285.4629999999997</v>
      </c>
      <c r="BZ87" s="104">
        <f t="shared" si="47"/>
        <v>1500</v>
      </c>
      <c r="CA87" s="104">
        <f t="shared" si="47"/>
        <v>0</v>
      </c>
      <c r="CB87" s="579"/>
      <c r="CC87" s="579"/>
    </row>
    <row r="88" spans="1:81" ht="39" customHeight="1">
      <c r="A88" s="553" t="s">
        <v>45</v>
      </c>
      <c r="B88" s="533" t="s">
        <v>51</v>
      </c>
      <c r="C88" s="533"/>
      <c r="D88" s="102"/>
      <c r="E88" s="533"/>
      <c r="F88" s="533"/>
      <c r="G88" s="102"/>
      <c r="H88" s="533"/>
      <c r="I88" s="533"/>
      <c r="J88" s="533"/>
      <c r="K88" s="533"/>
      <c r="L88" s="533"/>
      <c r="M88" s="102">
        <f>SUM(M89:M91)</f>
        <v>7204</v>
      </c>
      <c r="N88" s="102">
        <f t="shared" ref="N88:BU88" si="48">SUM(N89:N91)</f>
        <v>0</v>
      </c>
      <c r="O88" s="102">
        <f t="shared" si="48"/>
        <v>0</v>
      </c>
      <c r="P88" s="102">
        <f t="shared" si="48"/>
        <v>4152</v>
      </c>
      <c r="Q88" s="102">
        <f t="shared" si="48"/>
        <v>0</v>
      </c>
      <c r="R88" s="102">
        <f t="shared" si="48"/>
        <v>0</v>
      </c>
      <c r="S88" s="102">
        <f t="shared" si="48"/>
        <v>0</v>
      </c>
      <c r="T88" s="102">
        <f t="shared" si="48"/>
        <v>0</v>
      </c>
      <c r="U88" s="102">
        <f t="shared" si="48"/>
        <v>0</v>
      </c>
      <c r="V88" s="102">
        <f t="shared" si="48"/>
        <v>0</v>
      </c>
      <c r="W88" s="102">
        <f t="shared" si="48"/>
        <v>3785.4629999999997</v>
      </c>
      <c r="X88" s="102">
        <f t="shared" si="48"/>
        <v>0</v>
      </c>
      <c r="Y88" s="102">
        <f t="shared" si="48"/>
        <v>0</v>
      </c>
      <c r="Z88" s="102">
        <f t="shared" si="48"/>
        <v>3785.4629999999997</v>
      </c>
      <c r="AA88" s="102">
        <f t="shared" si="48"/>
        <v>3785.4629999999997</v>
      </c>
      <c r="AB88" s="102">
        <f t="shared" si="48"/>
        <v>0</v>
      </c>
      <c r="AC88" s="102">
        <f t="shared" si="48"/>
        <v>0</v>
      </c>
      <c r="AD88" s="102">
        <f t="shared" si="48"/>
        <v>3785.4629999999997</v>
      </c>
      <c r="AE88" s="102">
        <f t="shared" si="48"/>
        <v>0</v>
      </c>
      <c r="AF88" s="102">
        <f t="shared" si="48"/>
        <v>0</v>
      </c>
      <c r="AG88" s="102">
        <f t="shared" si="48"/>
        <v>3785.4629999999997</v>
      </c>
      <c r="AH88" s="102">
        <f t="shared" si="48"/>
        <v>2285.4629999999997</v>
      </c>
      <c r="AI88" s="102">
        <f t="shared" si="48"/>
        <v>1500</v>
      </c>
      <c r="AJ88" s="102">
        <f t="shared" si="48"/>
        <v>0</v>
      </c>
      <c r="AK88" s="102">
        <f t="shared" si="48"/>
        <v>0</v>
      </c>
      <c r="AL88" s="102">
        <f t="shared" si="48"/>
        <v>3785.4629999999997</v>
      </c>
      <c r="AM88" s="102">
        <f t="shared" si="48"/>
        <v>0</v>
      </c>
      <c r="AN88" s="102">
        <f t="shared" si="48"/>
        <v>0</v>
      </c>
      <c r="AO88" s="102">
        <f t="shared" si="48"/>
        <v>3785.4629999999997</v>
      </c>
      <c r="AP88" s="102">
        <f t="shared" si="48"/>
        <v>2285.4629999999997</v>
      </c>
      <c r="AQ88" s="102">
        <f t="shared" si="48"/>
        <v>1500</v>
      </c>
      <c r="AR88" s="102">
        <f t="shared" si="48"/>
        <v>0</v>
      </c>
      <c r="AS88" s="102">
        <f t="shared" si="48"/>
        <v>0</v>
      </c>
      <c r="AT88" s="102">
        <f t="shared" si="48"/>
        <v>0</v>
      </c>
      <c r="AU88" s="102">
        <f t="shared" si="48"/>
        <v>0</v>
      </c>
      <c r="AV88" s="102">
        <f t="shared" si="48"/>
        <v>0</v>
      </c>
      <c r="AW88" s="102">
        <f t="shared" si="48"/>
        <v>0</v>
      </c>
      <c r="AX88" s="102">
        <f t="shared" si="48"/>
        <v>0</v>
      </c>
      <c r="AY88" s="102">
        <f t="shared" si="48"/>
        <v>0</v>
      </c>
      <c r="AZ88" s="102">
        <f t="shared" si="48"/>
        <v>0</v>
      </c>
      <c r="BA88" s="102">
        <f t="shared" si="48"/>
        <v>0</v>
      </c>
      <c r="BB88" s="102">
        <f t="shared" si="48"/>
        <v>0</v>
      </c>
      <c r="BC88" s="102">
        <f t="shared" si="48"/>
        <v>0</v>
      </c>
      <c r="BD88" s="102">
        <f t="shared" si="48"/>
        <v>0</v>
      </c>
      <c r="BE88" s="102">
        <f t="shared" si="48"/>
        <v>0</v>
      </c>
      <c r="BF88" s="102">
        <f t="shared" si="48"/>
        <v>0</v>
      </c>
      <c r="BG88" s="102">
        <f t="shared" si="48"/>
        <v>0</v>
      </c>
      <c r="BH88" s="102">
        <f t="shared" si="48"/>
        <v>0</v>
      </c>
      <c r="BI88" s="102">
        <f t="shared" si="48"/>
        <v>0</v>
      </c>
      <c r="BJ88" s="102">
        <f t="shared" si="48"/>
        <v>0</v>
      </c>
      <c r="BK88" s="102">
        <f t="shared" si="48"/>
        <v>0</v>
      </c>
      <c r="BL88" s="102">
        <f t="shared" si="48"/>
        <v>0</v>
      </c>
      <c r="BM88" s="102">
        <f t="shared" si="48"/>
        <v>0</v>
      </c>
      <c r="BN88" s="102">
        <f t="shared" si="48"/>
        <v>0</v>
      </c>
      <c r="BO88" s="102">
        <f t="shared" si="48"/>
        <v>0</v>
      </c>
      <c r="BP88" s="102">
        <f t="shared" si="48"/>
        <v>0</v>
      </c>
      <c r="BQ88" s="102">
        <f t="shared" si="48"/>
        <v>0</v>
      </c>
      <c r="BR88" s="102">
        <f t="shared" si="48"/>
        <v>0</v>
      </c>
      <c r="BS88" s="102">
        <f t="shared" si="48"/>
        <v>0</v>
      </c>
      <c r="BT88" s="102">
        <f t="shared" si="48"/>
        <v>0</v>
      </c>
      <c r="BU88" s="533">
        <f t="shared" si="48"/>
        <v>0</v>
      </c>
      <c r="BV88" s="533"/>
      <c r="BW88" s="533"/>
      <c r="BX88" s="101">
        <f t="shared" si="36"/>
        <v>0</v>
      </c>
      <c r="BY88" s="102">
        <f t="shared" ref="BY88:CA88" si="49">SUM(BY89:BY91)</f>
        <v>2285.4629999999997</v>
      </c>
      <c r="BZ88" s="102">
        <f t="shared" si="49"/>
        <v>1500</v>
      </c>
      <c r="CA88" s="102">
        <f t="shared" si="49"/>
        <v>0</v>
      </c>
      <c r="CB88" s="579"/>
      <c r="CC88" s="579"/>
    </row>
    <row r="89" spans="1:81" ht="46.15" outlineLevel="1">
      <c r="A89" s="535">
        <v>1</v>
      </c>
      <c r="B89" s="580" t="s">
        <v>275</v>
      </c>
      <c r="C89" s="534" t="s">
        <v>99</v>
      </c>
      <c r="D89" s="70" t="s">
        <v>274</v>
      </c>
      <c r="E89" s="535" t="s">
        <v>49</v>
      </c>
      <c r="F89" s="535" t="s">
        <v>105</v>
      </c>
      <c r="G89" s="70" t="s">
        <v>276</v>
      </c>
      <c r="H89" s="535">
        <v>7880885</v>
      </c>
      <c r="I89" s="535" t="s">
        <v>71</v>
      </c>
      <c r="J89" s="535">
        <v>2021</v>
      </c>
      <c r="K89" s="532"/>
      <c r="L89" s="535" t="s">
        <v>240</v>
      </c>
      <c r="M89" s="68">
        <v>3052</v>
      </c>
      <c r="N89" s="67"/>
      <c r="O89" s="67"/>
      <c r="P89" s="70">
        <v>3052</v>
      </c>
      <c r="Q89" s="70" t="s">
        <v>277</v>
      </c>
      <c r="R89" s="70" t="s">
        <v>276</v>
      </c>
      <c r="S89" s="67"/>
      <c r="T89" s="67"/>
      <c r="U89" s="67"/>
      <c r="V89" s="67"/>
      <c r="W89" s="70">
        <f t="shared" ref="W89:W91" si="50">SUM(AA89+AB89+AC89)</f>
        <v>1515.463</v>
      </c>
      <c r="X89" s="70"/>
      <c r="Y89" s="70"/>
      <c r="Z89" s="70">
        <f>SUM(AA89:AC89)</f>
        <v>1515.463</v>
      </c>
      <c r="AA89" s="70">
        <v>1515.463</v>
      </c>
      <c r="AB89" s="70"/>
      <c r="AC89" s="70"/>
      <c r="AD89" s="70">
        <v>1515.463</v>
      </c>
      <c r="AE89" s="70"/>
      <c r="AF89" s="70"/>
      <c r="AG89" s="70">
        <v>1515.463</v>
      </c>
      <c r="AH89" s="68">
        <v>1515.463</v>
      </c>
      <c r="AI89" s="70"/>
      <c r="AJ89" s="70"/>
      <c r="AK89" s="70"/>
      <c r="AL89" s="70">
        <v>1515.463</v>
      </c>
      <c r="AM89" s="70"/>
      <c r="AN89" s="70"/>
      <c r="AO89" s="70">
        <v>1515.463</v>
      </c>
      <c r="AP89" s="70">
        <v>1515.463</v>
      </c>
      <c r="AQ89" s="70"/>
      <c r="AR89" s="70"/>
      <c r="AS89" s="70"/>
      <c r="AT89" s="70">
        <f t="shared" ref="AT89:AT91" si="51">SUM(AX89+AY89+AZ89)</f>
        <v>0</v>
      </c>
      <c r="AU89" s="70"/>
      <c r="AV89" s="70"/>
      <c r="AW89" s="70">
        <f>SUM(AX89:AZ89)</f>
        <v>0</v>
      </c>
      <c r="AX89" s="70"/>
      <c r="AY89" s="70"/>
      <c r="AZ89" s="70"/>
      <c r="BA89" s="70"/>
      <c r="BB89" s="70"/>
      <c r="BC89" s="70"/>
      <c r="BD89" s="70"/>
      <c r="BE89" s="70"/>
      <c r="BF89" s="70"/>
      <c r="BG89" s="70"/>
      <c r="BH89" s="70"/>
      <c r="BI89" s="67"/>
      <c r="BJ89" s="67"/>
      <c r="BK89" s="67"/>
      <c r="BL89" s="67"/>
      <c r="BM89" s="67"/>
      <c r="BN89" s="67"/>
      <c r="BO89" s="67"/>
      <c r="BP89" s="67"/>
      <c r="BQ89" s="67"/>
      <c r="BR89" s="67"/>
      <c r="BS89" s="67"/>
      <c r="BT89" s="67"/>
      <c r="BU89" s="67"/>
      <c r="BV89" s="67"/>
      <c r="BW89" s="541" t="s">
        <v>108</v>
      </c>
      <c r="BX89" s="101">
        <f t="shared" si="36"/>
        <v>0</v>
      </c>
      <c r="BY89" s="6">
        <v>1515.463</v>
      </c>
      <c r="BZ89" s="6"/>
      <c r="CA89" s="583"/>
      <c r="CB89" s="9"/>
      <c r="CC89" s="9"/>
    </row>
    <row r="90" spans="1:81" ht="57" customHeight="1" outlineLevel="1">
      <c r="A90" s="535">
        <v>2</v>
      </c>
      <c r="B90" s="580" t="s">
        <v>278</v>
      </c>
      <c r="C90" s="534" t="s">
        <v>99</v>
      </c>
      <c r="D90" s="70" t="s">
        <v>274</v>
      </c>
      <c r="E90" s="535" t="s">
        <v>49</v>
      </c>
      <c r="F90" s="535" t="s">
        <v>48</v>
      </c>
      <c r="G90" s="70" t="s">
        <v>276</v>
      </c>
      <c r="H90" s="532"/>
      <c r="I90" s="535">
        <v>2023</v>
      </c>
      <c r="J90" s="535">
        <v>2023</v>
      </c>
      <c r="K90" s="585"/>
      <c r="L90" s="585" t="s">
        <v>117</v>
      </c>
      <c r="M90" s="68">
        <f t="shared" ref="M90" si="52">N90+O90+P90</f>
        <v>1100</v>
      </c>
      <c r="N90" s="69"/>
      <c r="O90" s="67"/>
      <c r="P90" s="68">
        <v>1100</v>
      </c>
      <c r="Q90" s="67"/>
      <c r="R90" s="70" t="s">
        <v>276</v>
      </c>
      <c r="S90" s="71">
        <f t="shared" ref="S90:S91" si="53">T90+U90+V90</f>
        <v>0</v>
      </c>
      <c r="T90" s="67"/>
      <c r="U90" s="67"/>
      <c r="V90" s="69"/>
      <c r="W90" s="70">
        <f t="shared" si="50"/>
        <v>770</v>
      </c>
      <c r="X90" s="68"/>
      <c r="Y90" s="69"/>
      <c r="Z90" s="70">
        <f>SUM(AA90:AC90)</f>
        <v>770</v>
      </c>
      <c r="AA90" s="70">
        <v>770</v>
      </c>
      <c r="AB90" s="67"/>
      <c r="AC90" s="71"/>
      <c r="AD90" s="68">
        <f t="shared" ref="AD90" si="54">SUM(AE90:AG90)</f>
        <v>770</v>
      </c>
      <c r="AE90" s="68"/>
      <c r="AF90" s="69"/>
      <c r="AG90" s="71">
        <f t="shared" ref="AG90" si="55">SUM(AH90:AK90)</f>
        <v>770</v>
      </c>
      <c r="AH90" s="70">
        <v>770</v>
      </c>
      <c r="AI90" s="67"/>
      <c r="AJ90" s="67"/>
      <c r="AK90" s="71"/>
      <c r="AL90" s="68">
        <f t="shared" ref="AL90" si="56">AM90+AN90+AO90</f>
        <v>770</v>
      </c>
      <c r="AM90" s="68"/>
      <c r="AN90" s="67"/>
      <c r="AO90" s="71">
        <f t="shared" ref="AO90" si="57">AP90+AQ90+AR90+AS90</f>
        <v>770</v>
      </c>
      <c r="AP90" s="71">
        <v>770</v>
      </c>
      <c r="AQ90" s="67"/>
      <c r="AR90" s="67"/>
      <c r="AS90" s="67"/>
      <c r="AT90" s="70">
        <f t="shared" si="51"/>
        <v>0</v>
      </c>
      <c r="AU90" s="71"/>
      <c r="AV90" s="71"/>
      <c r="AW90" s="70">
        <f>SUM(AX90:AZ90)</f>
        <v>0</v>
      </c>
      <c r="AX90" s="71"/>
      <c r="AY90" s="67"/>
      <c r="AZ90" s="67"/>
      <c r="BA90" s="68"/>
      <c r="BB90" s="68"/>
      <c r="BC90" s="69"/>
      <c r="BD90" s="69"/>
      <c r="BE90" s="69"/>
      <c r="BF90" s="67"/>
      <c r="BG90" s="67"/>
      <c r="BH90" s="67"/>
      <c r="BI90" s="67"/>
      <c r="BJ90" s="67"/>
      <c r="BK90" s="67"/>
      <c r="BL90" s="67"/>
      <c r="BM90" s="67"/>
      <c r="BN90" s="67"/>
      <c r="BO90" s="67"/>
      <c r="BP90" s="67"/>
      <c r="BQ90" s="67"/>
      <c r="BR90" s="67"/>
      <c r="BS90" s="67"/>
      <c r="BT90" s="67"/>
      <c r="BU90" s="67"/>
      <c r="BV90" s="67"/>
      <c r="BW90" s="541" t="s">
        <v>108</v>
      </c>
      <c r="BX90" s="101">
        <f t="shared" si="36"/>
        <v>0</v>
      </c>
      <c r="BY90" s="11">
        <v>770</v>
      </c>
      <c r="BZ90" s="12"/>
      <c r="CA90" s="578"/>
      <c r="CB90" s="10"/>
      <c r="CC90" s="385"/>
    </row>
    <row r="91" spans="1:81" ht="46.15" outlineLevel="1">
      <c r="A91" s="535">
        <v>3</v>
      </c>
      <c r="B91" s="539" t="s">
        <v>279</v>
      </c>
      <c r="C91" s="594" t="str">
        <f>C37</f>
        <v>Ban QLDA - ĐTXD huyện Đăk Glei</v>
      </c>
      <c r="D91" s="70" t="s">
        <v>274</v>
      </c>
      <c r="E91" s="535" t="s">
        <v>49</v>
      </c>
      <c r="F91" s="535" t="s">
        <v>105</v>
      </c>
      <c r="G91" s="70" t="s">
        <v>276</v>
      </c>
      <c r="H91" s="532"/>
      <c r="I91" s="535" t="s">
        <v>71</v>
      </c>
      <c r="J91" s="535">
        <v>2021</v>
      </c>
      <c r="K91" s="585"/>
      <c r="L91" s="585" t="s">
        <v>280</v>
      </c>
      <c r="M91" s="68">
        <v>3052</v>
      </c>
      <c r="N91" s="69"/>
      <c r="O91" s="67"/>
      <c r="P91" s="68">
        <f>SUM(Q91:S91)</f>
        <v>0</v>
      </c>
      <c r="Q91" s="70" t="s">
        <v>277</v>
      </c>
      <c r="R91" s="70" t="s">
        <v>276</v>
      </c>
      <c r="S91" s="71">
        <f t="shared" si="53"/>
        <v>0</v>
      </c>
      <c r="T91" s="67"/>
      <c r="U91" s="67"/>
      <c r="V91" s="71"/>
      <c r="W91" s="70">
        <f t="shared" si="50"/>
        <v>1500</v>
      </c>
      <c r="X91" s="68"/>
      <c r="Y91" s="69"/>
      <c r="Z91" s="70">
        <f>SUM(AA91:AC91)</f>
        <v>1500</v>
      </c>
      <c r="AA91" s="70">
        <v>1500</v>
      </c>
      <c r="AB91" s="67"/>
      <c r="AC91" s="71"/>
      <c r="AD91" s="68">
        <f>SUM(AE91:AG91)</f>
        <v>1500</v>
      </c>
      <c r="AE91" s="71"/>
      <c r="AF91" s="69"/>
      <c r="AG91" s="71">
        <f>SUM(AH91:AK91)</f>
        <v>1500</v>
      </c>
      <c r="AH91" s="70"/>
      <c r="AI91" s="71">
        <v>1500</v>
      </c>
      <c r="AJ91" s="71"/>
      <c r="AK91" s="71"/>
      <c r="AL91" s="71">
        <f>SUM(AM91:AO91)</f>
        <v>1500</v>
      </c>
      <c r="AM91" s="68"/>
      <c r="AN91" s="67"/>
      <c r="AO91" s="71">
        <f>SUM(AP91:AS91)</f>
        <v>1500</v>
      </c>
      <c r="AP91" s="71"/>
      <c r="AQ91" s="71">
        <v>1500</v>
      </c>
      <c r="AR91" s="67"/>
      <c r="AS91" s="67"/>
      <c r="AT91" s="70">
        <f t="shared" si="51"/>
        <v>0</v>
      </c>
      <c r="AU91" s="71"/>
      <c r="AV91" s="71"/>
      <c r="AW91" s="70">
        <f>SUM(AX91:AZ91)</f>
        <v>0</v>
      </c>
      <c r="AX91" s="71"/>
      <c r="AY91" s="67"/>
      <c r="AZ91" s="67"/>
      <c r="BA91" s="68"/>
      <c r="BB91" s="68"/>
      <c r="BC91" s="69"/>
      <c r="BD91" s="69"/>
      <c r="BE91" s="69"/>
      <c r="BF91" s="67"/>
      <c r="BG91" s="67"/>
      <c r="BH91" s="67"/>
      <c r="BI91" s="67"/>
      <c r="BJ91" s="67"/>
      <c r="BK91" s="67"/>
      <c r="BL91" s="67"/>
      <c r="BM91" s="67"/>
      <c r="BN91" s="67"/>
      <c r="BO91" s="67"/>
      <c r="BP91" s="67"/>
      <c r="BQ91" s="67"/>
      <c r="BR91" s="67"/>
      <c r="BS91" s="67"/>
      <c r="BT91" s="67"/>
      <c r="BU91" s="67"/>
      <c r="BV91" s="67"/>
      <c r="BW91" s="541" t="s">
        <v>108</v>
      </c>
      <c r="BX91" s="101">
        <f t="shared" si="36"/>
        <v>0</v>
      </c>
      <c r="BY91" s="12"/>
      <c r="BZ91" s="11">
        <v>1500</v>
      </c>
      <c r="CA91" s="578"/>
      <c r="CB91" s="10"/>
      <c r="CC91" s="385"/>
    </row>
    <row r="92" spans="1:81" ht="30" customHeight="1">
      <c r="A92" s="536" t="s">
        <v>61</v>
      </c>
      <c r="B92" s="536" t="s">
        <v>281</v>
      </c>
      <c r="C92" s="536"/>
      <c r="D92" s="104"/>
      <c r="E92" s="536"/>
      <c r="F92" s="536"/>
      <c r="G92" s="104"/>
      <c r="H92" s="536"/>
      <c r="I92" s="536"/>
      <c r="J92" s="536"/>
      <c r="K92" s="536"/>
      <c r="L92" s="536"/>
      <c r="M92" s="104">
        <f>M93</f>
        <v>6160</v>
      </c>
      <c r="N92" s="104">
        <f t="shared" ref="N92:BU92" si="58">N93</f>
        <v>0</v>
      </c>
      <c r="O92" s="104">
        <f t="shared" si="58"/>
        <v>0</v>
      </c>
      <c r="P92" s="104">
        <f t="shared" si="58"/>
        <v>6160</v>
      </c>
      <c r="Q92" s="104">
        <f t="shared" si="58"/>
        <v>0</v>
      </c>
      <c r="R92" s="104">
        <f t="shared" si="58"/>
        <v>0</v>
      </c>
      <c r="S92" s="104">
        <f t="shared" si="58"/>
        <v>0</v>
      </c>
      <c r="T92" s="104">
        <f t="shared" si="58"/>
        <v>0</v>
      </c>
      <c r="U92" s="104">
        <f t="shared" si="58"/>
        <v>0</v>
      </c>
      <c r="V92" s="104">
        <f t="shared" si="58"/>
        <v>0</v>
      </c>
      <c r="W92" s="104">
        <f t="shared" si="58"/>
        <v>5757.2309999999998</v>
      </c>
      <c r="X92" s="104">
        <f t="shared" si="58"/>
        <v>0</v>
      </c>
      <c r="Y92" s="104">
        <f t="shared" si="58"/>
        <v>0</v>
      </c>
      <c r="Z92" s="104">
        <f t="shared" si="58"/>
        <v>5757.2309999999998</v>
      </c>
      <c r="AA92" s="104">
        <f t="shared" si="58"/>
        <v>3600</v>
      </c>
      <c r="AB92" s="104">
        <f t="shared" si="58"/>
        <v>1994.4559999999999</v>
      </c>
      <c r="AC92" s="104">
        <f t="shared" si="58"/>
        <v>162.77500000000001</v>
      </c>
      <c r="AD92" s="104">
        <f t="shared" si="58"/>
        <v>4757.2309999999998</v>
      </c>
      <c r="AE92" s="104">
        <f t="shared" si="58"/>
        <v>0</v>
      </c>
      <c r="AF92" s="104">
        <f t="shared" si="58"/>
        <v>0</v>
      </c>
      <c r="AG92" s="104">
        <f t="shared" si="58"/>
        <v>4757.2309999999998</v>
      </c>
      <c r="AH92" s="104">
        <f t="shared" si="58"/>
        <v>2154.4560000000001</v>
      </c>
      <c r="AI92" s="104">
        <f t="shared" si="58"/>
        <v>2440</v>
      </c>
      <c r="AJ92" s="104">
        <f t="shared" si="58"/>
        <v>0</v>
      </c>
      <c r="AK92" s="104">
        <f t="shared" si="58"/>
        <v>162.77500000000001</v>
      </c>
      <c r="AL92" s="104">
        <f t="shared" si="58"/>
        <v>4575.2479999999996</v>
      </c>
      <c r="AM92" s="104">
        <f t="shared" si="58"/>
        <v>0</v>
      </c>
      <c r="AN92" s="104">
        <f t="shared" si="58"/>
        <v>0</v>
      </c>
      <c r="AO92" s="104">
        <f t="shared" si="58"/>
        <v>4575.2479999999996</v>
      </c>
      <c r="AP92" s="104">
        <f t="shared" si="58"/>
        <v>2135.248</v>
      </c>
      <c r="AQ92" s="104">
        <f t="shared" si="58"/>
        <v>2440</v>
      </c>
      <c r="AR92" s="104">
        <f t="shared" si="58"/>
        <v>0</v>
      </c>
      <c r="AS92" s="104">
        <f t="shared" si="58"/>
        <v>0</v>
      </c>
      <c r="AT92" s="104">
        <f t="shared" si="58"/>
        <v>1000</v>
      </c>
      <c r="AU92" s="104">
        <f t="shared" si="58"/>
        <v>0</v>
      </c>
      <c r="AV92" s="104">
        <f t="shared" si="58"/>
        <v>0</v>
      </c>
      <c r="AW92" s="104">
        <f t="shared" si="58"/>
        <v>1000</v>
      </c>
      <c r="AX92" s="104">
        <f t="shared" si="58"/>
        <v>1000</v>
      </c>
      <c r="AY92" s="104">
        <f t="shared" si="58"/>
        <v>0</v>
      </c>
      <c r="AZ92" s="104">
        <f t="shared" si="58"/>
        <v>0</v>
      </c>
      <c r="BA92" s="104">
        <f t="shared" si="58"/>
        <v>992.01599999999996</v>
      </c>
      <c r="BB92" s="104">
        <f t="shared" si="58"/>
        <v>0</v>
      </c>
      <c r="BC92" s="104">
        <f t="shared" si="58"/>
        <v>0</v>
      </c>
      <c r="BD92" s="104">
        <f t="shared" si="58"/>
        <v>992.01599999999996</v>
      </c>
      <c r="BE92" s="104">
        <f t="shared" si="58"/>
        <v>992.01599999999996</v>
      </c>
      <c r="BF92" s="104">
        <f t="shared" si="58"/>
        <v>0</v>
      </c>
      <c r="BG92" s="104">
        <f t="shared" si="58"/>
        <v>0</v>
      </c>
      <c r="BH92" s="104">
        <f t="shared" si="58"/>
        <v>0</v>
      </c>
      <c r="BI92" s="104">
        <f t="shared" si="58"/>
        <v>0</v>
      </c>
      <c r="BJ92" s="104">
        <f t="shared" si="58"/>
        <v>0</v>
      </c>
      <c r="BK92" s="104">
        <f t="shared" si="58"/>
        <v>0</v>
      </c>
      <c r="BL92" s="104">
        <f t="shared" si="58"/>
        <v>0</v>
      </c>
      <c r="BM92" s="104">
        <f t="shared" si="58"/>
        <v>0</v>
      </c>
      <c r="BN92" s="104">
        <f t="shared" si="58"/>
        <v>0</v>
      </c>
      <c r="BO92" s="104">
        <f t="shared" si="58"/>
        <v>0</v>
      </c>
      <c r="BP92" s="104">
        <f t="shared" si="58"/>
        <v>0</v>
      </c>
      <c r="BQ92" s="104">
        <f t="shared" si="58"/>
        <v>0</v>
      </c>
      <c r="BR92" s="104">
        <f t="shared" si="58"/>
        <v>0</v>
      </c>
      <c r="BS92" s="104">
        <f t="shared" si="58"/>
        <v>0</v>
      </c>
      <c r="BT92" s="104">
        <f t="shared" si="58"/>
        <v>0</v>
      </c>
      <c r="BU92" s="104">
        <f t="shared" si="58"/>
        <v>0</v>
      </c>
      <c r="BV92" s="104"/>
      <c r="BW92" s="536"/>
      <c r="BX92" s="101">
        <f t="shared" si="36"/>
        <v>0</v>
      </c>
      <c r="BY92" s="104">
        <f t="shared" ref="BY92:BZ92" si="59">BY93</f>
        <v>1160</v>
      </c>
      <c r="BZ92" s="104">
        <f t="shared" si="59"/>
        <v>2440</v>
      </c>
      <c r="CA92" s="578"/>
      <c r="CB92" s="579"/>
      <c r="CC92" s="579"/>
    </row>
    <row r="93" spans="1:81" ht="32.25" customHeight="1">
      <c r="A93" s="553" t="s">
        <v>45</v>
      </c>
      <c r="B93" s="533" t="s">
        <v>51</v>
      </c>
      <c r="C93" s="533"/>
      <c r="D93" s="102"/>
      <c r="E93" s="533"/>
      <c r="F93" s="533"/>
      <c r="G93" s="102"/>
      <c r="H93" s="533"/>
      <c r="I93" s="533"/>
      <c r="J93" s="533"/>
      <c r="K93" s="533"/>
      <c r="L93" s="533"/>
      <c r="M93" s="102">
        <f>SUM(M94:M98)</f>
        <v>6160</v>
      </c>
      <c r="N93" s="102">
        <f t="shared" ref="N93:BU93" si="60">SUM(N94:N98)</f>
        <v>0</v>
      </c>
      <c r="O93" s="102">
        <f t="shared" si="60"/>
        <v>0</v>
      </c>
      <c r="P93" s="102">
        <f t="shared" si="60"/>
        <v>6160</v>
      </c>
      <c r="Q93" s="102">
        <f t="shared" si="60"/>
        <v>0</v>
      </c>
      <c r="R93" s="102">
        <f t="shared" si="60"/>
        <v>0</v>
      </c>
      <c r="S93" s="102">
        <f t="shared" si="60"/>
        <v>0</v>
      </c>
      <c r="T93" s="102">
        <f t="shared" si="60"/>
        <v>0</v>
      </c>
      <c r="U93" s="102">
        <f t="shared" si="60"/>
        <v>0</v>
      </c>
      <c r="V93" s="102">
        <f t="shared" si="60"/>
        <v>0</v>
      </c>
      <c r="W93" s="102">
        <f t="shared" si="60"/>
        <v>5757.2309999999998</v>
      </c>
      <c r="X93" s="102">
        <f t="shared" si="60"/>
        <v>0</v>
      </c>
      <c r="Y93" s="102">
        <f t="shared" si="60"/>
        <v>0</v>
      </c>
      <c r="Z93" s="102">
        <f t="shared" si="60"/>
        <v>5757.2309999999998</v>
      </c>
      <c r="AA93" s="102">
        <f t="shared" si="60"/>
        <v>3600</v>
      </c>
      <c r="AB93" s="102">
        <f t="shared" si="60"/>
        <v>1994.4559999999999</v>
      </c>
      <c r="AC93" s="102">
        <f t="shared" si="60"/>
        <v>162.77500000000001</v>
      </c>
      <c r="AD93" s="102">
        <f t="shared" si="60"/>
        <v>4757.2309999999998</v>
      </c>
      <c r="AE93" s="102">
        <f t="shared" si="60"/>
        <v>0</v>
      </c>
      <c r="AF93" s="102">
        <f t="shared" si="60"/>
        <v>0</v>
      </c>
      <c r="AG93" s="102">
        <f t="shared" si="60"/>
        <v>4757.2309999999998</v>
      </c>
      <c r="AH93" s="102">
        <f t="shared" si="60"/>
        <v>2154.4560000000001</v>
      </c>
      <c r="AI93" s="102">
        <f t="shared" si="60"/>
        <v>2440</v>
      </c>
      <c r="AJ93" s="102">
        <f t="shared" si="60"/>
        <v>0</v>
      </c>
      <c r="AK93" s="102">
        <f t="shared" si="60"/>
        <v>162.77500000000001</v>
      </c>
      <c r="AL93" s="102">
        <f t="shared" si="60"/>
        <v>4575.2479999999996</v>
      </c>
      <c r="AM93" s="102">
        <f t="shared" si="60"/>
        <v>0</v>
      </c>
      <c r="AN93" s="102">
        <f t="shared" si="60"/>
        <v>0</v>
      </c>
      <c r="AO93" s="102">
        <f t="shared" si="60"/>
        <v>4575.2479999999996</v>
      </c>
      <c r="AP93" s="102">
        <f t="shared" si="60"/>
        <v>2135.248</v>
      </c>
      <c r="AQ93" s="102">
        <f t="shared" si="60"/>
        <v>2440</v>
      </c>
      <c r="AR93" s="102">
        <f t="shared" si="60"/>
        <v>0</v>
      </c>
      <c r="AS93" s="102">
        <f t="shared" si="60"/>
        <v>0</v>
      </c>
      <c r="AT93" s="102">
        <f t="shared" si="60"/>
        <v>1000</v>
      </c>
      <c r="AU93" s="102">
        <f t="shared" si="60"/>
        <v>0</v>
      </c>
      <c r="AV93" s="102">
        <f t="shared" si="60"/>
        <v>0</v>
      </c>
      <c r="AW93" s="102">
        <f t="shared" si="60"/>
        <v>1000</v>
      </c>
      <c r="AX93" s="102">
        <f t="shared" si="60"/>
        <v>1000</v>
      </c>
      <c r="AY93" s="102">
        <f t="shared" si="60"/>
        <v>0</v>
      </c>
      <c r="AZ93" s="102">
        <f t="shared" si="60"/>
        <v>0</v>
      </c>
      <c r="BA93" s="102">
        <f t="shared" si="60"/>
        <v>992.01599999999996</v>
      </c>
      <c r="BB93" s="102">
        <f t="shared" si="60"/>
        <v>0</v>
      </c>
      <c r="BC93" s="102">
        <f t="shared" si="60"/>
        <v>0</v>
      </c>
      <c r="BD93" s="102">
        <f t="shared" si="60"/>
        <v>992.01599999999996</v>
      </c>
      <c r="BE93" s="102">
        <f t="shared" si="60"/>
        <v>992.01599999999996</v>
      </c>
      <c r="BF93" s="102">
        <f t="shared" si="60"/>
        <v>0</v>
      </c>
      <c r="BG93" s="102">
        <f t="shared" si="60"/>
        <v>0</v>
      </c>
      <c r="BH93" s="102">
        <f t="shared" si="60"/>
        <v>0</v>
      </c>
      <c r="BI93" s="102">
        <f t="shared" si="60"/>
        <v>0</v>
      </c>
      <c r="BJ93" s="102">
        <f t="shared" si="60"/>
        <v>0</v>
      </c>
      <c r="BK93" s="102">
        <f t="shared" si="60"/>
        <v>0</v>
      </c>
      <c r="BL93" s="102">
        <f t="shared" si="60"/>
        <v>0</v>
      </c>
      <c r="BM93" s="102">
        <f t="shared" si="60"/>
        <v>0</v>
      </c>
      <c r="BN93" s="102">
        <f t="shared" si="60"/>
        <v>0</v>
      </c>
      <c r="BO93" s="102">
        <f t="shared" si="60"/>
        <v>0</v>
      </c>
      <c r="BP93" s="102">
        <f t="shared" si="60"/>
        <v>0</v>
      </c>
      <c r="BQ93" s="102">
        <f t="shared" si="60"/>
        <v>0</v>
      </c>
      <c r="BR93" s="102">
        <f t="shared" si="60"/>
        <v>0</v>
      </c>
      <c r="BS93" s="102">
        <f t="shared" si="60"/>
        <v>0</v>
      </c>
      <c r="BT93" s="102">
        <f t="shared" si="60"/>
        <v>0</v>
      </c>
      <c r="BU93" s="533">
        <f t="shared" si="60"/>
        <v>0</v>
      </c>
      <c r="BV93" s="533"/>
      <c r="BW93" s="533"/>
      <c r="BX93" s="101">
        <f t="shared" si="36"/>
        <v>0</v>
      </c>
      <c r="BY93" s="102">
        <f t="shared" ref="BY93:BZ93" si="61">SUM(BY94:BY98)</f>
        <v>1160</v>
      </c>
      <c r="BZ93" s="102">
        <f t="shared" si="61"/>
        <v>2440</v>
      </c>
      <c r="CA93" s="578"/>
      <c r="CB93" s="579"/>
      <c r="CC93" s="579"/>
    </row>
    <row r="94" spans="1:81" ht="46.15" outlineLevel="1">
      <c r="A94" s="535">
        <v>1</v>
      </c>
      <c r="B94" s="539" t="s">
        <v>282</v>
      </c>
      <c r="C94" s="534" t="s">
        <v>99</v>
      </c>
      <c r="D94" s="70" t="s">
        <v>281</v>
      </c>
      <c r="E94" s="535" t="s">
        <v>49</v>
      </c>
      <c r="F94" s="535" t="s">
        <v>105</v>
      </c>
      <c r="G94" s="70" t="s">
        <v>283</v>
      </c>
      <c r="H94" s="532"/>
      <c r="I94" s="535" t="s">
        <v>84</v>
      </c>
      <c r="J94" s="535">
        <v>2024</v>
      </c>
      <c r="K94" s="532"/>
      <c r="L94" s="534" t="s">
        <v>284</v>
      </c>
      <c r="M94" s="68">
        <f t="shared" ref="M94:M95" si="62">N94+O94+P94</f>
        <v>1000</v>
      </c>
      <c r="N94" s="69"/>
      <c r="O94" s="67"/>
      <c r="P94" s="68">
        <v>1000</v>
      </c>
      <c r="Q94" s="70" t="s">
        <v>285</v>
      </c>
      <c r="R94" s="70" t="s">
        <v>283</v>
      </c>
      <c r="S94" s="69"/>
      <c r="T94" s="67"/>
      <c r="U94" s="67"/>
      <c r="V94" s="69"/>
      <c r="W94" s="70">
        <f t="shared" ref="W94:W98" si="63">SUM(AA94+AB94+AC94)</f>
        <v>1000</v>
      </c>
      <c r="X94" s="68"/>
      <c r="Y94" s="69"/>
      <c r="Z94" s="70">
        <f t="shared" ref="Z94" si="64">SUM(AA94:AC94)</f>
        <v>1000</v>
      </c>
      <c r="AA94" s="70">
        <v>1000</v>
      </c>
      <c r="AB94" s="67"/>
      <c r="AC94" s="70"/>
      <c r="AD94" s="71">
        <f t="shared" ref="AD94:AD98" si="65">SUM(AE94:AG94)</f>
        <v>0</v>
      </c>
      <c r="AE94" s="68"/>
      <c r="AF94" s="69"/>
      <c r="AG94" s="68">
        <f t="shared" ref="AG94:AG95" si="66">SUM(AH94:AK94)</f>
        <v>0</v>
      </c>
      <c r="AH94" s="72"/>
      <c r="AI94" s="71"/>
      <c r="AJ94" s="67"/>
      <c r="AK94" s="67"/>
      <c r="AL94" s="71">
        <f t="shared" ref="AL94:AL97" si="67">SUM(AM94:AO94)</f>
        <v>0</v>
      </c>
      <c r="AM94" s="68"/>
      <c r="AN94" s="67"/>
      <c r="AO94" s="71"/>
      <c r="AP94" s="71"/>
      <c r="AQ94" s="71"/>
      <c r="AR94" s="67"/>
      <c r="AS94" s="67"/>
      <c r="AT94" s="70">
        <f t="shared" ref="AT94:AT98" si="68">SUM(AX94+AY94+AZ94)</f>
        <v>1000</v>
      </c>
      <c r="AU94" s="69"/>
      <c r="AV94" s="69"/>
      <c r="AW94" s="70">
        <f t="shared" ref="AW94" si="69">SUM(AX94:AZ94)</f>
        <v>1000</v>
      </c>
      <c r="AX94" s="70">
        <v>1000</v>
      </c>
      <c r="AY94" s="72"/>
      <c r="AZ94" s="67"/>
      <c r="BA94" s="68">
        <f t="shared" ref="BA94" si="70">SUM(BB94:BD94)</f>
        <v>992.01599999999996</v>
      </c>
      <c r="BB94" s="68"/>
      <c r="BC94" s="69"/>
      <c r="BD94" s="71">
        <f t="shared" ref="BD94" si="71">SUM(BE94:BH94)</f>
        <v>992.01599999999996</v>
      </c>
      <c r="BE94" s="70">
        <v>992.01599999999996</v>
      </c>
      <c r="BF94" s="67"/>
      <c r="BG94" s="67"/>
      <c r="BH94" s="67"/>
      <c r="BI94" s="67"/>
      <c r="BJ94" s="67"/>
      <c r="BK94" s="67"/>
      <c r="BL94" s="67"/>
      <c r="BM94" s="67"/>
      <c r="BN94" s="67"/>
      <c r="BO94" s="67"/>
      <c r="BP94" s="67"/>
      <c r="BQ94" s="67"/>
      <c r="BR94" s="67"/>
      <c r="BS94" s="67"/>
      <c r="BT94" s="67"/>
      <c r="BU94" s="67"/>
      <c r="BV94" s="67"/>
      <c r="BW94" s="541" t="s">
        <v>108</v>
      </c>
      <c r="BX94" s="101">
        <f t="shared" si="36"/>
        <v>0</v>
      </c>
      <c r="BY94" s="6">
        <v>1000</v>
      </c>
      <c r="BZ94" s="6"/>
      <c r="CA94" s="578"/>
      <c r="CB94" s="9">
        <v>1000</v>
      </c>
      <c r="CC94" s="385"/>
    </row>
    <row r="95" spans="1:81" ht="46.15" outlineLevel="1">
      <c r="A95" s="535">
        <v>2</v>
      </c>
      <c r="B95" s="539" t="s">
        <v>286</v>
      </c>
      <c r="C95" s="594" t="str">
        <f>C91</f>
        <v>Ban QLDA - ĐTXD huyện Đăk Glei</v>
      </c>
      <c r="D95" s="70" t="s">
        <v>281</v>
      </c>
      <c r="E95" s="535" t="s">
        <v>49</v>
      </c>
      <c r="F95" s="535" t="s">
        <v>105</v>
      </c>
      <c r="G95" s="70" t="s">
        <v>283</v>
      </c>
      <c r="H95" s="532"/>
      <c r="I95" s="535" t="s">
        <v>52</v>
      </c>
      <c r="J95" s="535">
        <v>2023</v>
      </c>
      <c r="K95" s="585"/>
      <c r="L95" s="535" t="s">
        <v>287</v>
      </c>
      <c r="M95" s="68">
        <f t="shared" si="62"/>
        <v>0</v>
      </c>
      <c r="N95" s="69"/>
      <c r="O95" s="67"/>
      <c r="P95" s="68">
        <f>SUM(Q95:S95)</f>
        <v>0</v>
      </c>
      <c r="Q95" s="70" t="s">
        <v>288</v>
      </c>
      <c r="R95" s="70" t="s">
        <v>283</v>
      </c>
      <c r="S95" s="71"/>
      <c r="T95" s="67"/>
      <c r="U95" s="67"/>
      <c r="V95" s="71"/>
      <c r="W95" s="70">
        <f t="shared" si="63"/>
        <v>2440</v>
      </c>
      <c r="X95" s="68"/>
      <c r="Y95" s="69"/>
      <c r="Z95" s="70">
        <f>SUM(AA95:AC95)</f>
        <v>2440</v>
      </c>
      <c r="AA95" s="70">
        <v>2440</v>
      </c>
      <c r="AB95" s="67"/>
      <c r="AC95" s="71"/>
      <c r="AD95" s="68">
        <f t="shared" si="65"/>
        <v>2440</v>
      </c>
      <c r="AE95" s="71"/>
      <c r="AF95" s="69"/>
      <c r="AG95" s="71">
        <f t="shared" si="66"/>
        <v>2440</v>
      </c>
      <c r="AH95" s="70"/>
      <c r="AI95" s="71">
        <v>2440</v>
      </c>
      <c r="AJ95" s="71"/>
      <c r="AK95" s="71"/>
      <c r="AL95" s="71">
        <f t="shared" si="67"/>
        <v>2440</v>
      </c>
      <c r="AM95" s="68"/>
      <c r="AN95" s="67"/>
      <c r="AO95" s="71">
        <f t="shared" ref="AO95" si="72">SUM(AP95:AS95)</f>
        <v>2440</v>
      </c>
      <c r="AP95" s="71"/>
      <c r="AQ95" s="71">
        <v>2440</v>
      </c>
      <c r="AR95" s="67"/>
      <c r="AS95" s="67"/>
      <c r="AT95" s="70">
        <f t="shared" si="68"/>
        <v>0</v>
      </c>
      <c r="AU95" s="71"/>
      <c r="AV95" s="71"/>
      <c r="AW95" s="70">
        <f>SUM(AX95:AZ95)</f>
        <v>0</v>
      </c>
      <c r="AX95" s="71"/>
      <c r="AY95" s="67"/>
      <c r="AZ95" s="67"/>
      <c r="BA95" s="68"/>
      <c r="BB95" s="68"/>
      <c r="BC95" s="69"/>
      <c r="BD95" s="69"/>
      <c r="BE95" s="69"/>
      <c r="BF95" s="67"/>
      <c r="BG95" s="67"/>
      <c r="BH95" s="67"/>
      <c r="BI95" s="67"/>
      <c r="BJ95" s="67"/>
      <c r="BK95" s="67"/>
      <c r="BL95" s="67"/>
      <c r="BM95" s="67"/>
      <c r="BN95" s="67"/>
      <c r="BO95" s="67"/>
      <c r="BP95" s="67"/>
      <c r="BQ95" s="67"/>
      <c r="BR95" s="67"/>
      <c r="BS95" s="67"/>
      <c r="BT95" s="67"/>
      <c r="BU95" s="67"/>
      <c r="BV95" s="67"/>
      <c r="BW95" s="541" t="s">
        <v>108</v>
      </c>
      <c r="BX95" s="101">
        <f t="shared" si="36"/>
        <v>0</v>
      </c>
      <c r="BY95" s="12"/>
      <c r="BZ95" s="11">
        <v>2440</v>
      </c>
      <c r="CA95" s="578"/>
      <c r="CB95" s="10"/>
      <c r="CC95" s="385"/>
    </row>
    <row r="96" spans="1:81" ht="57" customHeight="1" outlineLevel="1">
      <c r="A96" s="535">
        <v>3</v>
      </c>
      <c r="B96" s="539" t="s">
        <v>289</v>
      </c>
      <c r="C96" s="535" t="s">
        <v>290</v>
      </c>
      <c r="D96" s="70" t="s">
        <v>281</v>
      </c>
      <c r="E96" s="535" t="s">
        <v>49</v>
      </c>
      <c r="F96" s="535"/>
      <c r="G96" s="70" t="s">
        <v>283</v>
      </c>
      <c r="H96" s="535">
        <v>8067262</v>
      </c>
      <c r="I96" s="535" t="s">
        <v>56</v>
      </c>
      <c r="J96" s="535">
        <v>2024</v>
      </c>
      <c r="K96" s="585"/>
      <c r="L96" s="535" t="s">
        <v>291</v>
      </c>
      <c r="M96" s="68">
        <f t="shared" ref="M96" si="73">SUM(N96:P96)</f>
        <v>160</v>
      </c>
      <c r="N96" s="69"/>
      <c r="O96" s="68"/>
      <c r="P96" s="68">
        <v>160</v>
      </c>
      <c r="Q96" s="67"/>
      <c r="R96" s="70" t="s">
        <v>283</v>
      </c>
      <c r="S96" s="71"/>
      <c r="T96" s="67"/>
      <c r="U96" s="67"/>
      <c r="V96" s="71"/>
      <c r="W96" s="70">
        <f t="shared" si="63"/>
        <v>160</v>
      </c>
      <c r="X96" s="71"/>
      <c r="Y96" s="68"/>
      <c r="Z96" s="70">
        <f>SUM(AA96:AC96)</f>
        <v>160</v>
      </c>
      <c r="AA96" s="70">
        <v>160</v>
      </c>
      <c r="AB96" s="67"/>
      <c r="AC96" s="71"/>
      <c r="AD96" s="68">
        <f t="shared" si="65"/>
        <v>160</v>
      </c>
      <c r="AE96" s="71"/>
      <c r="AF96" s="68"/>
      <c r="AG96" s="71">
        <f t="shared" ref="AG96" si="74">AH96</f>
        <v>160</v>
      </c>
      <c r="AH96" s="70">
        <v>160</v>
      </c>
      <c r="AI96" s="67"/>
      <c r="AJ96" s="71"/>
      <c r="AK96" s="71"/>
      <c r="AL96" s="68">
        <f t="shared" si="67"/>
        <v>140.792</v>
      </c>
      <c r="AM96" s="68"/>
      <c r="AN96" s="108"/>
      <c r="AO96" s="71">
        <f t="shared" ref="AO96" si="75">AP96</f>
        <v>140.792</v>
      </c>
      <c r="AP96" s="71">
        <v>140.792</v>
      </c>
      <c r="AQ96" s="71"/>
      <c r="AR96" s="67"/>
      <c r="AS96" s="67"/>
      <c r="AT96" s="70">
        <f t="shared" si="68"/>
        <v>0</v>
      </c>
      <c r="AU96" s="72"/>
      <c r="AV96" s="72"/>
      <c r="AW96" s="70">
        <f>SUM(AX96:AZ96)</f>
        <v>0</v>
      </c>
      <c r="AX96" s="71"/>
      <c r="AY96" s="67"/>
      <c r="AZ96" s="67"/>
      <c r="BA96" s="72"/>
      <c r="BB96" s="72"/>
      <c r="BC96" s="72"/>
      <c r="BD96" s="69"/>
      <c r="BE96" s="69"/>
      <c r="BF96" s="67"/>
      <c r="BG96" s="67"/>
      <c r="BH96" s="67"/>
      <c r="BI96" s="67"/>
      <c r="BJ96" s="67"/>
      <c r="BK96" s="67"/>
      <c r="BL96" s="67"/>
      <c r="BM96" s="67"/>
      <c r="BN96" s="67"/>
      <c r="BO96" s="67"/>
      <c r="BP96" s="67"/>
      <c r="BQ96" s="67"/>
      <c r="BR96" s="67"/>
      <c r="BS96" s="67"/>
      <c r="BT96" s="67"/>
      <c r="BU96" s="67"/>
      <c r="BV96" s="67"/>
      <c r="BW96" s="541"/>
      <c r="BX96" s="101">
        <f t="shared" si="36"/>
        <v>0</v>
      </c>
      <c r="BY96" s="6">
        <v>160</v>
      </c>
      <c r="BZ96" s="11"/>
      <c r="CA96" s="578"/>
      <c r="CB96" s="10"/>
      <c r="CC96" s="385"/>
    </row>
    <row r="97" spans="1:81" ht="54.75" customHeight="1" outlineLevel="1">
      <c r="A97" s="535">
        <v>4</v>
      </c>
      <c r="B97" s="580" t="s">
        <v>292</v>
      </c>
      <c r="C97" s="534" t="s">
        <v>99</v>
      </c>
      <c r="D97" s="70" t="s">
        <v>281</v>
      </c>
      <c r="E97" s="535" t="s">
        <v>49</v>
      </c>
      <c r="F97" s="589" t="s">
        <v>48</v>
      </c>
      <c r="G97" s="70" t="s">
        <v>283</v>
      </c>
      <c r="H97" s="580">
        <v>7880886</v>
      </c>
      <c r="I97" s="535">
        <v>2021</v>
      </c>
      <c r="J97" s="535">
        <v>2021</v>
      </c>
      <c r="K97" s="532"/>
      <c r="L97" s="534" t="s">
        <v>293</v>
      </c>
      <c r="M97" s="68">
        <v>2500</v>
      </c>
      <c r="N97" s="74"/>
      <c r="O97" s="67"/>
      <c r="P97" s="68">
        <v>2500</v>
      </c>
      <c r="Q97" s="70" t="s">
        <v>294</v>
      </c>
      <c r="R97" s="70" t="s">
        <v>283</v>
      </c>
      <c r="S97" s="74"/>
      <c r="T97" s="67"/>
      <c r="U97" s="67"/>
      <c r="V97" s="74"/>
      <c r="W97" s="70">
        <f t="shared" si="63"/>
        <v>1994.4559999999999</v>
      </c>
      <c r="X97" s="74"/>
      <c r="Y97" s="74"/>
      <c r="Z97" s="70">
        <f t="shared" ref="Z97:Z98" si="76">SUM(AA97:AC97)</f>
        <v>1994.4559999999999</v>
      </c>
      <c r="AA97" s="70">
        <v>0</v>
      </c>
      <c r="AB97" s="68">
        <v>1994.4559999999999</v>
      </c>
      <c r="AC97" s="74"/>
      <c r="AD97" s="68">
        <f t="shared" si="65"/>
        <v>1994.4559999999999</v>
      </c>
      <c r="AE97" s="74"/>
      <c r="AF97" s="74"/>
      <c r="AG97" s="68">
        <f t="shared" ref="AG97:AG98" si="77">SUM(AH97:AK97)</f>
        <v>1994.4559999999999</v>
      </c>
      <c r="AH97" s="68">
        <v>1994.4559999999999</v>
      </c>
      <c r="AI97" s="74"/>
      <c r="AJ97" s="68"/>
      <c r="AK97" s="74"/>
      <c r="AL97" s="68">
        <f t="shared" si="67"/>
        <v>1994.4559999999999</v>
      </c>
      <c r="AM97" s="74"/>
      <c r="AN97" s="67"/>
      <c r="AO97" s="68">
        <f t="shared" ref="AO97" si="78">SUM(AP97:AS97)</f>
        <v>1994.4559999999999</v>
      </c>
      <c r="AP97" s="68">
        <v>1994.4559999999999</v>
      </c>
      <c r="AQ97" s="67"/>
      <c r="AR97" s="68"/>
      <c r="AS97" s="67"/>
      <c r="AT97" s="70">
        <f t="shared" si="68"/>
        <v>0</v>
      </c>
      <c r="AU97" s="74"/>
      <c r="AV97" s="74"/>
      <c r="AW97" s="70">
        <f t="shared" ref="AW97:AW98" si="79">SUM(AX97:AZ97)</f>
        <v>0</v>
      </c>
      <c r="AX97" s="74"/>
      <c r="AY97" s="67"/>
      <c r="AZ97" s="67"/>
      <c r="BA97" s="74"/>
      <c r="BB97" s="74"/>
      <c r="BC97" s="74"/>
      <c r="BD97" s="74"/>
      <c r="BE97" s="74"/>
      <c r="BF97" s="67"/>
      <c r="BG97" s="67"/>
      <c r="BH97" s="67"/>
      <c r="BI97" s="67"/>
      <c r="BJ97" s="67"/>
      <c r="BK97" s="67"/>
      <c r="BL97" s="67"/>
      <c r="BM97" s="67"/>
      <c r="BN97" s="67"/>
      <c r="BO97" s="67"/>
      <c r="BP97" s="67"/>
      <c r="BQ97" s="67"/>
      <c r="BR97" s="67"/>
      <c r="BS97" s="67"/>
      <c r="BT97" s="67"/>
      <c r="BU97" s="67"/>
      <c r="BV97" s="67"/>
      <c r="BW97" s="541" t="s">
        <v>108</v>
      </c>
      <c r="BX97" s="101">
        <f t="shared" si="36"/>
        <v>0</v>
      </c>
      <c r="BY97" s="14"/>
      <c r="BZ97" s="16"/>
      <c r="CA97" s="578"/>
      <c r="CB97" s="15"/>
      <c r="CC97" s="385"/>
    </row>
    <row r="98" spans="1:81" ht="54.75" customHeight="1" outlineLevel="1">
      <c r="A98" s="535">
        <v>5</v>
      </c>
      <c r="B98" s="590" t="s">
        <v>295</v>
      </c>
      <c r="C98" s="534" t="s">
        <v>99</v>
      </c>
      <c r="D98" s="70" t="s">
        <v>281</v>
      </c>
      <c r="E98" s="535" t="s">
        <v>49</v>
      </c>
      <c r="F98" s="535" t="s">
        <v>48</v>
      </c>
      <c r="G98" s="70" t="s">
        <v>296</v>
      </c>
      <c r="H98" s="580">
        <v>7880886</v>
      </c>
      <c r="I98" s="535" t="s">
        <v>297</v>
      </c>
      <c r="J98" s="535"/>
      <c r="K98" s="532"/>
      <c r="L98" s="585" t="s">
        <v>298</v>
      </c>
      <c r="M98" s="68">
        <v>2500</v>
      </c>
      <c r="N98" s="67"/>
      <c r="O98" s="67"/>
      <c r="P98" s="70">
        <v>2500</v>
      </c>
      <c r="Q98" s="70" t="s">
        <v>294</v>
      </c>
      <c r="R98" s="70" t="s">
        <v>299</v>
      </c>
      <c r="S98" s="67"/>
      <c r="T98" s="67"/>
      <c r="U98" s="67"/>
      <c r="V98" s="67"/>
      <c r="W98" s="70">
        <f t="shared" si="63"/>
        <v>162.77500000000001</v>
      </c>
      <c r="X98" s="70"/>
      <c r="Y98" s="70"/>
      <c r="Z98" s="70">
        <f t="shared" si="76"/>
        <v>162.77500000000001</v>
      </c>
      <c r="AA98" s="70">
        <v>0</v>
      </c>
      <c r="AB98" s="70"/>
      <c r="AC98" s="110">
        <v>162.77500000000001</v>
      </c>
      <c r="AD98" s="70">
        <f t="shared" si="65"/>
        <v>162.77500000000001</v>
      </c>
      <c r="AE98" s="70"/>
      <c r="AF98" s="70"/>
      <c r="AG98" s="70">
        <f t="shared" si="77"/>
        <v>162.77500000000001</v>
      </c>
      <c r="AH98" s="72"/>
      <c r="AI98" s="70"/>
      <c r="AJ98" s="70"/>
      <c r="AK98" s="110">
        <v>162.77500000000001</v>
      </c>
      <c r="AL98" s="70"/>
      <c r="AM98" s="70"/>
      <c r="AN98" s="70"/>
      <c r="AO98" s="70"/>
      <c r="AP98" s="70"/>
      <c r="AQ98" s="70"/>
      <c r="AR98" s="70"/>
      <c r="AS98" s="70"/>
      <c r="AT98" s="70">
        <f t="shared" si="68"/>
        <v>0</v>
      </c>
      <c r="AU98" s="70"/>
      <c r="AV98" s="70"/>
      <c r="AW98" s="70">
        <f t="shared" si="79"/>
        <v>0</v>
      </c>
      <c r="AX98" s="70"/>
      <c r="AY98" s="70"/>
      <c r="AZ98" s="70"/>
      <c r="BA98" s="70"/>
      <c r="BB98" s="70"/>
      <c r="BC98" s="70"/>
      <c r="BD98" s="70"/>
      <c r="BE98" s="70"/>
      <c r="BF98" s="70"/>
      <c r="BG98" s="70"/>
      <c r="BH98" s="70"/>
      <c r="BI98" s="67"/>
      <c r="BJ98" s="67"/>
      <c r="BK98" s="67"/>
      <c r="BL98" s="67"/>
      <c r="BM98" s="67"/>
      <c r="BN98" s="67"/>
      <c r="BO98" s="67"/>
      <c r="BP98" s="67"/>
      <c r="BQ98" s="67"/>
      <c r="BR98" s="67"/>
      <c r="BS98" s="67"/>
      <c r="BT98" s="67"/>
      <c r="BU98" s="67"/>
      <c r="BV98" s="67"/>
      <c r="BW98" s="541" t="s">
        <v>108</v>
      </c>
      <c r="BX98" s="101">
        <f t="shared" si="36"/>
        <v>0</v>
      </c>
      <c r="BY98" s="6"/>
      <c r="BZ98" s="6"/>
      <c r="CA98" s="583"/>
      <c r="CB98" s="9"/>
      <c r="CC98" s="9"/>
    </row>
    <row r="99" spans="1:81" ht="35.25" customHeight="1">
      <c r="A99" s="536" t="s">
        <v>3586</v>
      </c>
      <c r="B99" s="536" t="s">
        <v>3636</v>
      </c>
      <c r="C99" s="536"/>
      <c r="D99" s="104"/>
      <c r="E99" s="536"/>
      <c r="F99" s="536"/>
      <c r="G99" s="104"/>
      <c r="H99" s="536"/>
      <c r="I99" s="536"/>
      <c r="J99" s="536"/>
      <c r="K99" s="536"/>
      <c r="L99" s="536"/>
      <c r="M99" s="104"/>
      <c r="N99" s="104"/>
      <c r="O99" s="104"/>
      <c r="P99" s="104"/>
      <c r="Q99" s="104"/>
      <c r="R99" s="104"/>
      <c r="S99" s="104"/>
      <c r="T99" s="104"/>
      <c r="U99" s="104"/>
      <c r="V99" s="104"/>
      <c r="W99" s="104">
        <v>3500</v>
      </c>
      <c r="X99" s="104"/>
      <c r="Y99" s="104"/>
      <c r="Z99" s="104">
        <v>3500</v>
      </c>
      <c r="AA99" s="104"/>
      <c r="AB99" s="104">
        <v>3500</v>
      </c>
      <c r="AC99" s="104"/>
      <c r="AD99" s="104"/>
      <c r="AE99" s="104"/>
      <c r="AF99" s="104"/>
      <c r="AG99" s="104"/>
      <c r="AH99" s="104"/>
      <c r="AI99" s="104"/>
      <c r="AJ99" s="104"/>
      <c r="AK99" s="104"/>
      <c r="AL99" s="104"/>
      <c r="AM99" s="104"/>
      <c r="AN99" s="104"/>
      <c r="AO99" s="104"/>
      <c r="AP99" s="104"/>
      <c r="AQ99" s="104"/>
      <c r="AR99" s="104"/>
      <c r="AS99" s="104"/>
      <c r="AT99" s="104">
        <v>2170</v>
      </c>
      <c r="AU99" s="104"/>
      <c r="AV99" s="104"/>
      <c r="AW99" s="104">
        <v>2170</v>
      </c>
      <c r="AX99" s="104"/>
      <c r="AY99" s="104">
        <v>2170</v>
      </c>
      <c r="AZ99" s="104"/>
      <c r="BA99" s="104"/>
      <c r="BB99" s="104"/>
      <c r="BC99" s="104"/>
      <c r="BD99" s="104"/>
      <c r="BE99" s="104"/>
      <c r="BF99" s="104"/>
      <c r="BG99" s="104"/>
      <c r="BH99" s="104"/>
      <c r="BI99" s="104"/>
      <c r="BJ99" s="104"/>
      <c r="BK99" s="104"/>
      <c r="BL99" s="104"/>
      <c r="BM99" s="104"/>
      <c r="BN99" s="104"/>
      <c r="BO99" s="104"/>
      <c r="BP99" s="104"/>
      <c r="BQ99" s="104"/>
      <c r="BR99" s="104"/>
      <c r="BS99" s="104"/>
      <c r="BT99" s="104"/>
      <c r="BU99" s="104"/>
      <c r="BV99" s="104"/>
      <c r="BW99" s="536"/>
      <c r="BX99" s="101">
        <v>0</v>
      </c>
      <c r="BY99" s="6"/>
      <c r="BZ99" s="6"/>
      <c r="CA99" s="583"/>
      <c r="CB99" s="9"/>
      <c r="CC99" s="9"/>
    </row>
    <row r="100" spans="1:81" ht="67.5" customHeight="1" collapsed="1">
      <c r="A100" s="532" t="s">
        <v>49</v>
      </c>
      <c r="B100" s="532" t="s">
        <v>3642</v>
      </c>
      <c r="C100" s="532"/>
      <c r="D100" s="67"/>
      <c r="E100" s="532"/>
      <c r="F100" s="557"/>
      <c r="G100" s="67"/>
      <c r="H100" s="532"/>
      <c r="I100" s="532"/>
      <c r="J100" s="532"/>
      <c r="K100" s="532"/>
      <c r="L100" s="532"/>
      <c r="M100" s="67"/>
      <c r="N100" s="67"/>
      <c r="O100" s="67"/>
      <c r="P100" s="67"/>
      <c r="Q100" s="67"/>
      <c r="R100" s="67"/>
      <c r="S100" s="67"/>
      <c r="T100" s="67"/>
      <c r="U100" s="67"/>
      <c r="V100" s="67"/>
      <c r="W100" s="67">
        <v>2389.739975</v>
      </c>
      <c r="X100" s="67">
        <v>0</v>
      </c>
      <c r="Y100" s="67">
        <v>0</v>
      </c>
      <c r="Z100" s="67">
        <v>2389.739975</v>
      </c>
      <c r="AA100" s="67">
        <v>252</v>
      </c>
      <c r="AB100" s="67">
        <v>0</v>
      </c>
      <c r="AC100" s="67">
        <v>2137.739975</v>
      </c>
      <c r="AD100" s="67">
        <v>252</v>
      </c>
      <c r="AE100" s="67">
        <v>0</v>
      </c>
      <c r="AF100" s="67">
        <v>0</v>
      </c>
      <c r="AG100" s="67">
        <v>252</v>
      </c>
      <c r="AH100" s="67">
        <v>252</v>
      </c>
      <c r="AI100" s="67">
        <v>0</v>
      </c>
      <c r="AJ100" s="67">
        <v>0</v>
      </c>
      <c r="AK100" s="67">
        <v>0</v>
      </c>
      <c r="AL100" s="67">
        <v>252</v>
      </c>
      <c r="AM100" s="67">
        <v>0</v>
      </c>
      <c r="AN100" s="67">
        <v>0</v>
      </c>
      <c r="AO100" s="67">
        <v>252</v>
      </c>
      <c r="AP100" s="67">
        <v>252</v>
      </c>
      <c r="AQ100" s="67">
        <v>0</v>
      </c>
      <c r="AR100" s="67">
        <v>0</v>
      </c>
      <c r="AS100" s="67">
        <v>0</v>
      </c>
      <c r="AT100" s="67">
        <v>0</v>
      </c>
      <c r="AU100" s="67">
        <v>0</v>
      </c>
      <c r="AV100" s="67">
        <v>0</v>
      </c>
      <c r="AW100" s="67">
        <v>0</v>
      </c>
      <c r="AX100" s="67">
        <v>0</v>
      </c>
      <c r="AY100" s="67">
        <v>0</v>
      </c>
      <c r="AZ100" s="67">
        <v>0</v>
      </c>
      <c r="BA100" s="67">
        <v>0</v>
      </c>
      <c r="BB100" s="67">
        <v>0</v>
      </c>
      <c r="BC100" s="67">
        <v>0</v>
      </c>
      <c r="BD100" s="67">
        <v>0</v>
      </c>
      <c r="BE100" s="67">
        <v>0</v>
      </c>
      <c r="BF100" s="67">
        <v>0</v>
      </c>
      <c r="BG100" s="67">
        <v>0</v>
      </c>
      <c r="BH100" s="67">
        <v>0</v>
      </c>
      <c r="BI100" s="67">
        <v>0</v>
      </c>
      <c r="BJ100" s="67">
        <v>0</v>
      </c>
      <c r="BK100" s="67">
        <v>0</v>
      </c>
      <c r="BL100" s="67">
        <v>0</v>
      </c>
      <c r="BM100" s="67">
        <v>0</v>
      </c>
      <c r="BN100" s="67">
        <v>0</v>
      </c>
      <c r="BO100" s="67">
        <v>0</v>
      </c>
      <c r="BP100" s="67">
        <v>0</v>
      </c>
      <c r="BQ100" s="67">
        <v>0</v>
      </c>
      <c r="BR100" s="67">
        <v>0</v>
      </c>
      <c r="BS100" s="67">
        <v>0</v>
      </c>
      <c r="BT100" s="67">
        <v>0</v>
      </c>
      <c r="BU100" s="67">
        <v>0</v>
      </c>
      <c r="BV100" s="67"/>
      <c r="BW100" s="543" t="s">
        <v>519</v>
      </c>
      <c r="BX100" s="101"/>
      <c r="BY100" s="6"/>
      <c r="BZ100" s="6"/>
      <c r="CA100" s="578"/>
      <c r="CB100" s="9"/>
      <c r="CC100" s="385"/>
    </row>
    <row r="101" spans="1:81" ht="30" customHeight="1">
      <c r="A101" s="528" t="s">
        <v>62</v>
      </c>
      <c r="B101" s="528" t="s">
        <v>3637</v>
      </c>
      <c r="C101" s="528"/>
      <c r="D101" s="260"/>
      <c r="E101" s="528"/>
      <c r="F101" s="595"/>
      <c r="G101" s="260"/>
      <c r="H101" s="528"/>
      <c r="I101" s="528"/>
      <c r="J101" s="528"/>
      <c r="K101" s="528"/>
      <c r="L101" s="528"/>
      <c r="M101" s="260">
        <f>M102</f>
        <v>0</v>
      </c>
      <c r="N101" s="260">
        <f t="shared" ref="N101:BU101" si="80">N102</f>
        <v>0</v>
      </c>
      <c r="O101" s="260">
        <f t="shared" si="80"/>
        <v>0</v>
      </c>
      <c r="P101" s="260">
        <f t="shared" si="80"/>
        <v>0</v>
      </c>
      <c r="Q101" s="260">
        <f t="shared" si="80"/>
        <v>0</v>
      </c>
      <c r="R101" s="260">
        <f t="shared" si="80"/>
        <v>0</v>
      </c>
      <c r="S101" s="260">
        <f t="shared" si="80"/>
        <v>0</v>
      </c>
      <c r="T101" s="260">
        <f t="shared" si="80"/>
        <v>0</v>
      </c>
      <c r="U101" s="260">
        <f t="shared" si="80"/>
        <v>0</v>
      </c>
      <c r="V101" s="260">
        <f t="shared" si="80"/>
        <v>0</v>
      </c>
      <c r="W101" s="260">
        <f t="shared" si="80"/>
        <v>100</v>
      </c>
      <c r="X101" s="260">
        <f t="shared" si="80"/>
        <v>0</v>
      </c>
      <c r="Y101" s="260">
        <f t="shared" si="80"/>
        <v>0</v>
      </c>
      <c r="Z101" s="260">
        <f t="shared" si="80"/>
        <v>252</v>
      </c>
      <c r="AA101" s="260">
        <f t="shared" si="80"/>
        <v>100</v>
      </c>
      <c r="AB101" s="260">
        <f t="shared" si="80"/>
        <v>0</v>
      </c>
      <c r="AC101" s="260">
        <f t="shared" si="80"/>
        <v>0</v>
      </c>
      <c r="AD101" s="260">
        <f t="shared" si="80"/>
        <v>0</v>
      </c>
      <c r="AE101" s="260">
        <f t="shared" si="80"/>
        <v>0</v>
      </c>
      <c r="AF101" s="260">
        <f t="shared" si="80"/>
        <v>0</v>
      </c>
      <c r="AG101" s="260">
        <f t="shared" si="80"/>
        <v>0</v>
      </c>
      <c r="AH101" s="260">
        <f t="shared" si="80"/>
        <v>0</v>
      </c>
      <c r="AI101" s="260">
        <f t="shared" si="80"/>
        <v>0</v>
      </c>
      <c r="AJ101" s="260">
        <f t="shared" si="80"/>
        <v>0</v>
      </c>
      <c r="AK101" s="260">
        <f t="shared" si="80"/>
        <v>0</v>
      </c>
      <c r="AL101" s="260">
        <f t="shared" si="80"/>
        <v>0</v>
      </c>
      <c r="AM101" s="260">
        <f t="shared" si="80"/>
        <v>0</v>
      </c>
      <c r="AN101" s="260">
        <f t="shared" si="80"/>
        <v>0</v>
      </c>
      <c r="AO101" s="260">
        <f t="shared" si="80"/>
        <v>0</v>
      </c>
      <c r="AP101" s="260">
        <f t="shared" si="80"/>
        <v>0</v>
      </c>
      <c r="AQ101" s="260">
        <f t="shared" si="80"/>
        <v>0</v>
      </c>
      <c r="AR101" s="260">
        <f t="shared" si="80"/>
        <v>0</v>
      </c>
      <c r="AS101" s="260">
        <f t="shared" si="80"/>
        <v>0</v>
      </c>
      <c r="AT101" s="260">
        <f t="shared" si="80"/>
        <v>100</v>
      </c>
      <c r="AU101" s="260">
        <f t="shared" si="80"/>
        <v>0</v>
      </c>
      <c r="AV101" s="260">
        <f t="shared" si="80"/>
        <v>0</v>
      </c>
      <c r="AW101" s="260">
        <f t="shared" si="80"/>
        <v>100</v>
      </c>
      <c r="AX101" s="260">
        <f t="shared" si="80"/>
        <v>100</v>
      </c>
      <c r="AY101" s="260">
        <f t="shared" si="80"/>
        <v>0</v>
      </c>
      <c r="AZ101" s="260">
        <f t="shared" si="80"/>
        <v>0</v>
      </c>
      <c r="BA101" s="260">
        <f t="shared" si="80"/>
        <v>0</v>
      </c>
      <c r="BB101" s="260">
        <f t="shared" si="80"/>
        <v>0</v>
      </c>
      <c r="BC101" s="260">
        <f t="shared" si="80"/>
        <v>0</v>
      </c>
      <c r="BD101" s="260">
        <f t="shared" si="80"/>
        <v>0</v>
      </c>
      <c r="BE101" s="260">
        <f t="shared" si="80"/>
        <v>0</v>
      </c>
      <c r="BF101" s="260">
        <f t="shared" si="80"/>
        <v>0</v>
      </c>
      <c r="BG101" s="260">
        <f t="shared" si="80"/>
        <v>0</v>
      </c>
      <c r="BH101" s="260">
        <f t="shared" si="80"/>
        <v>0</v>
      </c>
      <c r="BI101" s="260">
        <f t="shared" si="80"/>
        <v>0</v>
      </c>
      <c r="BJ101" s="260">
        <f t="shared" si="80"/>
        <v>0</v>
      </c>
      <c r="BK101" s="260">
        <f t="shared" si="80"/>
        <v>0</v>
      </c>
      <c r="BL101" s="260">
        <f t="shared" si="80"/>
        <v>0</v>
      </c>
      <c r="BM101" s="260">
        <f t="shared" si="80"/>
        <v>0</v>
      </c>
      <c r="BN101" s="260">
        <f t="shared" si="80"/>
        <v>0</v>
      </c>
      <c r="BO101" s="260">
        <f t="shared" si="80"/>
        <v>0</v>
      </c>
      <c r="BP101" s="260">
        <f t="shared" si="80"/>
        <v>0</v>
      </c>
      <c r="BQ101" s="260">
        <f t="shared" si="80"/>
        <v>0</v>
      </c>
      <c r="BR101" s="260">
        <f t="shared" si="80"/>
        <v>0</v>
      </c>
      <c r="BS101" s="260">
        <f t="shared" si="80"/>
        <v>0</v>
      </c>
      <c r="BT101" s="260">
        <f t="shared" si="80"/>
        <v>0</v>
      </c>
      <c r="BU101" s="260">
        <f t="shared" si="80"/>
        <v>0</v>
      </c>
      <c r="BV101" s="260"/>
      <c r="BW101" s="596"/>
      <c r="BX101" s="101">
        <f t="shared" ca="1" si="36"/>
        <v>252</v>
      </c>
      <c r="BY101" s="385">
        <f ca="1">SUM(BY15:BY102)</f>
        <v>100</v>
      </c>
      <c r="BZ101" s="385">
        <f ca="1">SUM(BZ15:BZ102)</f>
        <v>0</v>
      </c>
      <c r="CB101" s="385">
        <v>100</v>
      </c>
      <c r="CC101" s="385">
        <v>0</v>
      </c>
    </row>
    <row r="102" spans="1:81" ht="46.9" customHeight="1" outlineLevel="1">
      <c r="A102" s="544">
        <v>1</v>
      </c>
      <c r="B102" s="253" t="s">
        <v>9</v>
      </c>
      <c r="C102" s="254"/>
      <c r="D102" s="205"/>
      <c r="E102" s="205"/>
      <c r="F102" s="544"/>
      <c r="G102" s="205"/>
      <c r="H102" s="597"/>
      <c r="I102" s="205"/>
      <c r="J102" s="544"/>
      <c r="K102" s="597"/>
      <c r="L102" s="254"/>
      <c r="M102" s="255"/>
      <c r="N102" s="256"/>
      <c r="O102" s="257"/>
      <c r="P102" s="255"/>
      <c r="Q102" s="257"/>
      <c r="R102" s="205"/>
      <c r="S102" s="256"/>
      <c r="T102" s="257"/>
      <c r="U102" s="257"/>
      <c r="V102" s="256"/>
      <c r="W102" s="205">
        <f t="shared" ref="W102" si="81">SUM(AA102+AB102+AC102)</f>
        <v>100</v>
      </c>
      <c r="X102" s="255"/>
      <c r="Y102" s="256"/>
      <c r="Z102" s="205">
        <v>252</v>
      </c>
      <c r="AA102" s="205">
        <f>AH102+AX102</f>
        <v>100</v>
      </c>
      <c r="AB102" s="257"/>
      <c r="AC102" s="205"/>
      <c r="AD102" s="254">
        <f>SUM(AE102:AG102)</f>
        <v>0</v>
      </c>
      <c r="AE102" s="255"/>
      <c r="AF102" s="256"/>
      <c r="AG102" s="255">
        <f>SUM(AH102:AK102)</f>
        <v>0</v>
      </c>
      <c r="AH102" s="258"/>
      <c r="AI102" s="254"/>
      <c r="AJ102" s="257"/>
      <c r="AK102" s="257"/>
      <c r="AL102" s="254">
        <f>SUM(AM102:AO102)</f>
        <v>0</v>
      </c>
      <c r="AM102" s="255"/>
      <c r="AN102" s="257"/>
      <c r="AO102" s="254"/>
      <c r="AP102" s="254"/>
      <c r="AQ102" s="254"/>
      <c r="AR102" s="257"/>
      <c r="AS102" s="257"/>
      <c r="AT102" s="205">
        <f t="shared" ref="AT102" si="82">SUM(AX102+AY102+AZ102)</f>
        <v>100</v>
      </c>
      <c r="AU102" s="256"/>
      <c r="AV102" s="256"/>
      <c r="AW102" s="205">
        <f>SUM(AX102:AZ102)</f>
        <v>100</v>
      </c>
      <c r="AX102" s="205">
        <v>100</v>
      </c>
      <c r="AY102" s="258"/>
      <c r="AZ102" s="257"/>
      <c r="BA102" s="255"/>
      <c r="BB102" s="255"/>
      <c r="BC102" s="256"/>
      <c r="BD102" s="254"/>
      <c r="BE102" s="205"/>
      <c r="BF102" s="257"/>
      <c r="BG102" s="257"/>
      <c r="BH102" s="257"/>
      <c r="BI102" s="257"/>
      <c r="BJ102" s="257"/>
      <c r="BK102" s="257"/>
      <c r="BL102" s="257"/>
      <c r="BM102" s="257"/>
      <c r="BN102" s="257"/>
      <c r="BO102" s="257"/>
      <c r="BP102" s="257"/>
      <c r="BQ102" s="257"/>
      <c r="BR102" s="257"/>
      <c r="BS102" s="257"/>
      <c r="BT102" s="257"/>
      <c r="BU102" s="257"/>
      <c r="BV102" s="257"/>
      <c r="BW102" s="205"/>
      <c r="BX102" s="101">
        <f t="shared" si="36"/>
        <v>0</v>
      </c>
      <c r="BY102" s="6">
        <v>100</v>
      </c>
      <c r="BZ102" s="6"/>
      <c r="CA102" s="578"/>
      <c r="CB102" s="9">
        <v>100</v>
      </c>
      <c r="CC102" s="385"/>
    </row>
    <row r="103" spans="1:81" ht="15" customHeight="1">
      <c r="A103" s="841" t="s">
        <v>3687</v>
      </c>
      <c r="B103" s="802"/>
      <c r="C103" s="802"/>
      <c r="D103" s="802"/>
      <c r="E103" s="802"/>
      <c r="F103" s="802"/>
      <c r="G103" s="802"/>
      <c r="H103" s="802"/>
      <c r="I103" s="802"/>
      <c r="J103" s="802"/>
      <c r="K103" s="802"/>
      <c r="L103" s="802"/>
      <c r="M103" s="802"/>
      <c r="N103" s="802"/>
      <c r="O103" s="802"/>
      <c r="P103" s="802"/>
      <c r="Q103" s="802"/>
      <c r="R103" s="802"/>
      <c r="S103" s="802"/>
      <c r="T103" s="802"/>
      <c r="U103" s="802"/>
      <c r="V103" s="802"/>
      <c r="W103" s="802"/>
      <c r="X103" s="802"/>
      <c r="Y103" s="802"/>
      <c r="Z103" s="802"/>
      <c r="AA103" s="802"/>
      <c r="AB103" s="802"/>
      <c r="AC103" s="802"/>
      <c r="AD103" s="802"/>
      <c r="AE103" s="802"/>
      <c r="AF103" s="802"/>
      <c r="AG103" s="802"/>
      <c r="AH103" s="802"/>
      <c r="AI103" s="802"/>
      <c r="AJ103" s="802"/>
      <c r="AK103" s="802"/>
      <c r="AL103" s="802"/>
      <c r="AM103" s="802"/>
      <c r="AN103" s="802"/>
      <c r="AO103" s="802"/>
      <c r="AP103" s="802"/>
      <c r="AQ103" s="802"/>
      <c r="AR103" s="802"/>
      <c r="AS103" s="802"/>
      <c r="AT103" s="802"/>
      <c r="AU103" s="802"/>
      <c r="AV103" s="802"/>
      <c r="AW103" s="802"/>
      <c r="AX103" s="802"/>
      <c r="AY103" s="802"/>
      <c r="AZ103" s="802"/>
      <c r="BA103" s="802"/>
      <c r="BB103" s="802"/>
      <c r="BC103" s="802"/>
      <c r="BD103" s="802"/>
      <c r="BE103" s="802"/>
      <c r="BF103" s="802"/>
      <c r="BG103" s="802"/>
      <c r="BH103" s="802"/>
      <c r="BI103" s="802"/>
      <c r="BJ103" s="802"/>
      <c r="BK103" s="802"/>
      <c r="BL103" s="802"/>
      <c r="BM103" s="802"/>
      <c r="BN103" s="802"/>
      <c r="BO103" s="802"/>
      <c r="BP103" s="802"/>
      <c r="BQ103" s="802"/>
      <c r="BR103" s="802"/>
      <c r="BS103" s="802"/>
      <c r="BT103" s="802"/>
      <c r="BU103" s="802"/>
      <c r="BV103" s="802"/>
      <c r="BW103" s="802"/>
      <c r="BX103" s="802"/>
      <c r="BY103" s="802"/>
      <c r="BZ103" s="545"/>
      <c r="CA103" s="90"/>
      <c r="CB103" s="90"/>
      <c r="CC103" s="90"/>
    </row>
    <row r="104" spans="1:81">
      <c r="A104" s="802"/>
      <c r="B104" s="802"/>
      <c r="C104" s="802"/>
      <c r="D104" s="802"/>
      <c r="E104" s="802"/>
      <c r="F104" s="802"/>
      <c r="G104" s="802"/>
      <c r="H104" s="802"/>
      <c r="I104" s="802"/>
      <c r="J104" s="802"/>
      <c r="K104" s="802"/>
      <c r="L104" s="802"/>
      <c r="M104" s="802"/>
      <c r="N104" s="802"/>
      <c r="O104" s="802"/>
      <c r="P104" s="802"/>
      <c r="Q104" s="802"/>
      <c r="R104" s="802"/>
      <c r="S104" s="802"/>
      <c r="T104" s="802"/>
      <c r="U104" s="802"/>
      <c r="V104" s="802"/>
      <c r="W104" s="802"/>
      <c r="X104" s="802"/>
      <c r="Y104" s="802"/>
      <c r="Z104" s="802"/>
      <c r="AA104" s="802"/>
      <c r="AB104" s="802"/>
      <c r="AC104" s="802"/>
      <c r="AD104" s="802"/>
      <c r="AE104" s="802"/>
      <c r="AF104" s="802"/>
      <c r="AG104" s="802"/>
      <c r="AH104" s="802"/>
      <c r="AI104" s="802"/>
      <c r="AJ104" s="802"/>
      <c r="AK104" s="802"/>
      <c r="AL104" s="802"/>
      <c r="AM104" s="802"/>
      <c r="AN104" s="802"/>
      <c r="AO104" s="802"/>
      <c r="AP104" s="802"/>
      <c r="AQ104" s="802"/>
      <c r="AR104" s="802"/>
      <c r="AS104" s="802"/>
      <c r="AT104" s="802"/>
      <c r="AU104" s="802"/>
      <c r="AV104" s="802"/>
      <c r="AW104" s="802"/>
      <c r="AX104" s="802"/>
      <c r="AY104" s="802"/>
      <c r="AZ104" s="802"/>
      <c r="BA104" s="802"/>
      <c r="BB104" s="802"/>
      <c r="BC104" s="802"/>
      <c r="BD104" s="802"/>
      <c r="BE104" s="802"/>
      <c r="BF104" s="802"/>
      <c r="BG104" s="802"/>
      <c r="BH104" s="802"/>
      <c r="BI104" s="802"/>
      <c r="BJ104" s="802"/>
      <c r="BK104" s="802"/>
      <c r="BL104" s="802"/>
      <c r="BM104" s="802"/>
      <c r="BN104" s="802"/>
      <c r="BO104" s="802"/>
      <c r="BP104" s="802"/>
      <c r="BQ104" s="802"/>
      <c r="BR104" s="802"/>
      <c r="BS104" s="802"/>
      <c r="BT104" s="802"/>
      <c r="BU104" s="802"/>
      <c r="BV104" s="802"/>
      <c r="BW104" s="802"/>
      <c r="BX104" s="802"/>
      <c r="BY104" s="802"/>
      <c r="BZ104" s="92"/>
    </row>
  </sheetData>
  <mergeCells count="99">
    <mergeCell ref="F7:F11"/>
    <mergeCell ref="G7:G11"/>
    <mergeCell ref="H7:H11"/>
    <mergeCell ref="I7:I11"/>
    <mergeCell ref="S8:S11"/>
    <mergeCell ref="N10:N11"/>
    <mergeCell ref="O10:O11"/>
    <mergeCell ref="P10:P11"/>
    <mergeCell ref="K7:P8"/>
    <mergeCell ref="J7:J11"/>
    <mergeCell ref="M9:M11"/>
    <mergeCell ref="N9:P9"/>
    <mergeCell ref="Q7:Q11"/>
    <mergeCell ref="R7:R11"/>
    <mergeCell ref="S7:V7"/>
    <mergeCell ref="T8:V8"/>
    <mergeCell ref="BW7:BW11"/>
    <mergeCell ref="AD8:AK8"/>
    <mergeCell ref="BI8:BL8"/>
    <mergeCell ref="W8:W11"/>
    <mergeCell ref="X8:AC8"/>
    <mergeCell ref="AD7:AS7"/>
    <mergeCell ref="AT7:BH7"/>
    <mergeCell ref="AH10:AK10"/>
    <mergeCell ref="W7:AC7"/>
    <mergeCell ref="Y9:Y11"/>
    <mergeCell ref="X9:X11"/>
    <mergeCell ref="AL8:AS8"/>
    <mergeCell ref="AM9:AS9"/>
    <mergeCell ref="BA9:BA11"/>
    <mergeCell ref="Z9:Z11"/>
    <mergeCell ref="BA8:BH8"/>
    <mergeCell ref="A7:A11"/>
    <mergeCell ref="B7:B11"/>
    <mergeCell ref="C7:C11"/>
    <mergeCell ref="D7:D11"/>
    <mergeCell ref="E7:E11"/>
    <mergeCell ref="A1:BW1"/>
    <mergeCell ref="A2:BW2"/>
    <mergeCell ref="A3:BW3"/>
    <mergeCell ref="A4:BW4"/>
    <mergeCell ref="A5:BW5"/>
    <mergeCell ref="T9:T11"/>
    <mergeCell ref="U9:U11"/>
    <mergeCell ref="V9:V11"/>
    <mergeCell ref="BV7:BV11"/>
    <mergeCell ref="BI7:BP7"/>
    <mergeCell ref="BQ7:BT8"/>
    <mergeCell ref="BU7:BU11"/>
    <mergeCell ref="BM9:BM11"/>
    <mergeCell ref="BJ9:BL9"/>
    <mergeCell ref="BZ10:BZ11"/>
    <mergeCell ref="CB10:CC10"/>
    <mergeCell ref="BY9:BZ9"/>
    <mergeCell ref="AA9:AA11"/>
    <mergeCell ref="AB9:AB11"/>
    <mergeCell ref="AC9:AC11"/>
    <mergeCell ref="BY10:BY11"/>
    <mergeCell ref="AU10:AU11"/>
    <mergeCell ref="AV10:AV11"/>
    <mergeCell ref="AW10:AW11"/>
    <mergeCell ref="BS10:BS11"/>
    <mergeCell ref="AE9:AK9"/>
    <mergeCell ref="AL9:AL11"/>
    <mergeCell ref="AE10:AE11"/>
    <mergeCell ref="AF10:AF11"/>
    <mergeCell ref="BB9:BH9"/>
    <mergeCell ref="AZ6:BW6"/>
    <mergeCell ref="BD10:BD11"/>
    <mergeCell ref="BE10:BH10"/>
    <mergeCell ref="BJ10:BJ11"/>
    <mergeCell ref="BK10:BK11"/>
    <mergeCell ref="BL10:BL11"/>
    <mergeCell ref="BN10:BN11"/>
    <mergeCell ref="BB10:BB11"/>
    <mergeCell ref="BC10:BC11"/>
    <mergeCell ref="BN9:BP9"/>
    <mergeCell ref="BQ9:BQ11"/>
    <mergeCell ref="BR9:BT9"/>
    <mergeCell ref="BO10:BO11"/>
    <mergeCell ref="BT10:BT11"/>
    <mergeCell ref="BP10:BP11"/>
    <mergeCell ref="BR10:BR11"/>
    <mergeCell ref="A103:BY104"/>
    <mergeCell ref="AG10:AG11"/>
    <mergeCell ref="AT8:AT11"/>
    <mergeCell ref="AX8:AZ8"/>
    <mergeCell ref="AX9:AX11"/>
    <mergeCell ref="AY9:AY11"/>
    <mergeCell ref="AZ9:AZ11"/>
    <mergeCell ref="AD9:AD11"/>
    <mergeCell ref="BI9:BI11"/>
    <mergeCell ref="AM10:AM11"/>
    <mergeCell ref="AN10:AN11"/>
    <mergeCell ref="AO10:AO11"/>
    <mergeCell ref="AP10:AS10"/>
    <mergeCell ref="BM8:BP8"/>
    <mergeCell ref="K9:K11"/>
    <mergeCell ref="L9:L11"/>
  </mergeCells>
  <printOptions horizontalCentered="1"/>
  <pageMargins left="0.39370078740157483" right="0.19685039370078741" top="0.55118110236220474" bottom="0.74803149606299213" header="0.31496062992125984" footer="0.31496062992125984"/>
  <pageSetup paperSize="9" scale="45" fitToHeight="0" orientation="landscape" r:id="rId1"/>
  <headerFooter>
    <oddHeader>&amp;R&amp;"Times New Roman,Bold Italic"&amp;12Đăk Glei</oddHeader>
    <oddFooter>&amp;R&amp;P/&amp;N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I84"/>
  <sheetViews>
    <sheetView showZeros="0" zoomScale="70" zoomScaleNormal="70" zoomScaleSheetLayoutView="40" workbookViewId="0">
      <selection activeCell="CC17" sqref="A1:CC153"/>
    </sheetView>
  </sheetViews>
  <sheetFormatPr defaultColWidth="9" defaultRowHeight="17.649999999999999" outlineLevelRow="1"/>
  <cols>
    <col min="1" max="1" width="7.1328125" style="136" customWidth="1"/>
    <col min="2" max="2" width="46.73046875" style="137" customWidth="1"/>
    <col min="3" max="3" width="14.265625" style="136" customWidth="1"/>
    <col min="4" max="4" width="12.73046875" style="136" customWidth="1"/>
    <col min="5" max="5" width="8.1328125" style="135" customWidth="1"/>
    <col min="6" max="6" width="13.73046875" style="135" customWidth="1"/>
    <col min="7" max="7" width="10.1328125" style="135" hidden="1" customWidth="1"/>
    <col min="8" max="8" width="15.265625" style="135" hidden="1" customWidth="1"/>
    <col min="9" max="9" width="14.1328125" style="135" customWidth="1"/>
    <col min="10" max="10" width="13" style="135" hidden="1" customWidth="1"/>
    <col min="11" max="11" width="14.265625" style="135" hidden="1" customWidth="1"/>
    <col min="12" max="12" width="15.265625" style="135" customWidth="1"/>
    <col min="13" max="13" width="12.265625" style="135" customWidth="1"/>
    <col min="14" max="15" width="10.73046875" style="135" hidden="1" customWidth="1"/>
    <col min="16" max="16" width="12.86328125" style="135" customWidth="1"/>
    <col min="17" max="18" width="10.73046875" style="135" hidden="1" customWidth="1"/>
    <col min="19" max="20" width="10.73046875" style="138" hidden="1" customWidth="1"/>
    <col min="21" max="21" width="12.1328125" style="138" customWidth="1"/>
    <col min="22" max="22" width="10.73046875" style="138" hidden="1" customWidth="1"/>
    <col min="23" max="23" width="9.73046875" style="138" hidden="1" customWidth="1"/>
    <col min="24" max="24" width="12.265625" style="138" customWidth="1"/>
    <col min="25" max="25" width="10.73046875" style="138" customWidth="1"/>
    <col min="26" max="28" width="10.73046875" style="138" hidden="1" customWidth="1"/>
    <col min="29" max="30" width="10.73046875" style="138" customWidth="1"/>
    <col min="31" max="31" width="10.73046875" style="139" customWidth="1"/>
    <col min="32" max="37" width="10.73046875" style="138" hidden="1" customWidth="1"/>
    <col min="38" max="39" width="10.73046875" style="139" hidden="1" customWidth="1"/>
    <col min="40" max="45" width="10.73046875" style="138" hidden="1" customWidth="1"/>
    <col min="46" max="46" width="10.73046875" style="138" customWidth="1"/>
    <col min="47" max="49" width="10.73046875" style="138" hidden="1" customWidth="1"/>
    <col min="50" max="51" width="10.73046875" style="138" customWidth="1"/>
    <col min="52" max="52" width="10.73046875" style="139" customWidth="1"/>
    <col min="53" max="53" width="13.73046875" style="138" hidden="1" customWidth="1"/>
    <col min="54" max="54" width="14.1328125" style="138" hidden="1" customWidth="1"/>
    <col min="55" max="55" width="15.73046875" style="138" hidden="1" customWidth="1"/>
    <col min="56" max="57" width="14.73046875" style="135" hidden="1" customWidth="1"/>
    <col min="58" max="58" width="13.86328125" style="135" hidden="1" customWidth="1"/>
    <col min="59" max="59" width="11.3984375" style="135" hidden="1" customWidth="1"/>
    <col min="60" max="60" width="16.86328125" style="135" hidden="1" customWidth="1"/>
    <col min="61" max="61" width="13.3984375" style="132" hidden="1" customWidth="1"/>
    <col min="62" max="62" width="13.73046875" style="132" hidden="1" customWidth="1"/>
    <col min="63" max="63" width="11.1328125" style="132" hidden="1" customWidth="1"/>
    <col min="64" max="64" width="14" style="132" hidden="1" customWidth="1"/>
    <col min="65" max="65" width="13.3984375" style="132" hidden="1" customWidth="1"/>
    <col min="66" max="66" width="13.265625" style="132" hidden="1" customWidth="1"/>
    <col min="67" max="67" width="11.1328125" style="132" hidden="1" customWidth="1"/>
    <col min="68" max="68" width="13.86328125" style="132" hidden="1" customWidth="1"/>
    <col min="69" max="69" width="14.86328125" style="132" hidden="1" customWidth="1"/>
    <col min="70" max="72" width="14.86328125" style="140" hidden="1" customWidth="1"/>
    <col min="73" max="75" width="14.86328125" style="132" hidden="1" customWidth="1"/>
    <col min="76" max="76" width="17.3984375" style="132" customWidth="1"/>
  </cols>
  <sheetData>
    <row r="1" spans="1:77" ht="24" customHeight="1">
      <c r="A1" s="768" t="s">
        <v>3655</v>
      </c>
      <c r="B1" s="768"/>
      <c r="C1" s="768"/>
      <c r="D1" s="768"/>
      <c r="E1" s="768"/>
      <c r="F1" s="768"/>
      <c r="G1" s="768"/>
      <c r="H1" s="768"/>
      <c r="I1" s="768"/>
      <c r="J1" s="768"/>
      <c r="K1" s="768"/>
      <c r="L1" s="768"/>
      <c r="M1" s="768"/>
      <c r="N1" s="768"/>
      <c r="O1" s="768"/>
      <c r="P1" s="768"/>
      <c r="Q1" s="768"/>
      <c r="R1" s="768"/>
      <c r="S1" s="768"/>
      <c r="T1" s="768"/>
      <c r="U1" s="768"/>
      <c r="V1" s="768"/>
      <c r="W1" s="768"/>
      <c r="X1" s="768"/>
      <c r="Y1" s="768"/>
      <c r="Z1" s="768"/>
      <c r="AA1" s="768"/>
      <c r="AB1" s="768"/>
      <c r="AC1" s="768"/>
      <c r="AD1" s="768"/>
      <c r="AE1" s="768"/>
      <c r="AF1" s="768"/>
      <c r="AG1" s="768"/>
      <c r="AH1" s="768"/>
      <c r="AI1" s="768"/>
      <c r="AJ1" s="768"/>
      <c r="AK1" s="768"/>
      <c r="AL1" s="768"/>
      <c r="AM1" s="768"/>
      <c r="AN1" s="768"/>
      <c r="AO1" s="768"/>
      <c r="AP1" s="768"/>
      <c r="AQ1" s="768"/>
      <c r="AR1" s="768"/>
      <c r="AS1" s="768"/>
      <c r="AT1" s="768"/>
      <c r="AU1" s="768"/>
      <c r="AV1" s="768"/>
      <c r="AW1" s="768"/>
      <c r="AX1" s="768"/>
      <c r="AY1" s="768"/>
      <c r="AZ1" s="768"/>
      <c r="BA1" s="768"/>
      <c r="BB1" s="768"/>
      <c r="BC1" s="768"/>
      <c r="BD1" s="768"/>
      <c r="BE1" s="768"/>
      <c r="BF1" s="768"/>
      <c r="BG1" s="768"/>
      <c r="BH1" s="768"/>
      <c r="BI1" s="768"/>
      <c r="BJ1" s="768"/>
      <c r="BK1" s="768"/>
      <c r="BL1" s="768"/>
      <c r="BM1" s="768"/>
      <c r="BN1" s="768"/>
      <c r="BO1" s="768"/>
      <c r="BP1" s="768"/>
      <c r="BQ1" s="768"/>
      <c r="BR1" s="768"/>
      <c r="BS1" s="768"/>
      <c r="BT1" s="768"/>
      <c r="BU1" s="768"/>
      <c r="BV1" s="768"/>
      <c r="BW1" s="768"/>
      <c r="BX1" s="768"/>
    </row>
    <row r="2" spans="1:77" ht="25.5" customHeight="1">
      <c r="A2" s="769" t="s">
        <v>3691</v>
      </c>
      <c r="B2" s="769"/>
      <c r="C2" s="769"/>
      <c r="D2" s="769"/>
      <c r="E2" s="769"/>
      <c r="F2" s="769"/>
      <c r="G2" s="769"/>
      <c r="H2" s="769"/>
      <c r="I2" s="769"/>
      <c r="J2" s="769"/>
      <c r="K2" s="769"/>
      <c r="L2" s="769"/>
      <c r="M2" s="769"/>
      <c r="N2" s="769"/>
      <c r="O2" s="769"/>
      <c r="P2" s="769"/>
      <c r="Q2" s="769"/>
      <c r="R2" s="769"/>
      <c r="S2" s="769"/>
      <c r="T2" s="769"/>
      <c r="U2" s="769"/>
      <c r="V2" s="769"/>
      <c r="W2" s="769"/>
      <c r="X2" s="769"/>
      <c r="Y2" s="769"/>
      <c r="Z2" s="769"/>
      <c r="AA2" s="769"/>
      <c r="AB2" s="769"/>
      <c r="AC2" s="769"/>
      <c r="AD2" s="769"/>
      <c r="AE2" s="769"/>
      <c r="AF2" s="769"/>
      <c r="AG2" s="769"/>
      <c r="AH2" s="769"/>
      <c r="AI2" s="769"/>
      <c r="AJ2" s="769"/>
      <c r="AK2" s="769"/>
      <c r="AL2" s="769"/>
      <c r="AM2" s="769"/>
      <c r="AN2" s="769"/>
      <c r="AO2" s="769"/>
      <c r="AP2" s="769"/>
      <c r="AQ2" s="769"/>
      <c r="AR2" s="769"/>
      <c r="AS2" s="769"/>
      <c r="AT2" s="769"/>
      <c r="AU2" s="769"/>
      <c r="AV2" s="769"/>
      <c r="AW2" s="769"/>
      <c r="AX2" s="769"/>
      <c r="AY2" s="769"/>
      <c r="AZ2" s="769"/>
      <c r="BA2" s="769"/>
      <c r="BB2" s="769"/>
      <c r="BC2" s="769"/>
      <c r="BD2" s="769"/>
      <c r="BE2" s="769"/>
      <c r="BF2" s="769"/>
      <c r="BG2" s="769"/>
      <c r="BH2" s="769"/>
      <c r="BI2" s="769"/>
      <c r="BJ2" s="769"/>
      <c r="BK2" s="769"/>
      <c r="BL2" s="769"/>
      <c r="BM2" s="769"/>
      <c r="BN2" s="769"/>
      <c r="BO2" s="769"/>
      <c r="BP2" s="769"/>
      <c r="BQ2" s="769"/>
      <c r="BR2" s="769"/>
      <c r="BS2" s="769"/>
      <c r="BT2" s="769"/>
      <c r="BU2" s="769"/>
      <c r="BV2" s="769"/>
      <c r="BW2" s="769"/>
      <c r="BX2" s="769"/>
    </row>
    <row r="3" spans="1:77" ht="24" customHeight="1">
      <c r="A3" s="769" t="s">
        <v>1903</v>
      </c>
      <c r="B3" s="769"/>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69"/>
      <c r="AZ3" s="769"/>
      <c r="BA3" s="769"/>
      <c r="BB3" s="769"/>
      <c r="BC3" s="769"/>
      <c r="BD3" s="769"/>
      <c r="BE3" s="769"/>
      <c r="BF3" s="769"/>
      <c r="BG3" s="769"/>
      <c r="BH3" s="769"/>
      <c r="BI3" s="769"/>
      <c r="BJ3" s="769"/>
      <c r="BK3" s="769"/>
      <c r="BL3" s="769"/>
      <c r="BM3" s="769"/>
      <c r="BN3" s="769"/>
      <c r="BO3" s="769"/>
      <c r="BP3" s="769"/>
      <c r="BQ3" s="769"/>
      <c r="BR3" s="769"/>
      <c r="BS3" s="769"/>
      <c r="BT3" s="769"/>
      <c r="BU3" s="769"/>
      <c r="BV3" s="769"/>
      <c r="BW3" s="769"/>
      <c r="BX3" s="769"/>
    </row>
    <row r="4" spans="1:77" ht="24" customHeight="1">
      <c r="A4" s="770" t="str">
        <f>'3.13.Thành phố Kon Tum'!A5:BY5</f>
        <v>(Kèm theo Nghị quyết số 22/NQ-HĐND ngày 22 tháng 8 năm 2025 của Hội đồng nhân dân tỉnh)</v>
      </c>
      <c r="B4" s="770"/>
      <c r="C4" s="770"/>
      <c r="D4" s="770"/>
      <c r="E4" s="770"/>
      <c r="F4" s="770"/>
      <c r="G4" s="770"/>
      <c r="H4" s="770"/>
      <c r="I4" s="770"/>
      <c r="J4" s="770"/>
      <c r="K4" s="770"/>
      <c r="L4" s="770"/>
      <c r="M4" s="770"/>
      <c r="N4" s="770"/>
      <c r="O4" s="770"/>
      <c r="P4" s="770"/>
      <c r="Q4" s="770"/>
      <c r="R4" s="770"/>
      <c r="S4" s="770"/>
      <c r="T4" s="770"/>
      <c r="U4" s="770"/>
      <c r="V4" s="770"/>
      <c r="W4" s="770"/>
      <c r="X4" s="770"/>
      <c r="Y4" s="770"/>
      <c r="Z4" s="770"/>
      <c r="AA4" s="770"/>
      <c r="AB4" s="770"/>
      <c r="AC4" s="770"/>
      <c r="AD4" s="770"/>
      <c r="AE4" s="770"/>
      <c r="AF4" s="770"/>
      <c r="AG4" s="770"/>
      <c r="AH4" s="770"/>
      <c r="AI4" s="770"/>
      <c r="AJ4" s="770"/>
      <c r="AK4" s="770"/>
      <c r="AL4" s="770"/>
      <c r="AM4" s="770"/>
      <c r="AN4" s="770"/>
      <c r="AO4" s="770"/>
      <c r="AP4" s="770"/>
      <c r="AQ4" s="770"/>
      <c r="AR4" s="770"/>
      <c r="AS4" s="770"/>
      <c r="AT4" s="770"/>
      <c r="AU4" s="770"/>
      <c r="AV4" s="770"/>
      <c r="AW4" s="770"/>
      <c r="AX4" s="770"/>
      <c r="AY4" s="770"/>
      <c r="AZ4" s="770"/>
      <c r="BA4" s="770"/>
      <c r="BB4" s="770"/>
      <c r="BC4" s="770"/>
      <c r="BD4" s="770"/>
      <c r="BE4" s="770"/>
      <c r="BF4" s="770"/>
      <c r="BG4" s="770"/>
      <c r="BH4" s="770"/>
      <c r="BI4" s="770"/>
      <c r="BJ4" s="770"/>
      <c r="BK4" s="770"/>
      <c r="BL4" s="770"/>
      <c r="BM4" s="770"/>
      <c r="BN4" s="770"/>
      <c r="BO4" s="770"/>
      <c r="BP4" s="770"/>
      <c r="BQ4" s="770"/>
      <c r="BR4" s="770"/>
      <c r="BS4" s="770"/>
      <c r="BT4" s="770"/>
      <c r="BU4" s="770"/>
      <c r="BV4" s="770"/>
      <c r="BW4" s="770"/>
      <c r="BX4" s="770"/>
    </row>
    <row r="5" spans="1:77">
      <c r="A5" s="598"/>
      <c r="B5" s="599"/>
      <c r="C5" s="598"/>
      <c r="D5" s="598"/>
      <c r="E5" s="600"/>
      <c r="F5" s="600"/>
      <c r="G5" s="600"/>
      <c r="H5" s="600"/>
      <c r="I5" s="600"/>
      <c r="J5" s="600"/>
      <c r="K5" s="600"/>
      <c r="L5" s="600"/>
      <c r="M5" s="600"/>
      <c r="N5" s="600"/>
      <c r="O5" s="600"/>
      <c r="P5" s="600"/>
      <c r="Q5" s="600"/>
      <c r="R5" s="600"/>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887" t="s">
        <v>1224</v>
      </c>
      <c r="AY5" s="887"/>
      <c r="AZ5" s="887"/>
      <c r="BA5" s="887"/>
      <c r="BB5" s="887"/>
      <c r="BC5" s="887"/>
      <c r="BD5" s="887"/>
      <c r="BE5" s="887"/>
      <c r="BF5" s="887"/>
      <c r="BG5" s="887"/>
      <c r="BH5" s="887"/>
      <c r="BI5" s="887"/>
      <c r="BJ5" s="887"/>
      <c r="BK5" s="887"/>
      <c r="BL5" s="887"/>
      <c r="BM5" s="887"/>
      <c r="BN5" s="887"/>
      <c r="BO5" s="887"/>
      <c r="BP5" s="887"/>
      <c r="BQ5" s="887"/>
      <c r="BR5" s="887"/>
      <c r="BS5" s="887"/>
      <c r="BT5" s="887"/>
      <c r="BU5" s="887"/>
      <c r="BV5" s="887"/>
      <c r="BW5" s="887"/>
      <c r="BX5" s="887"/>
    </row>
    <row r="6" spans="1:77" ht="36" customHeight="1">
      <c r="A6" s="866" t="s">
        <v>16</v>
      </c>
      <c r="B6" s="866" t="s">
        <v>301</v>
      </c>
      <c r="C6" s="866" t="s">
        <v>17</v>
      </c>
      <c r="D6" s="797" t="s">
        <v>3673</v>
      </c>
      <c r="E6" s="797" t="s">
        <v>18</v>
      </c>
      <c r="F6" s="797" t="s">
        <v>21</v>
      </c>
      <c r="G6" s="797" t="s">
        <v>19</v>
      </c>
      <c r="H6" s="866" t="s">
        <v>20</v>
      </c>
      <c r="I6" s="797" t="s">
        <v>23</v>
      </c>
      <c r="J6" s="797" t="s">
        <v>24</v>
      </c>
      <c r="K6" s="603" t="s">
        <v>1904</v>
      </c>
      <c r="L6" s="883" t="s">
        <v>1904</v>
      </c>
      <c r="M6" s="883"/>
      <c r="N6" s="883"/>
      <c r="O6" s="883"/>
      <c r="P6" s="884"/>
      <c r="Q6" s="797" t="s">
        <v>25</v>
      </c>
      <c r="R6" s="866" t="s">
        <v>1226</v>
      </c>
      <c r="S6" s="866" t="s">
        <v>22</v>
      </c>
      <c r="T6" s="797" t="s">
        <v>876</v>
      </c>
      <c r="U6" s="878" t="s">
        <v>26</v>
      </c>
      <c r="V6" s="879"/>
      <c r="W6" s="879"/>
      <c r="X6" s="880"/>
      <c r="Y6" s="878" t="s">
        <v>317</v>
      </c>
      <c r="Z6" s="879"/>
      <c r="AA6" s="879"/>
      <c r="AB6" s="879"/>
      <c r="AC6" s="879"/>
      <c r="AD6" s="879"/>
      <c r="AE6" s="880"/>
      <c r="AF6" s="866" t="s">
        <v>1905</v>
      </c>
      <c r="AG6" s="866"/>
      <c r="AH6" s="866"/>
      <c r="AI6" s="866"/>
      <c r="AJ6" s="866"/>
      <c r="AK6" s="866"/>
      <c r="AL6" s="866"/>
      <c r="AM6" s="866"/>
      <c r="AN6" s="866"/>
      <c r="AO6" s="866"/>
      <c r="AP6" s="866"/>
      <c r="AQ6" s="866"/>
      <c r="AR6" s="866"/>
      <c r="AS6" s="866"/>
      <c r="AT6" s="866" t="s">
        <v>6</v>
      </c>
      <c r="AU6" s="866"/>
      <c r="AV6" s="866"/>
      <c r="AW6" s="866"/>
      <c r="AX6" s="866"/>
      <c r="AY6" s="866"/>
      <c r="AZ6" s="866"/>
      <c r="BA6" s="866"/>
      <c r="BB6" s="866"/>
      <c r="BC6" s="866"/>
      <c r="BD6" s="866"/>
      <c r="BE6" s="866"/>
      <c r="BF6" s="866"/>
      <c r="BG6" s="866"/>
      <c r="BH6" s="866"/>
      <c r="BI6" s="866"/>
      <c r="BJ6" s="878" t="s">
        <v>28</v>
      </c>
      <c r="BK6" s="879"/>
      <c r="BL6" s="879"/>
      <c r="BM6" s="879"/>
      <c r="BN6" s="879"/>
      <c r="BO6" s="879"/>
      <c r="BP6" s="879"/>
      <c r="BQ6" s="879"/>
      <c r="BR6" s="771" t="s">
        <v>318</v>
      </c>
      <c r="BS6" s="771"/>
      <c r="BT6" s="771"/>
      <c r="BU6" s="771"/>
      <c r="BV6" s="772" t="s">
        <v>1906</v>
      </c>
      <c r="BW6" s="771" t="s">
        <v>3662</v>
      </c>
      <c r="BX6" s="866" t="s">
        <v>0</v>
      </c>
    </row>
    <row r="7" spans="1:77" ht="35.25" customHeight="1">
      <c r="A7" s="866"/>
      <c r="B7" s="866"/>
      <c r="C7" s="866"/>
      <c r="D7" s="798"/>
      <c r="E7" s="798"/>
      <c r="F7" s="798"/>
      <c r="G7" s="798"/>
      <c r="H7" s="866"/>
      <c r="I7" s="798"/>
      <c r="J7" s="798"/>
      <c r="K7" s="604"/>
      <c r="L7" s="866" t="s">
        <v>32</v>
      </c>
      <c r="M7" s="866" t="s">
        <v>33</v>
      </c>
      <c r="N7" s="866" t="s">
        <v>1228</v>
      </c>
      <c r="O7" s="866"/>
      <c r="P7" s="866"/>
      <c r="Q7" s="798"/>
      <c r="R7" s="866"/>
      <c r="S7" s="866"/>
      <c r="T7" s="798"/>
      <c r="U7" s="866" t="s">
        <v>305</v>
      </c>
      <c r="V7" s="866" t="s">
        <v>1</v>
      </c>
      <c r="W7" s="866"/>
      <c r="X7" s="866"/>
      <c r="Y7" s="866" t="s">
        <v>305</v>
      </c>
      <c r="Z7" s="878" t="s">
        <v>1</v>
      </c>
      <c r="AA7" s="879"/>
      <c r="AB7" s="879"/>
      <c r="AC7" s="879"/>
      <c r="AD7" s="879"/>
      <c r="AE7" s="880"/>
      <c r="AF7" s="797" t="s">
        <v>305</v>
      </c>
      <c r="AG7" s="605"/>
      <c r="AH7" s="878" t="s">
        <v>42</v>
      </c>
      <c r="AI7" s="879"/>
      <c r="AJ7" s="879"/>
      <c r="AK7" s="879"/>
      <c r="AL7" s="880"/>
      <c r="AM7" s="878" t="s">
        <v>66</v>
      </c>
      <c r="AN7" s="879"/>
      <c r="AO7" s="879"/>
      <c r="AP7" s="879"/>
      <c r="AQ7" s="879"/>
      <c r="AR7" s="879"/>
      <c r="AS7" s="879"/>
      <c r="AT7" s="866" t="s">
        <v>29</v>
      </c>
      <c r="AU7" s="878" t="s">
        <v>42</v>
      </c>
      <c r="AV7" s="879"/>
      <c r="AW7" s="879"/>
      <c r="AX7" s="879"/>
      <c r="AY7" s="879"/>
      <c r="AZ7" s="880"/>
      <c r="BA7" s="878" t="s">
        <v>89</v>
      </c>
      <c r="BB7" s="879"/>
      <c r="BC7" s="879"/>
      <c r="BD7" s="879"/>
      <c r="BE7" s="879"/>
      <c r="BF7" s="879"/>
      <c r="BG7" s="879"/>
      <c r="BH7" s="879"/>
      <c r="BI7" s="879"/>
      <c r="BJ7" s="875" t="s">
        <v>30</v>
      </c>
      <c r="BK7" s="883"/>
      <c r="BL7" s="883"/>
      <c r="BM7" s="884"/>
      <c r="BN7" s="878" t="s">
        <v>89</v>
      </c>
      <c r="BO7" s="879"/>
      <c r="BP7" s="879"/>
      <c r="BQ7" s="879"/>
      <c r="BR7" s="775" t="s">
        <v>1907</v>
      </c>
      <c r="BS7" s="776"/>
      <c r="BT7" s="776"/>
      <c r="BU7" s="777"/>
      <c r="BV7" s="773"/>
      <c r="BW7" s="771"/>
      <c r="BX7" s="866"/>
    </row>
    <row r="8" spans="1:77" ht="18.75" hidden="1" customHeight="1">
      <c r="A8" s="866"/>
      <c r="B8" s="866"/>
      <c r="C8" s="866"/>
      <c r="D8" s="798"/>
      <c r="E8" s="798"/>
      <c r="F8" s="798"/>
      <c r="G8" s="798"/>
      <c r="H8" s="866"/>
      <c r="I8" s="798"/>
      <c r="J8" s="798"/>
      <c r="K8" s="875" t="s">
        <v>31</v>
      </c>
      <c r="L8" s="866"/>
      <c r="M8" s="866"/>
      <c r="N8" s="866" t="s">
        <v>42</v>
      </c>
      <c r="O8" s="866"/>
      <c r="P8" s="866"/>
      <c r="Q8" s="798"/>
      <c r="R8" s="866"/>
      <c r="S8" s="866"/>
      <c r="T8" s="798"/>
      <c r="U8" s="866"/>
      <c r="V8" s="797" t="s">
        <v>34</v>
      </c>
      <c r="W8" s="797" t="s">
        <v>35</v>
      </c>
      <c r="X8" s="797" t="s">
        <v>91</v>
      </c>
      <c r="Y8" s="866"/>
      <c r="Z8" s="797" t="s">
        <v>34</v>
      </c>
      <c r="AA8" s="797" t="s">
        <v>35</v>
      </c>
      <c r="AB8" s="797" t="s">
        <v>41</v>
      </c>
      <c r="AC8" s="881" t="s">
        <v>42</v>
      </c>
      <c r="AD8" s="882"/>
      <c r="AE8" s="873"/>
      <c r="AF8" s="798"/>
      <c r="AG8" s="866" t="s">
        <v>1</v>
      </c>
      <c r="AH8" s="866"/>
      <c r="AI8" s="866"/>
      <c r="AJ8" s="866"/>
      <c r="AK8" s="866"/>
      <c r="AL8" s="866"/>
      <c r="AM8" s="866" t="s">
        <v>305</v>
      </c>
      <c r="AN8" s="866" t="s">
        <v>1</v>
      </c>
      <c r="AO8" s="866"/>
      <c r="AP8" s="866"/>
      <c r="AQ8" s="866"/>
      <c r="AR8" s="866"/>
      <c r="AS8" s="866"/>
      <c r="AT8" s="866"/>
      <c r="AU8" s="880" t="s">
        <v>1</v>
      </c>
      <c r="AV8" s="866"/>
      <c r="AW8" s="866"/>
      <c r="AX8" s="866"/>
      <c r="AY8" s="866"/>
      <c r="AZ8" s="866"/>
      <c r="BA8" s="866" t="s">
        <v>29</v>
      </c>
      <c r="BB8" s="866" t="s">
        <v>1</v>
      </c>
      <c r="BC8" s="866"/>
      <c r="BD8" s="866"/>
      <c r="BE8" s="866"/>
      <c r="BF8" s="866"/>
      <c r="BG8" s="866"/>
      <c r="BH8" s="866"/>
      <c r="BI8" s="866"/>
      <c r="BJ8" s="866" t="s">
        <v>29</v>
      </c>
      <c r="BK8" s="866" t="s">
        <v>1</v>
      </c>
      <c r="BL8" s="866"/>
      <c r="BM8" s="866"/>
      <c r="BN8" s="866" t="s">
        <v>29</v>
      </c>
      <c r="BO8" s="866" t="s">
        <v>1</v>
      </c>
      <c r="BP8" s="866"/>
      <c r="BQ8" s="866"/>
      <c r="BR8" s="866" t="s">
        <v>29</v>
      </c>
      <c r="BS8" s="771" t="s">
        <v>1</v>
      </c>
      <c r="BT8" s="771"/>
      <c r="BU8" s="771"/>
      <c r="BV8" s="773"/>
      <c r="BW8" s="771"/>
      <c r="BX8" s="866"/>
    </row>
    <row r="9" spans="1:77" ht="18.75" customHeight="1">
      <c r="A9" s="866"/>
      <c r="B9" s="866"/>
      <c r="C9" s="866"/>
      <c r="D9" s="798"/>
      <c r="E9" s="798"/>
      <c r="F9" s="798"/>
      <c r="G9" s="798"/>
      <c r="H9" s="866"/>
      <c r="I9" s="798"/>
      <c r="J9" s="798"/>
      <c r="K9" s="876"/>
      <c r="L9" s="866"/>
      <c r="M9" s="866"/>
      <c r="N9" s="866" t="s">
        <v>878</v>
      </c>
      <c r="O9" s="866" t="s">
        <v>79</v>
      </c>
      <c r="P9" s="866" t="s">
        <v>91</v>
      </c>
      <c r="Q9" s="798"/>
      <c r="R9" s="866"/>
      <c r="S9" s="866"/>
      <c r="T9" s="798"/>
      <c r="U9" s="866"/>
      <c r="V9" s="798"/>
      <c r="W9" s="798"/>
      <c r="X9" s="798"/>
      <c r="Y9" s="866"/>
      <c r="Z9" s="798"/>
      <c r="AA9" s="798"/>
      <c r="AB9" s="798"/>
      <c r="AC9" s="863" t="s">
        <v>8</v>
      </c>
      <c r="AD9" s="863" t="s">
        <v>304</v>
      </c>
      <c r="AE9" s="863" t="s">
        <v>38</v>
      </c>
      <c r="AF9" s="798"/>
      <c r="AG9" s="797" t="s">
        <v>34</v>
      </c>
      <c r="AH9" s="797" t="s">
        <v>35</v>
      </c>
      <c r="AI9" s="797" t="s">
        <v>41</v>
      </c>
      <c r="AJ9" s="863" t="s">
        <v>8</v>
      </c>
      <c r="AK9" s="863" t="s">
        <v>304</v>
      </c>
      <c r="AL9" s="863" t="s">
        <v>38</v>
      </c>
      <c r="AM9" s="866"/>
      <c r="AN9" s="797" t="s">
        <v>34</v>
      </c>
      <c r="AO9" s="797" t="s">
        <v>35</v>
      </c>
      <c r="AP9" s="797" t="s">
        <v>41</v>
      </c>
      <c r="AQ9" s="870" t="s">
        <v>42</v>
      </c>
      <c r="AR9" s="871"/>
      <c r="AS9" s="872"/>
      <c r="AT9" s="866"/>
      <c r="AU9" s="884" t="s">
        <v>34</v>
      </c>
      <c r="AV9" s="797" t="s">
        <v>35</v>
      </c>
      <c r="AW9" s="797" t="s">
        <v>41</v>
      </c>
      <c r="AX9" s="867" t="s">
        <v>8</v>
      </c>
      <c r="AY9" s="867" t="s">
        <v>43</v>
      </c>
      <c r="AZ9" s="873" t="s">
        <v>38</v>
      </c>
      <c r="BA9" s="866"/>
      <c r="BB9" s="797" t="s">
        <v>34</v>
      </c>
      <c r="BC9" s="797" t="s">
        <v>35</v>
      </c>
      <c r="BD9" s="797" t="s">
        <v>41</v>
      </c>
      <c r="BE9" s="867" t="s">
        <v>42</v>
      </c>
      <c r="BF9" s="867"/>
      <c r="BG9" s="867"/>
      <c r="BH9" s="867"/>
      <c r="BI9" s="867"/>
      <c r="BJ9" s="866"/>
      <c r="BK9" s="797" t="s">
        <v>34</v>
      </c>
      <c r="BL9" s="797" t="s">
        <v>35</v>
      </c>
      <c r="BM9" s="797" t="s">
        <v>39</v>
      </c>
      <c r="BN9" s="866"/>
      <c r="BO9" s="797" t="s">
        <v>34</v>
      </c>
      <c r="BP9" s="797" t="s">
        <v>35</v>
      </c>
      <c r="BQ9" s="797" t="s">
        <v>39</v>
      </c>
      <c r="BR9" s="866"/>
      <c r="BS9" s="797" t="s">
        <v>34</v>
      </c>
      <c r="BT9" s="797" t="s">
        <v>35</v>
      </c>
      <c r="BU9" s="772" t="s">
        <v>39</v>
      </c>
      <c r="BV9" s="773"/>
      <c r="BW9" s="771"/>
      <c r="BX9" s="866"/>
    </row>
    <row r="10" spans="1:77" ht="18.75" hidden="1" customHeight="1">
      <c r="A10" s="866"/>
      <c r="B10" s="866"/>
      <c r="C10" s="866"/>
      <c r="D10" s="798"/>
      <c r="E10" s="798"/>
      <c r="F10" s="798"/>
      <c r="G10" s="798"/>
      <c r="H10" s="866"/>
      <c r="I10" s="798"/>
      <c r="J10" s="798"/>
      <c r="K10" s="876"/>
      <c r="L10" s="866"/>
      <c r="M10" s="866"/>
      <c r="N10" s="866"/>
      <c r="O10" s="866"/>
      <c r="P10" s="866"/>
      <c r="Q10" s="798"/>
      <c r="R10" s="866"/>
      <c r="S10" s="866"/>
      <c r="T10" s="798"/>
      <c r="U10" s="866"/>
      <c r="V10" s="798"/>
      <c r="W10" s="798"/>
      <c r="X10" s="798"/>
      <c r="Y10" s="866"/>
      <c r="Z10" s="798"/>
      <c r="AA10" s="798"/>
      <c r="AB10" s="798"/>
      <c r="AC10" s="864"/>
      <c r="AD10" s="864"/>
      <c r="AE10" s="864"/>
      <c r="AF10" s="798"/>
      <c r="AG10" s="798"/>
      <c r="AH10" s="798"/>
      <c r="AI10" s="798"/>
      <c r="AJ10" s="864"/>
      <c r="AK10" s="864"/>
      <c r="AL10" s="864"/>
      <c r="AM10" s="866"/>
      <c r="AN10" s="798"/>
      <c r="AO10" s="798"/>
      <c r="AP10" s="798"/>
      <c r="AQ10" s="867" t="s">
        <v>8</v>
      </c>
      <c r="AR10" s="863" t="s">
        <v>43</v>
      </c>
      <c r="AS10" s="863" t="s">
        <v>38</v>
      </c>
      <c r="AT10" s="866"/>
      <c r="AU10" s="885"/>
      <c r="AV10" s="798"/>
      <c r="AW10" s="798"/>
      <c r="AX10" s="867"/>
      <c r="AY10" s="867"/>
      <c r="AZ10" s="874"/>
      <c r="BA10" s="866"/>
      <c r="BB10" s="798"/>
      <c r="BC10" s="798"/>
      <c r="BD10" s="798"/>
      <c r="BE10" s="864" t="s">
        <v>8</v>
      </c>
      <c r="BF10" s="868" t="s">
        <v>42</v>
      </c>
      <c r="BG10" s="869"/>
      <c r="BH10" s="864" t="s">
        <v>43</v>
      </c>
      <c r="BI10" s="864" t="s">
        <v>38</v>
      </c>
      <c r="BJ10" s="866"/>
      <c r="BK10" s="798"/>
      <c r="BL10" s="798"/>
      <c r="BM10" s="798"/>
      <c r="BN10" s="866"/>
      <c r="BO10" s="798"/>
      <c r="BP10" s="798"/>
      <c r="BQ10" s="798"/>
      <c r="BR10" s="866"/>
      <c r="BS10" s="798"/>
      <c r="BT10" s="798"/>
      <c r="BU10" s="773"/>
      <c r="BV10" s="773"/>
      <c r="BW10" s="771"/>
      <c r="BX10" s="866"/>
    </row>
    <row r="11" spans="1:77" ht="18.75" customHeight="1">
      <c r="A11" s="866"/>
      <c r="B11" s="866"/>
      <c r="C11" s="866"/>
      <c r="D11" s="798"/>
      <c r="E11" s="798"/>
      <c r="F11" s="798"/>
      <c r="G11" s="798"/>
      <c r="H11" s="866"/>
      <c r="I11" s="798"/>
      <c r="J11" s="798"/>
      <c r="K11" s="876"/>
      <c r="L11" s="866"/>
      <c r="M11" s="866"/>
      <c r="N11" s="866"/>
      <c r="O11" s="866"/>
      <c r="P11" s="866"/>
      <c r="Q11" s="798"/>
      <c r="R11" s="866"/>
      <c r="S11" s="866"/>
      <c r="T11" s="798"/>
      <c r="U11" s="866"/>
      <c r="V11" s="798"/>
      <c r="W11" s="798"/>
      <c r="X11" s="798"/>
      <c r="Y11" s="866"/>
      <c r="Z11" s="798"/>
      <c r="AA11" s="798"/>
      <c r="AB11" s="798"/>
      <c r="AC11" s="864"/>
      <c r="AD11" s="864"/>
      <c r="AE11" s="864"/>
      <c r="AF11" s="798"/>
      <c r="AG11" s="798"/>
      <c r="AH11" s="798"/>
      <c r="AI11" s="798"/>
      <c r="AJ11" s="864"/>
      <c r="AK11" s="864"/>
      <c r="AL11" s="864"/>
      <c r="AM11" s="866"/>
      <c r="AN11" s="798"/>
      <c r="AO11" s="798"/>
      <c r="AP11" s="798"/>
      <c r="AQ11" s="867"/>
      <c r="AR11" s="864"/>
      <c r="AS11" s="864"/>
      <c r="AT11" s="866"/>
      <c r="AU11" s="885"/>
      <c r="AV11" s="798"/>
      <c r="AW11" s="798"/>
      <c r="AX11" s="867"/>
      <c r="AY11" s="867"/>
      <c r="AZ11" s="874"/>
      <c r="BA11" s="866"/>
      <c r="BB11" s="798"/>
      <c r="BC11" s="798"/>
      <c r="BD11" s="798"/>
      <c r="BE11" s="864"/>
      <c r="BF11" s="607"/>
      <c r="BG11" s="608"/>
      <c r="BH11" s="864"/>
      <c r="BI11" s="864"/>
      <c r="BJ11" s="866"/>
      <c r="BK11" s="798"/>
      <c r="BL11" s="798"/>
      <c r="BM11" s="798"/>
      <c r="BN11" s="866"/>
      <c r="BO11" s="798"/>
      <c r="BP11" s="798"/>
      <c r="BQ11" s="798"/>
      <c r="BR11" s="866"/>
      <c r="BS11" s="798"/>
      <c r="BT11" s="798"/>
      <c r="BU11" s="773"/>
      <c r="BV11" s="773"/>
      <c r="BW11" s="771"/>
      <c r="BX11" s="866"/>
    </row>
    <row r="12" spans="1:77" ht="59.25" customHeight="1">
      <c r="A12" s="866"/>
      <c r="B12" s="866"/>
      <c r="C12" s="866"/>
      <c r="D12" s="799"/>
      <c r="E12" s="799"/>
      <c r="F12" s="799"/>
      <c r="G12" s="799"/>
      <c r="H12" s="866"/>
      <c r="I12" s="799"/>
      <c r="J12" s="799"/>
      <c r="K12" s="877"/>
      <c r="L12" s="866"/>
      <c r="M12" s="866"/>
      <c r="N12" s="866"/>
      <c r="O12" s="866"/>
      <c r="P12" s="866"/>
      <c r="Q12" s="799"/>
      <c r="R12" s="866"/>
      <c r="S12" s="866"/>
      <c r="T12" s="799"/>
      <c r="U12" s="866"/>
      <c r="V12" s="799"/>
      <c r="W12" s="799"/>
      <c r="X12" s="799"/>
      <c r="Y12" s="866"/>
      <c r="Z12" s="799"/>
      <c r="AA12" s="799"/>
      <c r="AB12" s="799"/>
      <c r="AC12" s="865"/>
      <c r="AD12" s="865"/>
      <c r="AE12" s="865"/>
      <c r="AF12" s="799"/>
      <c r="AG12" s="799"/>
      <c r="AH12" s="799"/>
      <c r="AI12" s="799"/>
      <c r="AJ12" s="865"/>
      <c r="AK12" s="865"/>
      <c r="AL12" s="865"/>
      <c r="AM12" s="866"/>
      <c r="AN12" s="799"/>
      <c r="AO12" s="799"/>
      <c r="AP12" s="799"/>
      <c r="AQ12" s="867"/>
      <c r="AR12" s="865"/>
      <c r="AS12" s="865"/>
      <c r="AT12" s="866"/>
      <c r="AU12" s="886"/>
      <c r="AV12" s="799"/>
      <c r="AW12" s="798"/>
      <c r="AX12" s="867"/>
      <c r="AY12" s="867"/>
      <c r="AZ12" s="869"/>
      <c r="BA12" s="866"/>
      <c r="BB12" s="799"/>
      <c r="BC12" s="799"/>
      <c r="BD12" s="799"/>
      <c r="BE12" s="865"/>
      <c r="BF12" s="606" t="s">
        <v>94</v>
      </c>
      <c r="BG12" s="606" t="s">
        <v>95</v>
      </c>
      <c r="BH12" s="865"/>
      <c r="BI12" s="865"/>
      <c r="BJ12" s="866"/>
      <c r="BK12" s="799"/>
      <c r="BL12" s="799"/>
      <c r="BM12" s="799"/>
      <c r="BN12" s="866"/>
      <c r="BO12" s="799"/>
      <c r="BP12" s="799"/>
      <c r="BQ12" s="799"/>
      <c r="BR12" s="866"/>
      <c r="BS12" s="799"/>
      <c r="BT12" s="799"/>
      <c r="BU12" s="774"/>
      <c r="BV12" s="774"/>
      <c r="BW12" s="771"/>
      <c r="BX12" s="866"/>
    </row>
    <row r="13" spans="1:77" s="212" customFormat="1" ht="18.75" customHeight="1">
      <c r="A13" s="521">
        <v>1</v>
      </c>
      <c r="B13" s="521">
        <v>2</v>
      </c>
      <c r="C13" s="521">
        <v>3</v>
      </c>
      <c r="D13" s="521">
        <v>4</v>
      </c>
      <c r="E13" s="521">
        <v>5</v>
      </c>
      <c r="F13" s="521">
        <v>6</v>
      </c>
      <c r="G13" s="521">
        <v>6</v>
      </c>
      <c r="H13" s="521">
        <v>6</v>
      </c>
      <c r="I13" s="521">
        <v>7</v>
      </c>
      <c r="J13" s="521">
        <v>8</v>
      </c>
      <c r="K13" s="521">
        <v>9</v>
      </c>
      <c r="L13" s="521">
        <v>8</v>
      </c>
      <c r="M13" s="521">
        <v>9</v>
      </c>
      <c r="N13" s="521">
        <v>10</v>
      </c>
      <c r="O13" s="521">
        <v>10</v>
      </c>
      <c r="P13" s="521">
        <v>10</v>
      </c>
      <c r="Q13" s="521">
        <v>15</v>
      </c>
      <c r="R13" s="521">
        <v>17</v>
      </c>
      <c r="S13" s="521">
        <v>12</v>
      </c>
      <c r="T13" s="521">
        <v>20</v>
      </c>
      <c r="U13" s="521">
        <v>11</v>
      </c>
      <c r="V13" s="521">
        <v>13</v>
      </c>
      <c r="W13" s="521">
        <v>14</v>
      </c>
      <c r="X13" s="521">
        <v>12</v>
      </c>
      <c r="Y13" s="521">
        <v>13</v>
      </c>
      <c r="Z13" s="521">
        <v>26</v>
      </c>
      <c r="AA13" s="385">
        <v>15</v>
      </c>
      <c r="AB13" s="385">
        <v>16</v>
      </c>
      <c r="AC13" s="521">
        <v>14</v>
      </c>
      <c r="AD13" s="521">
        <v>15</v>
      </c>
      <c r="AE13" s="521">
        <v>16</v>
      </c>
      <c r="AF13" s="521">
        <v>33</v>
      </c>
      <c r="AG13" s="385">
        <v>34</v>
      </c>
      <c r="AH13" s="521">
        <v>35</v>
      </c>
      <c r="AI13" s="521">
        <v>36</v>
      </c>
      <c r="AJ13" s="521">
        <v>37</v>
      </c>
      <c r="AK13" s="521">
        <v>38</v>
      </c>
      <c r="AL13" s="521">
        <v>39</v>
      </c>
      <c r="AM13" s="521">
        <v>40</v>
      </c>
      <c r="AN13" s="521">
        <v>41</v>
      </c>
      <c r="AO13" s="521">
        <v>42</v>
      </c>
      <c r="AP13" s="521">
        <v>43</v>
      </c>
      <c r="AQ13" s="521">
        <v>44</v>
      </c>
      <c r="AR13" s="521">
        <v>45</v>
      </c>
      <c r="AS13" s="521">
        <v>46</v>
      </c>
      <c r="AT13" s="521">
        <v>17</v>
      </c>
      <c r="AU13" s="521">
        <v>48</v>
      </c>
      <c r="AV13" s="521">
        <v>49</v>
      </c>
      <c r="AW13" s="521">
        <v>50</v>
      </c>
      <c r="AX13" s="521">
        <v>18</v>
      </c>
      <c r="AY13" s="521">
        <v>19</v>
      </c>
      <c r="AZ13" s="521">
        <v>20</v>
      </c>
      <c r="BA13" s="521">
        <v>55</v>
      </c>
      <c r="BB13" s="521">
        <v>56</v>
      </c>
      <c r="BC13" s="521">
        <v>57</v>
      </c>
      <c r="BD13" s="521">
        <v>58</v>
      </c>
      <c r="BE13" s="521">
        <v>59</v>
      </c>
      <c r="BF13" s="521">
        <v>60</v>
      </c>
      <c r="BG13" s="521">
        <v>61</v>
      </c>
      <c r="BH13" s="521">
        <v>62</v>
      </c>
      <c r="BI13" s="521">
        <v>63</v>
      </c>
      <c r="BJ13" s="521">
        <v>64</v>
      </c>
      <c r="BK13" s="521">
        <v>65</v>
      </c>
      <c r="BL13" s="521">
        <v>66</v>
      </c>
      <c r="BM13" s="521">
        <v>67</v>
      </c>
      <c r="BN13" s="521">
        <v>68</v>
      </c>
      <c r="BO13" s="521">
        <v>69</v>
      </c>
      <c r="BP13" s="521">
        <v>70</v>
      </c>
      <c r="BQ13" s="521">
        <v>71</v>
      </c>
      <c r="BR13" s="521">
        <v>72</v>
      </c>
      <c r="BS13" s="521">
        <v>73</v>
      </c>
      <c r="BT13" s="521">
        <v>74</v>
      </c>
      <c r="BU13" s="521">
        <v>75</v>
      </c>
      <c r="BV13" s="521">
        <v>22</v>
      </c>
      <c r="BW13" s="521">
        <v>21</v>
      </c>
      <c r="BX13" s="521">
        <v>21</v>
      </c>
      <c r="BY13" s="228"/>
    </row>
    <row r="14" spans="1:77" s="90" customFormat="1" ht="26.25" customHeight="1">
      <c r="A14" s="602"/>
      <c r="B14" s="602" t="s">
        <v>7</v>
      </c>
      <c r="C14" s="602"/>
      <c r="D14" s="602"/>
      <c r="E14" s="602"/>
      <c r="F14" s="602"/>
      <c r="G14" s="602"/>
      <c r="H14" s="602"/>
      <c r="I14" s="393"/>
      <c r="J14" s="393"/>
      <c r="K14" s="602"/>
      <c r="L14" s="602"/>
      <c r="M14" s="243">
        <f>M15+M17+M83</f>
        <v>759445.75683999993</v>
      </c>
      <c r="N14" s="243">
        <f t="shared" ref="N14:BW14" si="0">N15+N17+N83</f>
        <v>32117</v>
      </c>
      <c r="O14" s="243">
        <f t="shared" si="0"/>
        <v>86500</v>
      </c>
      <c r="P14" s="243">
        <f t="shared" si="0"/>
        <v>395514.07284000004</v>
      </c>
      <c r="Q14" s="243" t="e">
        <f t="shared" si="0"/>
        <v>#VALUE!</v>
      </c>
      <c r="R14" s="243" t="e">
        <f t="shared" si="0"/>
        <v>#VALUE!</v>
      </c>
      <c r="S14" s="243" t="e">
        <f t="shared" si="0"/>
        <v>#VALUE!</v>
      </c>
      <c r="T14" s="243" t="e">
        <f t="shared" si="0"/>
        <v>#VALUE!</v>
      </c>
      <c r="U14" s="243">
        <f t="shared" si="0"/>
        <v>32919.425999999999</v>
      </c>
      <c r="V14" s="243">
        <f t="shared" si="0"/>
        <v>0</v>
      </c>
      <c r="W14" s="243">
        <f t="shared" si="0"/>
        <v>10000</v>
      </c>
      <c r="X14" s="243">
        <f t="shared" si="0"/>
        <v>22919.425999999999</v>
      </c>
      <c r="Y14" s="243">
        <f t="shared" si="0"/>
        <v>396697.31225200003</v>
      </c>
      <c r="Z14" s="243">
        <f t="shared" si="0"/>
        <v>0</v>
      </c>
      <c r="AA14" s="243">
        <f t="shared" si="0"/>
        <v>0</v>
      </c>
      <c r="AB14" s="243">
        <f t="shared" si="0"/>
        <v>396958.76225200004</v>
      </c>
      <c r="AC14" s="243">
        <f t="shared" si="0"/>
        <v>66010</v>
      </c>
      <c r="AD14" s="243">
        <f t="shared" si="0"/>
        <v>262063.75425199996</v>
      </c>
      <c r="AE14" s="243">
        <f t="shared" si="0"/>
        <v>68623.558000000005</v>
      </c>
      <c r="AF14" s="243">
        <f>AF15+AF17+AF83</f>
        <v>212574.49799999999</v>
      </c>
      <c r="AG14" s="243">
        <f t="shared" si="0"/>
        <v>0</v>
      </c>
      <c r="AH14" s="243">
        <f t="shared" si="0"/>
        <v>0</v>
      </c>
      <c r="AI14" s="243">
        <f>AI15+AI17+AI83</f>
        <v>212574.49799999999</v>
      </c>
      <c r="AJ14" s="243">
        <f t="shared" si="0"/>
        <v>55513</v>
      </c>
      <c r="AK14" s="243">
        <f t="shared" si="0"/>
        <v>108824.22</v>
      </c>
      <c r="AL14" s="243">
        <f t="shared" si="0"/>
        <v>48237.278000000006</v>
      </c>
      <c r="AM14" s="243">
        <f t="shared" si="0"/>
        <v>187112.01280400003</v>
      </c>
      <c r="AN14" s="243">
        <f t="shared" si="0"/>
        <v>0</v>
      </c>
      <c r="AO14" s="243">
        <f t="shared" si="0"/>
        <v>261.45</v>
      </c>
      <c r="AP14" s="243">
        <f t="shared" si="0"/>
        <v>187372.90880400004</v>
      </c>
      <c r="AQ14" s="243">
        <f t="shared" si="0"/>
        <v>54018.532763999996</v>
      </c>
      <c r="AR14" s="243">
        <f t="shared" si="0"/>
        <v>86643.88</v>
      </c>
      <c r="AS14" s="243">
        <f t="shared" si="0"/>
        <v>46449.046040000008</v>
      </c>
      <c r="AT14" s="243">
        <f t="shared" si="0"/>
        <v>184200.364252</v>
      </c>
      <c r="AU14" s="243">
        <f t="shared" si="0"/>
        <v>0</v>
      </c>
      <c r="AV14" s="243">
        <f t="shared" si="0"/>
        <v>0</v>
      </c>
      <c r="AW14" s="243">
        <f t="shared" si="0"/>
        <v>184200.364252</v>
      </c>
      <c r="AX14" s="243">
        <f t="shared" si="0"/>
        <v>10497</v>
      </c>
      <c r="AY14" s="243">
        <f t="shared" si="0"/>
        <v>153578.53425199998</v>
      </c>
      <c r="AZ14" s="243">
        <f t="shared" si="0"/>
        <v>20124.830000000002</v>
      </c>
      <c r="BA14" s="243">
        <f t="shared" si="0"/>
        <v>36206.102999999996</v>
      </c>
      <c r="BB14" s="243">
        <f t="shared" si="0"/>
        <v>0</v>
      </c>
      <c r="BC14" s="243">
        <f t="shared" si="0"/>
        <v>0</v>
      </c>
      <c r="BD14" s="243">
        <f t="shared" si="0"/>
        <v>36206.102999999996</v>
      </c>
      <c r="BE14" s="243">
        <f t="shared" si="0"/>
        <v>12836.813</v>
      </c>
      <c r="BF14" s="243">
        <f t="shared" si="0"/>
        <v>12836.813</v>
      </c>
      <c r="BG14" s="243">
        <f t="shared" si="0"/>
        <v>0</v>
      </c>
      <c r="BH14" s="243">
        <f t="shared" si="0"/>
        <v>8209</v>
      </c>
      <c r="BI14" s="243">
        <f t="shared" si="0"/>
        <v>15160.289999999999</v>
      </c>
      <c r="BJ14" s="243">
        <f t="shared" si="0"/>
        <v>11839.698</v>
      </c>
      <c r="BK14" s="243">
        <f t="shared" si="0"/>
        <v>0</v>
      </c>
      <c r="BL14" s="243">
        <f t="shared" si="0"/>
        <v>0</v>
      </c>
      <c r="BM14" s="243">
        <f t="shared" si="0"/>
        <v>11839.698</v>
      </c>
      <c r="BN14" s="243">
        <f t="shared" si="0"/>
        <v>11788.132000000001</v>
      </c>
      <c r="BO14" s="243">
        <f t="shared" si="0"/>
        <v>0</v>
      </c>
      <c r="BP14" s="243">
        <f t="shared" si="0"/>
        <v>0</v>
      </c>
      <c r="BQ14" s="243">
        <f t="shared" si="0"/>
        <v>11788.132000000001</v>
      </c>
      <c r="BR14" s="243">
        <f t="shared" si="0"/>
        <v>62103.05</v>
      </c>
      <c r="BS14" s="243">
        <f t="shared" si="0"/>
        <v>0</v>
      </c>
      <c r="BT14" s="243">
        <f t="shared" si="0"/>
        <v>62100</v>
      </c>
      <c r="BU14" s="243">
        <f t="shared" si="0"/>
        <v>3.05</v>
      </c>
      <c r="BV14" s="243">
        <f t="shared" si="0"/>
        <v>2.4</v>
      </c>
      <c r="BW14" s="243">
        <f t="shared" si="0"/>
        <v>3684.8650000000002</v>
      </c>
      <c r="BX14" s="243"/>
      <c r="BY14" s="244"/>
    </row>
    <row r="15" spans="1:77" ht="36" customHeight="1">
      <c r="A15" s="414" t="s">
        <v>11</v>
      </c>
      <c r="B15" s="414" t="s">
        <v>3639</v>
      </c>
      <c r="C15" s="609"/>
      <c r="D15" s="609"/>
      <c r="E15" s="609"/>
      <c r="F15" s="609"/>
      <c r="G15" s="609"/>
      <c r="H15" s="609"/>
      <c r="I15" s="414"/>
      <c r="J15" s="414"/>
      <c r="K15" s="609"/>
      <c r="L15" s="609"/>
      <c r="M15" s="610"/>
      <c r="N15" s="610"/>
      <c r="O15" s="610"/>
      <c r="P15" s="610"/>
      <c r="Q15" s="610"/>
      <c r="R15" s="610"/>
      <c r="S15" s="610"/>
      <c r="T15" s="610"/>
      <c r="U15" s="610"/>
      <c r="V15" s="610"/>
      <c r="W15" s="610"/>
      <c r="X15" s="610"/>
      <c r="Y15" s="610">
        <f>Y16</f>
        <v>10670</v>
      </c>
      <c r="Z15" s="610">
        <f t="shared" ref="Z15:BX15" si="1">Z16</f>
        <v>0</v>
      </c>
      <c r="AA15" s="610">
        <f t="shared" si="1"/>
        <v>0</v>
      </c>
      <c r="AB15" s="610">
        <f t="shared" si="1"/>
        <v>10670</v>
      </c>
      <c r="AC15" s="610">
        <f t="shared" si="1"/>
        <v>0</v>
      </c>
      <c r="AD15" s="610">
        <f t="shared" si="1"/>
        <v>10670</v>
      </c>
      <c r="AE15" s="610">
        <f t="shared" si="1"/>
        <v>0</v>
      </c>
      <c r="AF15" s="610">
        <f t="shared" si="1"/>
        <v>5400</v>
      </c>
      <c r="AG15" s="610">
        <f t="shared" si="1"/>
        <v>0</v>
      </c>
      <c r="AH15" s="610">
        <f t="shared" si="1"/>
        <v>0</v>
      </c>
      <c r="AI15" s="610">
        <f t="shared" si="1"/>
        <v>5400</v>
      </c>
      <c r="AJ15" s="610">
        <f t="shared" si="1"/>
        <v>0</v>
      </c>
      <c r="AK15" s="610">
        <f t="shared" si="1"/>
        <v>5400</v>
      </c>
      <c r="AL15" s="610">
        <f t="shared" si="1"/>
        <v>0</v>
      </c>
      <c r="AM15" s="610">
        <f t="shared" si="1"/>
        <v>5400</v>
      </c>
      <c r="AN15" s="610">
        <f t="shared" si="1"/>
        <v>0</v>
      </c>
      <c r="AO15" s="610">
        <f t="shared" si="1"/>
        <v>0</v>
      </c>
      <c r="AP15" s="610">
        <f t="shared" si="1"/>
        <v>5400</v>
      </c>
      <c r="AQ15" s="610">
        <f t="shared" si="1"/>
        <v>0</v>
      </c>
      <c r="AR15" s="610">
        <f t="shared" si="1"/>
        <v>5400</v>
      </c>
      <c r="AS15" s="610">
        <f t="shared" si="1"/>
        <v>0</v>
      </c>
      <c r="AT15" s="610">
        <f t="shared" si="1"/>
        <v>8900</v>
      </c>
      <c r="AU15" s="610">
        <f t="shared" si="1"/>
        <v>0</v>
      </c>
      <c r="AV15" s="610">
        <f t="shared" si="1"/>
        <v>0</v>
      </c>
      <c r="AW15" s="610">
        <f t="shared" si="1"/>
        <v>8900</v>
      </c>
      <c r="AX15" s="610">
        <f t="shared" si="1"/>
        <v>0</v>
      </c>
      <c r="AY15" s="610">
        <f t="shared" si="1"/>
        <v>8900</v>
      </c>
      <c r="AZ15" s="610">
        <f t="shared" si="1"/>
        <v>0</v>
      </c>
      <c r="BA15" s="610">
        <f t="shared" si="1"/>
        <v>0</v>
      </c>
      <c r="BB15" s="610">
        <f t="shared" si="1"/>
        <v>0</v>
      </c>
      <c r="BC15" s="610">
        <f t="shared" si="1"/>
        <v>0</v>
      </c>
      <c r="BD15" s="610">
        <f t="shared" si="1"/>
        <v>0</v>
      </c>
      <c r="BE15" s="610">
        <f t="shared" si="1"/>
        <v>0</v>
      </c>
      <c r="BF15" s="610">
        <f t="shared" si="1"/>
        <v>0</v>
      </c>
      <c r="BG15" s="610">
        <f t="shared" si="1"/>
        <v>0</v>
      </c>
      <c r="BH15" s="610">
        <f t="shared" si="1"/>
        <v>0</v>
      </c>
      <c r="BI15" s="610">
        <f t="shared" si="1"/>
        <v>0</v>
      </c>
      <c r="BJ15" s="610">
        <f t="shared" si="1"/>
        <v>0</v>
      </c>
      <c r="BK15" s="610">
        <f t="shared" si="1"/>
        <v>0</v>
      </c>
      <c r="BL15" s="610">
        <f t="shared" si="1"/>
        <v>0</v>
      </c>
      <c r="BM15" s="610">
        <f t="shared" si="1"/>
        <v>0</v>
      </c>
      <c r="BN15" s="610">
        <f t="shared" si="1"/>
        <v>0</v>
      </c>
      <c r="BO15" s="610">
        <f t="shared" si="1"/>
        <v>0</v>
      </c>
      <c r="BP15" s="610">
        <f t="shared" si="1"/>
        <v>0</v>
      </c>
      <c r="BQ15" s="610">
        <f t="shared" si="1"/>
        <v>0</v>
      </c>
      <c r="BR15" s="610">
        <f t="shared" si="1"/>
        <v>0</v>
      </c>
      <c r="BS15" s="610">
        <f t="shared" si="1"/>
        <v>0</v>
      </c>
      <c r="BT15" s="610">
        <f t="shared" si="1"/>
        <v>0</v>
      </c>
      <c r="BU15" s="610">
        <f t="shared" si="1"/>
        <v>0</v>
      </c>
      <c r="BV15" s="610">
        <f t="shared" si="1"/>
        <v>0</v>
      </c>
      <c r="BW15" s="610">
        <f t="shared" si="1"/>
        <v>0</v>
      </c>
      <c r="BX15" s="610">
        <f t="shared" si="1"/>
        <v>0</v>
      </c>
      <c r="BY15" s="222"/>
    </row>
    <row r="16" spans="1:77" ht="57" customHeight="1" outlineLevel="1">
      <c r="A16" s="434">
        <v>1</v>
      </c>
      <c r="B16" s="611" t="s">
        <v>1908</v>
      </c>
      <c r="C16" s="434" t="s">
        <v>77</v>
      </c>
      <c r="D16" s="434" t="s">
        <v>570</v>
      </c>
      <c r="E16" s="434"/>
      <c r="F16" s="434"/>
      <c r="G16" s="434"/>
      <c r="H16" s="434"/>
      <c r="I16" s="420"/>
      <c r="J16" s="420"/>
      <c r="K16" s="434"/>
      <c r="L16" s="434"/>
      <c r="M16" s="133"/>
      <c r="N16" s="133"/>
      <c r="O16" s="133"/>
      <c r="P16" s="133"/>
      <c r="Q16" s="133"/>
      <c r="R16" s="133"/>
      <c r="S16" s="133"/>
      <c r="T16" s="133"/>
      <c r="U16" s="133"/>
      <c r="V16" s="133"/>
      <c r="W16" s="133"/>
      <c r="X16" s="133"/>
      <c r="Y16" s="133">
        <v>10670</v>
      </c>
      <c r="Z16" s="133">
        <v>0</v>
      </c>
      <c r="AA16" s="133">
        <v>0</v>
      </c>
      <c r="AB16" s="133">
        <v>10670</v>
      </c>
      <c r="AC16" s="133"/>
      <c r="AD16" s="133">
        <v>10670</v>
      </c>
      <c r="AE16" s="133">
        <v>0</v>
      </c>
      <c r="AF16" s="133">
        <v>5400</v>
      </c>
      <c r="AG16" s="133">
        <v>0</v>
      </c>
      <c r="AH16" s="133">
        <v>0</v>
      </c>
      <c r="AI16" s="133">
        <v>5400</v>
      </c>
      <c r="AJ16" s="133"/>
      <c r="AK16" s="133">
        <v>5400</v>
      </c>
      <c r="AL16" s="133">
        <v>0</v>
      </c>
      <c r="AM16" s="133">
        <v>5400</v>
      </c>
      <c r="AN16" s="133">
        <v>0</v>
      </c>
      <c r="AO16" s="133">
        <v>0</v>
      </c>
      <c r="AP16" s="133">
        <v>5400</v>
      </c>
      <c r="AQ16" s="133">
        <v>0</v>
      </c>
      <c r="AR16" s="133">
        <v>5400</v>
      </c>
      <c r="AS16" s="133">
        <v>0</v>
      </c>
      <c r="AT16" s="133">
        <v>8900</v>
      </c>
      <c r="AU16" s="133">
        <v>0</v>
      </c>
      <c r="AV16" s="133">
        <v>0</v>
      </c>
      <c r="AW16" s="133">
        <v>8900</v>
      </c>
      <c r="AX16" s="133">
        <v>0</v>
      </c>
      <c r="AY16" s="133">
        <v>8900</v>
      </c>
      <c r="AZ16" s="133">
        <v>0</v>
      </c>
      <c r="BA16" s="133">
        <v>0</v>
      </c>
      <c r="BB16" s="133">
        <v>0</v>
      </c>
      <c r="BC16" s="133">
        <v>0</v>
      </c>
      <c r="BD16" s="133">
        <v>0</v>
      </c>
      <c r="BE16" s="133">
        <v>0</v>
      </c>
      <c r="BF16" s="133">
        <v>0</v>
      </c>
      <c r="BG16" s="133">
        <v>0</v>
      </c>
      <c r="BH16" s="133">
        <v>0</v>
      </c>
      <c r="BI16" s="133">
        <v>0</v>
      </c>
      <c r="BJ16" s="133">
        <v>0</v>
      </c>
      <c r="BK16" s="133">
        <v>0</v>
      </c>
      <c r="BL16" s="133">
        <v>0</v>
      </c>
      <c r="BM16" s="133">
        <v>0</v>
      </c>
      <c r="BN16" s="133">
        <v>0</v>
      </c>
      <c r="BO16" s="133">
        <v>0</v>
      </c>
      <c r="BP16" s="133">
        <v>0</v>
      </c>
      <c r="BQ16" s="133">
        <v>0</v>
      </c>
      <c r="BR16" s="133">
        <v>0</v>
      </c>
      <c r="BS16" s="133">
        <v>0</v>
      </c>
      <c r="BT16" s="133">
        <v>0</v>
      </c>
      <c r="BU16" s="133">
        <v>0</v>
      </c>
      <c r="BV16" s="133">
        <v>0</v>
      </c>
      <c r="BW16" s="133">
        <v>0</v>
      </c>
      <c r="BX16" s="134">
        <v>0</v>
      </c>
      <c r="BY16" s="222"/>
    </row>
    <row r="17" spans="1:76" ht="33.75" customHeight="1">
      <c r="A17" s="418" t="s">
        <v>10</v>
      </c>
      <c r="B17" s="418" t="s">
        <v>3665</v>
      </c>
      <c r="C17" s="454"/>
      <c r="D17" s="454"/>
      <c r="E17" s="454"/>
      <c r="F17" s="454"/>
      <c r="G17" s="454"/>
      <c r="H17" s="454"/>
      <c r="I17" s="418"/>
      <c r="J17" s="418"/>
      <c r="K17" s="454"/>
      <c r="L17" s="454"/>
      <c r="M17" s="207">
        <f>M18+M45+M63+M73+M77+M82</f>
        <v>722976.30683999998</v>
      </c>
      <c r="N17" s="207">
        <f t="shared" ref="N17:BW17" si="2">N18+N45+N63+N73+N77+N82</f>
        <v>0</v>
      </c>
      <c r="O17" s="207">
        <f t="shared" si="2"/>
        <v>86500</v>
      </c>
      <c r="P17" s="207">
        <f t="shared" si="2"/>
        <v>394652.62284000003</v>
      </c>
      <c r="Q17" s="207">
        <f t="shared" si="2"/>
        <v>0</v>
      </c>
      <c r="R17" s="207">
        <f t="shared" si="2"/>
        <v>0</v>
      </c>
      <c r="S17" s="207">
        <f t="shared" si="2"/>
        <v>0</v>
      </c>
      <c r="T17" s="207">
        <f t="shared" si="2"/>
        <v>0</v>
      </c>
      <c r="U17" s="207">
        <f t="shared" si="2"/>
        <v>32919.425999999999</v>
      </c>
      <c r="V17" s="207">
        <f t="shared" si="2"/>
        <v>0</v>
      </c>
      <c r="W17" s="207">
        <f t="shared" si="2"/>
        <v>10000</v>
      </c>
      <c r="X17" s="207">
        <f t="shared" si="2"/>
        <v>22919.425999999999</v>
      </c>
      <c r="Y17" s="207">
        <f t="shared" si="2"/>
        <v>385165.86225200002</v>
      </c>
      <c r="Z17" s="207">
        <f t="shared" si="2"/>
        <v>0</v>
      </c>
      <c r="AA17" s="207">
        <f t="shared" si="2"/>
        <v>0</v>
      </c>
      <c r="AB17" s="207">
        <f t="shared" si="2"/>
        <v>385165.86225200002</v>
      </c>
      <c r="AC17" s="207">
        <f t="shared" si="2"/>
        <v>66010</v>
      </c>
      <c r="AD17" s="207">
        <f t="shared" si="2"/>
        <v>251393.75425199996</v>
      </c>
      <c r="AE17" s="207">
        <f t="shared" si="2"/>
        <v>67762.108000000007</v>
      </c>
      <c r="AF17" s="207">
        <f t="shared" si="2"/>
        <v>206774.49799999999</v>
      </c>
      <c r="AG17" s="207">
        <f t="shared" si="2"/>
        <v>0</v>
      </c>
      <c r="AH17" s="207">
        <f t="shared" si="2"/>
        <v>0</v>
      </c>
      <c r="AI17" s="207">
        <f t="shared" si="2"/>
        <v>206774.49799999999</v>
      </c>
      <c r="AJ17" s="207">
        <f t="shared" si="2"/>
        <v>55513</v>
      </c>
      <c r="AK17" s="207">
        <f t="shared" si="2"/>
        <v>103424.22</v>
      </c>
      <c r="AL17" s="207">
        <f t="shared" si="2"/>
        <v>47837.278000000006</v>
      </c>
      <c r="AM17" s="207">
        <f t="shared" si="2"/>
        <v>181312.01280400003</v>
      </c>
      <c r="AN17" s="207">
        <f t="shared" si="2"/>
        <v>0</v>
      </c>
      <c r="AO17" s="207">
        <f t="shared" si="2"/>
        <v>0</v>
      </c>
      <c r="AP17" s="207">
        <f t="shared" si="2"/>
        <v>181311.45880400002</v>
      </c>
      <c r="AQ17" s="207">
        <f t="shared" si="2"/>
        <v>54018.532763999996</v>
      </c>
      <c r="AR17" s="207">
        <f t="shared" si="2"/>
        <v>81243.88</v>
      </c>
      <c r="AS17" s="207">
        <f t="shared" si="2"/>
        <v>46049.046040000008</v>
      </c>
      <c r="AT17" s="207">
        <f t="shared" si="2"/>
        <v>175100.364252</v>
      </c>
      <c r="AU17" s="207">
        <f t="shared" si="2"/>
        <v>0</v>
      </c>
      <c r="AV17" s="207">
        <f t="shared" si="2"/>
        <v>0</v>
      </c>
      <c r="AW17" s="207">
        <f t="shared" si="2"/>
        <v>175100.364252</v>
      </c>
      <c r="AX17" s="207">
        <f t="shared" si="2"/>
        <v>10497</v>
      </c>
      <c r="AY17" s="207">
        <f t="shared" si="2"/>
        <v>144678.53425199998</v>
      </c>
      <c r="AZ17" s="207">
        <f t="shared" si="2"/>
        <v>19924.830000000002</v>
      </c>
      <c r="BA17" s="207">
        <f t="shared" si="2"/>
        <v>36206.102999999996</v>
      </c>
      <c r="BB17" s="207">
        <f t="shared" si="2"/>
        <v>0</v>
      </c>
      <c r="BC17" s="207">
        <f t="shared" si="2"/>
        <v>0</v>
      </c>
      <c r="BD17" s="207">
        <f t="shared" si="2"/>
        <v>36206.102999999996</v>
      </c>
      <c r="BE17" s="207">
        <f t="shared" si="2"/>
        <v>12836.813</v>
      </c>
      <c r="BF17" s="207">
        <f t="shared" si="2"/>
        <v>12836.813</v>
      </c>
      <c r="BG17" s="207">
        <f t="shared" si="2"/>
        <v>0</v>
      </c>
      <c r="BH17" s="207">
        <f t="shared" si="2"/>
        <v>8209</v>
      </c>
      <c r="BI17" s="207">
        <f t="shared" si="2"/>
        <v>15160.289999999999</v>
      </c>
      <c r="BJ17" s="207">
        <f t="shared" si="2"/>
        <v>11839.698</v>
      </c>
      <c r="BK17" s="207">
        <f t="shared" si="2"/>
        <v>0</v>
      </c>
      <c r="BL17" s="207">
        <f t="shared" si="2"/>
        <v>0</v>
      </c>
      <c r="BM17" s="207">
        <f t="shared" si="2"/>
        <v>11839.698</v>
      </c>
      <c r="BN17" s="207">
        <f t="shared" si="2"/>
        <v>11788.132000000001</v>
      </c>
      <c r="BO17" s="207">
        <f t="shared" si="2"/>
        <v>0</v>
      </c>
      <c r="BP17" s="207">
        <f t="shared" si="2"/>
        <v>0</v>
      </c>
      <c r="BQ17" s="207">
        <f t="shared" si="2"/>
        <v>11788.132000000001</v>
      </c>
      <c r="BR17" s="207">
        <f t="shared" si="2"/>
        <v>62100</v>
      </c>
      <c r="BS17" s="207">
        <f t="shared" si="2"/>
        <v>0</v>
      </c>
      <c r="BT17" s="207">
        <f t="shared" si="2"/>
        <v>62100</v>
      </c>
      <c r="BU17" s="207">
        <f t="shared" si="2"/>
        <v>0</v>
      </c>
      <c r="BV17" s="207">
        <f t="shared" si="2"/>
        <v>0</v>
      </c>
      <c r="BW17" s="207">
        <f t="shared" si="2"/>
        <v>3681.8150000000001</v>
      </c>
      <c r="BX17" s="207" t="s">
        <v>3692</v>
      </c>
    </row>
    <row r="18" spans="1:76" ht="36" customHeight="1">
      <c r="A18" s="454" t="s">
        <v>12</v>
      </c>
      <c r="B18" s="454" t="s">
        <v>1909</v>
      </c>
      <c r="C18" s="454"/>
      <c r="D18" s="454"/>
      <c r="E18" s="454"/>
      <c r="F18" s="454"/>
      <c r="G18" s="454"/>
      <c r="H18" s="454"/>
      <c r="I18" s="418"/>
      <c r="J18" s="418"/>
      <c r="K18" s="454"/>
      <c r="L18" s="454"/>
      <c r="M18" s="207">
        <f>M19+M25</f>
        <v>546007.16800000006</v>
      </c>
      <c r="N18" s="207">
        <f t="shared" ref="N18:BX18" si="3">N19+N25</f>
        <v>0</v>
      </c>
      <c r="O18" s="207">
        <f t="shared" si="3"/>
        <v>51500</v>
      </c>
      <c r="P18" s="207">
        <f t="shared" si="3"/>
        <v>252707.16800000001</v>
      </c>
      <c r="Q18" s="207">
        <f t="shared" si="3"/>
        <v>0</v>
      </c>
      <c r="R18" s="207">
        <f t="shared" si="3"/>
        <v>0</v>
      </c>
      <c r="S18" s="207">
        <f t="shared" si="3"/>
        <v>0</v>
      </c>
      <c r="T18" s="207">
        <f t="shared" si="3"/>
        <v>0</v>
      </c>
      <c r="U18" s="207">
        <f t="shared" si="3"/>
        <v>22919.425999999999</v>
      </c>
      <c r="V18" s="207">
        <f t="shared" si="3"/>
        <v>0</v>
      </c>
      <c r="W18" s="207">
        <f t="shared" si="3"/>
        <v>0</v>
      </c>
      <c r="X18" s="207">
        <f t="shared" si="3"/>
        <v>22919.425999999999</v>
      </c>
      <c r="Y18" s="207">
        <f t="shared" si="3"/>
        <v>221388.71825199999</v>
      </c>
      <c r="Z18" s="207">
        <f t="shared" si="3"/>
        <v>0</v>
      </c>
      <c r="AA18" s="207">
        <f t="shared" si="3"/>
        <v>0</v>
      </c>
      <c r="AB18" s="207">
        <f t="shared" si="3"/>
        <v>221388.71825199999</v>
      </c>
      <c r="AC18" s="207">
        <f t="shared" si="3"/>
        <v>49351.125999999997</v>
      </c>
      <c r="AD18" s="207">
        <f t="shared" si="3"/>
        <v>146918.09325199996</v>
      </c>
      <c r="AE18" s="207">
        <f t="shared" si="3"/>
        <v>25119.499</v>
      </c>
      <c r="AF18" s="207">
        <f t="shared" si="3"/>
        <v>120206.569</v>
      </c>
      <c r="AG18" s="207">
        <f t="shared" si="3"/>
        <v>0</v>
      </c>
      <c r="AH18" s="207">
        <f t="shared" si="3"/>
        <v>0</v>
      </c>
      <c r="AI18" s="207">
        <f t="shared" si="3"/>
        <v>120206.569</v>
      </c>
      <c r="AJ18" s="207">
        <f t="shared" si="3"/>
        <v>41519.125999999997</v>
      </c>
      <c r="AK18" s="207">
        <f t="shared" si="3"/>
        <v>58973.774000000005</v>
      </c>
      <c r="AL18" s="207">
        <f t="shared" si="3"/>
        <v>19713.669000000002</v>
      </c>
      <c r="AM18" s="207">
        <f t="shared" si="3"/>
        <v>115804.76100000003</v>
      </c>
      <c r="AN18" s="207">
        <f t="shared" si="3"/>
        <v>0</v>
      </c>
      <c r="AO18" s="207">
        <f t="shared" si="3"/>
        <v>0</v>
      </c>
      <c r="AP18" s="207">
        <f t="shared" si="3"/>
        <v>115804.76100000003</v>
      </c>
      <c r="AQ18" s="207">
        <f t="shared" si="3"/>
        <v>40362.464999999997</v>
      </c>
      <c r="AR18" s="207">
        <f t="shared" si="3"/>
        <v>55793.434000000008</v>
      </c>
      <c r="AS18" s="207">
        <f t="shared" si="3"/>
        <v>19648.862000000001</v>
      </c>
      <c r="AT18" s="207">
        <f t="shared" si="3"/>
        <v>101182.149252</v>
      </c>
      <c r="AU18" s="207">
        <f t="shared" si="3"/>
        <v>0</v>
      </c>
      <c r="AV18" s="207">
        <f t="shared" si="3"/>
        <v>0</v>
      </c>
      <c r="AW18" s="207">
        <f t="shared" si="3"/>
        <v>101182.149252</v>
      </c>
      <c r="AX18" s="207">
        <f t="shared" si="3"/>
        <v>7832</v>
      </c>
      <c r="AY18" s="207">
        <f t="shared" si="3"/>
        <v>87944.319252000001</v>
      </c>
      <c r="AZ18" s="207">
        <f t="shared" si="3"/>
        <v>5405.83</v>
      </c>
      <c r="BA18" s="207">
        <f t="shared" si="3"/>
        <v>20510.067999999999</v>
      </c>
      <c r="BB18" s="207">
        <f t="shared" si="3"/>
        <v>0</v>
      </c>
      <c r="BC18" s="207">
        <f t="shared" si="3"/>
        <v>0</v>
      </c>
      <c r="BD18" s="207">
        <f t="shared" si="3"/>
        <v>20510.067999999999</v>
      </c>
      <c r="BE18" s="207">
        <f t="shared" si="3"/>
        <v>7590.5930000000008</v>
      </c>
      <c r="BF18" s="207">
        <f t="shared" si="3"/>
        <v>7590.5930000000008</v>
      </c>
      <c r="BG18" s="207">
        <f t="shared" si="3"/>
        <v>0</v>
      </c>
      <c r="BH18" s="207">
        <f t="shared" si="3"/>
        <v>8209</v>
      </c>
      <c r="BI18" s="207">
        <f t="shared" si="3"/>
        <v>4710.4750000000004</v>
      </c>
      <c r="BJ18" s="207">
        <f t="shared" si="3"/>
        <v>3954.9009999999998</v>
      </c>
      <c r="BK18" s="207">
        <f t="shared" si="3"/>
        <v>0</v>
      </c>
      <c r="BL18" s="207">
        <f t="shared" si="3"/>
        <v>0</v>
      </c>
      <c r="BM18" s="207">
        <f t="shared" si="3"/>
        <v>3954.9009999999998</v>
      </c>
      <c r="BN18" s="207">
        <f t="shared" si="3"/>
        <v>3954.9009999999998</v>
      </c>
      <c r="BO18" s="207">
        <f t="shared" si="3"/>
        <v>0</v>
      </c>
      <c r="BP18" s="207">
        <f t="shared" si="3"/>
        <v>0</v>
      </c>
      <c r="BQ18" s="207">
        <f t="shared" si="3"/>
        <v>3954.9009999999998</v>
      </c>
      <c r="BR18" s="207">
        <f t="shared" si="3"/>
        <v>29100</v>
      </c>
      <c r="BS18" s="207">
        <f t="shared" si="3"/>
        <v>0</v>
      </c>
      <c r="BT18" s="207">
        <f t="shared" si="3"/>
        <v>29100</v>
      </c>
      <c r="BU18" s="207">
        <f t="shared" si="3"/>
        <v>0</v>
      </c>
      <c r="BV18" s="207">
        <f t="shared" si="3"/>
        <v>0</v>
      </c>
      <c r="BW18" s="207">
        <f t="shared" si="3"/>
        <v>3626.3780000000002</v>
      </c>
      <c r="BX18" s="207">
        <f t="shared" si="3"/>
        <v>0</v>
      </c>
    </row>
    <row r="19" spans="1:76" ht="39" customHeight="1" outlineLevel="1">
      <c r="A19" s="553" t="s">
        <v>45</v>
      </c>
      <c r="B19" s="612" t="s">
        <v>1910</v>
      </c>
      <c r="C19" s="454"/>
      <c r="D19" s="454"/>
      <c r="E19" s="454"/>
      <c r="F19" s="454"/>
      <c r="G19" s="454"/>
      <c r="H19" s="454"/>
      <c r="I19" s="418"/>
      <c r="J19" s="418"/>
      <c r="K19" s="454"/>
      <c r="L19" s="454"/>
      <c r="M19" s="207">
        <f>SUM(M20:M24)</f>
        <v>36400</v>
      </c>
      <c r="N19" s="207">
        <f t="shared" ref="N19:BX19" si="4">SUM(N20:N24)</f>
        <v>0</v>
      </c>
      <c r="O19" s="207">
        <f t="shared" si="4"/>
        <v>0</v>
      </c>
      <c r="P19" s="207">
        <f t="shared" si="4"/>
        <v>36400</v>
      </c>
      <c r="Q19" s="207">
        <f t="shared" si="4"/>
        <v>0</v>
      </c>
      <c r="R19" s="207">
        <f t="shared" si="4"/>
        <v>0</v>
      </c>
      <c r="S19" s="207">
        <f t="shared" si="4"/>
        <v>0</v>
      </c>
      <c r="T19" s="207">
        <f t="shared" si="4"/>
        <v>0</v>
      </c>
      <c r="U19" s="207">
        <f t="shared" si="4"/>
        <v>22919.425999999999</v>
      </c>
      <c r="V19" s="207">
        <f t="shared" si="4"/>
        <v>0</v>
      </c>
      <c r="W19" s="207">
        <f t="shared" si="4"/>
        <v>0</v>
      </c>
      <c r="X19" s="207">
        <f t="shared" si="4"/>
        <v>22919.425999999999</v>
      </c>
      <c r="Y19" s="207">
        <f>SUM(Y20:Y24)</f>
        <v>11278.6</v>
      </c>
      <c r="Z19" s="207">
        <f t="shared" si="4"/>
        <v>0</v>
      </c>
      <c r="AA19" s="207">
        <f t="shared" si="4"/>
        <v>0</v>
      </c>
      <c r="AB19" s="207">
        <f t="shared" si="4"/>
        <v>11278.6</v>
      </c>
      <c r="AC19" s="207">
        <f t="shared" si="4"/>
        <v>7278.6</v>
      </c>
      <c r="AD19" s="207">
        <f t="shared" si="4"/>
        <v>0</v>
      </c>
      <c r="AE19" s="207">
        <f t="shared" si="4"/>
        <v>4000</v>
      </c>
      <c r="AF19" s="207">
        <f t="shared" si="4"/>
        <v>11278.6</v>
      </c>
      <c r="AG19" s="207">
        <f t="shared" si="4"/>
        <v>0</v>
      </c>
      <c r="AH19" s="207">
        <f t="shared" si="4"/>
        <v>0</v>
      </c>
      <c r="AI19" s="207">
        <f t="shared" si="4"/>
        <v>11278.6</v>
      </c>
      <c r="AJ19" s="207">
        <f t="shared" si="4"/>
        <v>7278.6</v>
      </c>
      <c r="AK19" s="207">
        <f t="shared" si="4"/>
        <v>0</v>
      </c>
      <c r="AL19" s="207">
        <f t="shared" si="4"/>
        <v>4000</v>
      </c>
      <c r="AM19" s="207">
        <f t="shared" si="4"/>
        <v>11270.724999999999</v>
      </c>
      <c r="AN19" s="207">
        <f t="shared" si="4"/>
        <v>0</v>
      </c>
      <c r="AO19" s="207">
        <f t="shared" si="4"/>
        <v>0</v>
      </c>
      <c r="AP19" s="207">
        <f t="shared" si="4"/>
        <v>11270.724999999999</v>
      </c>
      <c r="AQ19" s="207">
        <f t="shared" si="4"/>
        <v>7270.7249999999995</v>
      </c>
      <c r="AR19" s="207">
        <f t="shared" si="4"/>
        <v>0</v>
      </c>
      <c r="AS19" s="207">
        <f t="shared" si="4"/>
        <v>4000</v>
      </c>
      <c r="AT19" s="207">
        <f t="shared" si="4"/>
        <v>0</v>
      </c>
      <c r="AU19" s="207">
        <f t="shared" si="4"/>
        <v>0</v>
      </c>
      <c r="AV19" s="207">
        <f t="shared" si="4"/>
        <v>0</v>
      </c>
      <c r="AW19" s="207">
        <f t="shared" si="4"/>
        <v>0</v>
      </c>
      <c r="AX19" s="207">
        <f t="shared" si="4"/>
        <v>0</v>
      </c>
      <c r="AY19" s="207">
        <f t="shared" si="4"/>
        <v>0</v>
      </c>
      <c r="AZ19" s="207">
        <f t="shared" si="4"/>
        <v>0</v>
      </c>
      <c r="BA19" s="207">
        <f t="shared" si="4"/>
        <v>0</v>
      </c>
      <c r="BB19" s="207">
        <f t="shared" si="4"/>
        <v>0</v>
      </c>
      <c r="BC19" s="207">
        <f t="shared" si="4"/>
        <v>0</v>
      </c>
      <c r="BD19" s="207">
        <f t="shared" si="4"/>
        <v>0</v>
      </c>
      <c r="BE19" s="207">
        <f t="shared" si="4"/>
        <v>0</v>
      </c>
      <c r="BF19" s="207">
        <f t="shared" si="4"/>
        <v>0</v>
      </c>
      <c r="BG19" s="207">
        <f t="shared" si="4"/>
        <v>0</v>
      </c>
      <c r="BH19" s="207">
        <f t="shared" si="4"/>
        <v>0</v>
      </c>
      <c r="BI19" s="207">
        <f t="shared" si="4"/>
        <v>0</v>
      </c>
      <c r="BJ19" s="207">
        <f t="shared" si="4"/>
        <v>0</v>
      </c>
      <c r="BK19" s="207">
        <f t="shared" si="4"/>
        <v>0</v>
      </c>
      <c r="BL19" s="207">
        <f t="shared" si="4"/>
        <v>0</v>
      </c>
      <c r="BM19" s="207">
        <f t="shared" si="4"/>
        <v>0</v>
      </c>
      <c r="BN19" s="207">
        <f t="shared" si="4"/>
        <v>0</v>
      </c>
      <c r="BO19" s="207">
        <f t="shared" si="4"/>
        <v>0</v>
      </c>
      <c r="BP19" s="207">
        <f t="shared" si="4"/>
        <v>0</v>
      </c>
      <c r="BQ19" s="207">
        <f t="shared" si="4"/>
        <v>0</v>
      </c>
      <c r="BR19" s="207">
        <f t="shared" si="4"/>
        <v>0</v>
      </c>
      <c r="BS19" s="207">
        <f t="shared" si="4"/>
        <v>0</v>
      </c>
      <c r="BT19" s="207">
        <f t="shared" si="4"/>
        <v>0</v>
      </c>
      <c r="BU19" s="207">
        <f t="shared" si="4"/>
        <v>0</v>
      </c>
      <c r="BV19" s="207">
        <f t="shared" si="4"/>
        <v>0</v>
      </c>
      <c r="BW19" s="207">
        <f t="shared" si="4"/>
        <v>0</v>
      </c>
      <c r="BX19" s="207">
        <f t="shared" si="4"/>
        <v>0</v>
      </c>
    </row>
    <row r="20" spans="1:76" ht="61.5" outlineLevel="1">
      <c r="A20" s="434">
        <v>1</v>
      </c>
      <c r="B20" s="611" t="s">
        <v>1911</v>
      </c>
      <c r="C20" s="434" t="s">
        <v>1912</v>
      </c>
      <c r="D20" s="434" t="s">
        <v>1913</v>
      </c>
      <c r="E20" s="434" t="s">
        <v>49</v>
      </c>
      <c r="F20" s="434" t="s">
        <v>1914</v>
      </c>
      <c r="G20" s="434"/>
      <c r="H20" s="434"/>
      <c r="I20" s="420" t="s">
        <v>50</v>
      </c>
      <c r="J20" s="420">
        <v>2019</v>
      </c>
      <c r="K20" s="434" t="s">
        <v>1915</v>
      </c>
      <c r="L20" s="434" t="s">
        <v>1916</v>
      </c>
      <c r="M20" s="133">
        <v>6700</v>
      </c>
      <c r="N20" s="133"/>
      <c r="O20" s="133"/>
      <c r="P20" s="133">
        <v>6700</v>
      </c>
      <c r="Q20" s="133"/>
      <c r="R20" s="133" t="s">
        <v>1914</v>
      </c>
      <c r="S20" s="133" t="s">
        <v>1917</v>
      </c>
      <c r="T20" s="133" t="s">
        <v>1913</v>
      </c>
      <c r="U20" s="133">
        <v>4500</v>
      </c>
      <c r="V20" s="133"/>
      <c r="W20" s="133"/>
      <c r="X20" s="133">
        <v>4500</v>
      </c>
      <c r="Y20" s="133">
        <f>AC20+AD20+AE20</f>
        <v>1898</v>
      </c>
      <c r="Z20" s="133"/>
      <c r="AA20" s="133"/>
      <c r="AB20" s="133">
        <f>SUM(AC20:AE20)</f>
        <v>1898</v>
      </c>
      <c r="AC20" s="133">
        <v>1898</v>
      </c>
      <c r="AD20" s="133"/>
      <c r="AE20" s="133"/>
      <c r="AF20" s="133">
        <f>AJ20+AK20+AL20</f>
        <v>1898</v>
      </c>
      <c r="AG20" s="133"/>
      <c r="AH20" s="133"/>
      <c r="AI20" s="133">
        <f>SUM(AJ20:AL20)</f>
        <v>1898</v>
      </c>
      <c r="AJ20" s="133">
        <v>1898</v>
      </c>
      <c r="AK20" s="133">
        <v>0</v>
      </c>
      <c r="AL20" s="133">
        <v>0</v>
      </c>
      <c r="AM20" s="133">
        <v>1897.249</v>
      </c>
      <c r="AN20" s="133"/>
      <c r="AO20" s="133"/>
      <c r="AP20" s="133">
        <v>1897.249</v>
      </c>
      <c r="AQ20" s="133">
        <v>1897.249</v>
      </c>
      <c r="AR20" s="133">
        <v>0</v>
      </c>
      <c r="AS20" s="133">
        <v>0</v>
      </c>
      <c r="AT20" s="133">
        <f>AX20+AY20+AZ20</f>
        <v>0</v>
      </c>
      <c r="AU20" s="133"/>
      <c r="AV20" s="133"/>
      <c r="AW20" s="133">
        <f>SUM(AX20:AZ20)</f>
        <v>0</v>
      </c>
      <c r="AX20" s="133">
        <v>0</v>
      </c>
      <c r="AY20" s="133"/>
      <c r="AZ20" s="133"/>
      <c r="BA20" s="134">
        <v>0</v>
      </c>
      <c r="BB20" s="134"/>
      <c r="BC20" s="134"/>
      <c r="BD20" s="134">
        <v>0</v>
      </c>
      <c r="BE20" s="134">
        <v>0</v>
      </c>
      <c r="BF20" s="134"/>
      <c r="BG20" s="134"/>
      <c r="BH20" s="134"/>
      <c r="BI20" s="134"/>
      <c r="BJ20" s="134">
        <v>0</v>
      </c>
      <c r="BK20" s="134"/>
      <c r="BL20" s="134"/>
      <c r="BM20" s="134">
        <v>0</v>
      </c>
      <c r="BN20" s="134"/>
      <c r="BO20" s="134"/>
      <c r="BP20" s="134"/>
      <c r="BQ20" s="134"/>
      <c r="BR20" s="133"/>
      <c r="BS20" s="133"/>
      <c r="BT20" s="133"/>
      <c r="BU20" s="134"/>
      <c r="BV20" s="134"/>
      <c r="BW20" s="134"/>
      <c r="BX20" s="134"/>
    </row>
    <row r="21" spans="1:76" ht="61.5" outlineLevel="1">
      <c r="A21" s="434">
        <v>2</v>
      </c>
      <c r="B21" s="611" t="s">
        <v>1918</v>
      </c>
      <c r="C21" s="434" t="s">
        <v>1912</v>
      </c>
      <c r="D21" s="434" t="s">
        <v>1913</v>
      </c>
      <c r="E21" s="434" t="s">
        <v>49</v>
      </c>
      <c r="F21" s="434" t="s">
        <v>1914</v>
      </c>
      <c r="G21" s="434"/>
      <c r="H21" s="434"/>
      <c r="I21" s="420" t="s">
        <v>80</v>
      </c>
      <c r="J21" s="420">
        <v>2019</v>
      </c>
      <c r="K21" s="434" t="s">
        <v>1919</v>
      </c>
      <c r="L21" s="434" t="s">
        <v>1920</v>
      </c>
      <c r="M21" s="133">
        <v>9000</v>
      </c>
      <c r="N21" s="133"/>
      <c r="O21" s="133"/>
      <c r="P21" s="133">
        <v>9000</v>
      </c>
      <c r="Q21" s="133"/>
      <c r="R21" s="133" t="s">
        <v>1914</v>
      </c>
      <c r="S21" s="133" t="s">
        <v>1917</v>
      </c>
      <c r="T21" s="133" t="s">
        <v>1913</v>
      </c>
      <c r="U21" s="133">
        <v>6904</v>
      </c>
      <c r="V21" s="133"/>
      <c r="W21" s="133"/>
      <c r="X21" s="133">
        <v>6904</v>
      </c>
      <c r="Y21" s="133">
        <f t="shared" ref="Y21:Y81" si="5">AC21+AD21+AE21</f>
        <v>1520.6</v>
      </c>
      <c r="Z21" s="133"/>
      <c r="AA21" s="133"/>
      <c r="AB21" s="133">
        <f t="shared" ref="AB21:AB81" si="6">SUM(AC21:AE21)</f>
        <v>1520.6</v>
      </c>
      <c r="AC21" s="133">
        <v>1520.6</v>
      </c>
      <c r="AD21" s="133"/>
      <c r="AE21" s="133"/>
      <c r="AF21" s="133">
        <f t="shared" ref="AF21:AF81" si="7">AJ21+AK21+AL21</f>
        <v>1520.6</v>
      </c>
      <c r="AG21" s="133"/>
      <c r="AH21" s="133"/>
      <c r="AI21" s="133">
        <f t="shared" ref="AI21:AI81" si="8">SUM(AJ21:AL21)</f>
        <v>1520.6</v>
      </c>
      <c r="AJ21" s="133">
        <v>1520.6</v>
      </c>
      <c r="AK21" s="133">
        <v>0</v>
      </c>
      <c r="AL21" s="133">
        <v>0</v>
      </c>
      <c r="AM21" s="133">
        <v>1520.5219999999999</v>
      </c>
      <c r="AN21" s="133"/>
      <c r="AO21" s="133"/>
      <c r="AP21" s="133">
        <v>1520.5219999999999</v>
      </c>
      <c r="AQ21" s="133">
        <v>1520.5219999999999</v>
      </c>
      <c r="AR21" s="133">
        <v>0</v>
      </c>
      <c r="AS21" s="133">
        <v>0</v>
      </c>
      <c r="AT21" s="133">
        <f t="shared" ref="AT21:AT81" si="9">AX21+AY21+AZ21</f>
        <v>0</v>
      </c>
      <c r="AU21" s="133"/>
      <c r="AV21" s="133"/>
      <c r="AW21" s="133">
        <f t="shared" ref="AW21:AW81" si="10">SUM(AX21:AZ21)</f>
        <v>0</v>
      </c>
      <c r="AX21" s="133">
        <v>0</v>
      </c>
      <c r="AY21" s="133"/>
      <c r="AZ21" s="133"/>
      <c r="BA21" s="134">
        <v>0</v>
      </c>
      <c r="BB21" s="134"/>
      <c r="BC21" s="134"/>
      <c r="BD21" s="134">
        <v>0</v>
      </c>
      <c r="BE21" s="134">
        <v>0</v>
      </c>
      <c r="BF21" s="134"/>
      <c r="BG21" s="134"/>
      <c r="BH21" s="134"/>
      <c r="BI21" s="134"/>
      <c r="BJ21" s="134">
        <v>0</v>
      </c>
      <c r="BK21" s="134"/>
      <c r="BL21" s="134"/>
      <c r="BM21" s="134">
        <v>0</v>
      </c>
      <c r="BN21" s="134"/>
      <c r="BO21" s="134"/>
      <c r="BP21" s="134"/>
      <c r="BQ21" s="134"/>
      <c r="BR21" s="133"/>
      <c r="BS21" s="133"/>
      <c r="BT21" s="133"/>
      <c r="BU21" s="134"/>
      <c r="BV21" s="134"/>
      <c r="BW21" s="134"/>
      <c r="BX21" s="134"/>
    </row>
    <row r="22" spans="1:76" ht="61.5" outlineLevel="1">
      <c r="A22" s="434">
        <v>3</v>
      </c>
      <c r="B22" s="611" t="s">
        <v>1921</v>
      </c>
      <c r="C22" s="434" t="s">
        <v>1912</v>
      </c>
      <c r="D22" s="434" t="s">
        <v>1913</v>
      </c>
      <c r="E22" s="434" t="s">
        <v>49</v>
      </c>
      <c r="F22" s="434" t="s">
        <v>1914</v>
      </c>
      <c r="G22" s="434"/>
      <c r="H22" s="434"/>
      <c r="I22" s="420" t="s">
        <v>69</v>
      </c>
      <c r="J22" s="420">
        <v>2020</v>
      </c>
      <c r="K22" s="434" t="s">
        <v>1922</v>
      </c>
      <c r="L22" s="434" t="s">
        <v>1923</v>
      </c>
      <c r="M22" s="133">
        <v>5600</v>
      </c>
      <c r="N22" s="133"/>
      <c r="O22" s="133"/>
      <c r="P22" s="133">
        <v>5600</v>
      </c>
      <c r="Q22" s="133"/>
      <c r="R22" s="133" t="s">
        <v>1914</v>
      </c>
      <c r="S22" s="133" t="s">
        <v>1917</v>
      </c>
      <c r="T22" s="133" t="s">
        <v>1913</v>
      </c>
      <c r="U22" s="133">
        <v>4100</v>
      </c>
      <c r="V22" s="133"/>
      <c r="W22" s="133"/>
      <c r="X22" s="133">
        <v>4100</v>
      </c>
      <c r="Y22" s="133">
        <f t="shared" si="5"/>
        <v>1076</v>
      </c>
      <c r="Z22" s="133"/>
      <c r="AA22" s="133"/>
      <c r="AB22" s="133">
        <f t="shared" si="6"/>
        <v>1076</v>
      </c>
      <c r="AC22" s="133">
        <v>1076</v>
      </c>
      <c r="AD22" s="133"/>
      <c r="AE22" s="133"/>
      <c r="AF22" s="133">
        <f t="shared" si="7"/>
        <v>1076</v>
      </c>
      <c r="AG22" s="133"/>
      <c r="AH22" s="133"/>
      <c r="AI22" s="133">
        <f t="shared" si="8"/>
        <v>1076</v>
      </c>
      <c r="AJ22" s="133">
        <v>1076</v>
      </c>
      <c r="AK22" s="133">
        <v>0</v>
      </c>
      <c r="AL22" s="133">
        <v>0</v>
      </c>
      <c r="AM22" s="133">
        <v>1075.8</v>
      </c>
      <c r="AN22" s="133"/>
      <c r="AO22" s="133"/>
      <c r="AP22" s="133">
        <v>1075.8</v>
      </c>
      <c r="AQ22" s="133">
        <v>1075.8</v>
      </c>
      <c r="AR22" s="133">
        <v>0</v>
      </c>
      <c r="AS22" s="133">
        <v>0</v>
      </c>
      <c r="AT22" s="133">
        <f t="shared" si="9"/>
        <v>0</v>
      </c>
      <c r="AU22" s="133"/>
      <c r="AV22" s="133"/>
      <c r="AW22" s="133">
        <f t="shared" si="10"/>
        <v>0</v>
      </c>
      <c r="AX22" s="133">
        <v>0</v>
      </c>
      <c r="AY22" s="133"/>
      <c r="AZ22" s="133"/>
      <c r="BA22" s="134">
        <v>0</v>
      </c>
      <c r="BB22" s="134"/>
      <c r="BC22" s="134"/>
      <c r="BD22" s="134">
        <v>0</v>
      </c>
      <c r="BE22" s="134">
        <v>0</v>
      </c>
      <c r="BF22" s="134"/>
      <c r="BG22" s="134"/>
      <c r="BH22" s="134"/>
      <c r="BI22" s="134"/>
      <c r="BJ22" s="134">
        <v>0</v>
      </c>
      <c r="BK22" s="134"/>
      <c r="BL22" s="134"/>
      <c r="BM22" s="134">
        <v>0</v>
      </c>
      <c r="BN22" s="134"/>
      <c r="BO22" s="134"/>
      <c r="BP22" s="134"/>
      <c r="BQ22" s="134"/>
      <c r="BR22" s="133"/>
      <c r="BS22" s="133"/>
      <c r="BT22" s="133"/>
      <c r="BU22" s="134"/>
      <c r="BV22" s="134"/>
      <c r="BW22" s="134"/>
      <c r="BX22" s="134"/>
    </row>
    <row r="23" spans="1:76" ht="61.5" outlineLevel="1">
      <c r="A23" s="434">
        <v>4</v>
      </c>
      <c r="B23" s="611" t="s">
        <v>1924</v>
      </c>
      <c r="C23" s="434" t="s">
        <v>1912</v>
      </c>
      <c r="D23" s="434" t="s">
        <v>1913</v>
      </c>
      <c r="E23" s="434" t="s">
        <v>49</v>
      </c>
      <c r="F23" s="434" t="s">
        <v>1914</v>
      </c>
      <c r="G23" s="434"/>
      <c r="H23" s="434"/>
      <c r="I23" s="420" t="s">
        <v>69</v>
      </c>
      <c r="J23" s="420">
        <v>2020</v>
      </c>
      <c r="K23" s="434" t="s">
        <v>1925</v>
      </c>
      <c r="L23" s="434" t="s">
        <v>1926</v>
      </c>
      <c r="M23" s="133">
        <v>6500</v>
      </c>
      <c r="N23" s="133"/>
      <c r="O23" s="133"/>
      <c r="P23" s="133">
        <v>6500</v>
      </c>
      <c r="Q23" s="133"/>
      <c r="R23" s="133" t="s">
        <v>1914</v>
      </c>
      <c r="S23" s="133" t="s">
        <v>1917</v>
      </c>
      <c r="T23" s="133" t="s">
        <v>1913</v>
      </c>
      <c r="U23" s="133">
        <v>4100</v>
      </c>
      <c r="V23" s="133"/>
      <c r="W23" s="133"/>
      <c r="X23" s="133">
        <v>4100</v>
      </c>
      <c r="Y23" s="133">
        <f t="shared" si="5"/>
        <v>1994</v>
      </c>
      <c r="Z23" s="133"/>
      <c r="AA23" s="133"/>
      <c r="AB23" s="133">
        <f t="shared" si="6"/>
        <v>1994</v>
      </c>
      <c r="AC23" s="133">
        <v>1994</v>
      </c>
      <c r="AD23" s="133"/>
      <c r="AE23" s="133"/>
      <c r="AF23" s="133">
        <f t="shared" si="7"/>
        <v>1994</v>
      </c>
      <c r="AG23" s="133"/>
      <c r="AH23" s="133"/>
      <c r="AI23" s="133">
        <f t="shared" si="8"/>
        <v>1994</v>
      </c>
      <c r="AJ23" s="133">
        <v>1994</v>
      </c>
      <c r="AK23" s="133">
        <v>0</v>
      </c>
      <c r="AL23" s="133">
        <v>0</v>
      </c>
      <c r="AM23" s="133">
        <v>1992.7750000000001</v>
      </c>
      <c r="AN23" s="133"/>
      <c r="AO23" s="133"/>
      <c r="AP23" s="133">
        <v>1992.7750000000001</v>
      </c>
      <c r="AQ23" s="133">
        <v>1992.7750000000001</v>
      </c>
      <c r="AR23" s="133">
        <v>0</v>
      </c>
      <c r="AS23" s="133">
        <v>0</v>
      </c>
      <c r="AT23" s="133">
        <f t="shared" si="9"/>
        <v>0</v>
      </c>
      <c r="AU23" s="133"/>
      <c r="AV23" s="133"/>
      <c r="AW23" s="133">
        <f t="shared" si="10"/>
        <v>0</v>
      </c>
      <c r="AX23" s="133">
        <v>0</v>
      </c>
      <c r="AY23" s="133"/>
      <c r="AZ23" s="133"/>
      <c r="BA23" s="134">
        <v>0</v>
      </c>
      <c r="BB23" s="134"/>
      <c r="BC23" s="134"/>
      <c r="BD23" s="134">
        <v>0</v>
      </c>
      <c r="BE23" s="134">
        <v>0</v>
      </c>
      <c r="BF23" s="134"/>
      <c r="BG23" s="134"/>
      <c r="BH23" s="134"/>
      <c r="BI23" s="134"/>
      <c r="BJ23" s="134">
        <v>0</v>
      </c>
      <c r="BK23" s="134"/>
      <c r="BL23" s="134"/>
      <c r="BM23" s="134">
        <v>0</v>
      </c>
      <c r="BN23" s="134"/>
      <c r="BO23" s="134"/>
      <c r="BP23" s="134"/>
      <c r="BQ23" s="134"/>
      <c r="BR23" s="133"/>
      <c r="BS23" s="133"/>
      <c r="BT23" s="133"/>
      <c r="BU23" s="134"/>
      <c r="BV23" s="134"/>
      <c r="BW23" s="134"/>
      <c r="BX23" s="134"/>
    </row>
    <row r="24" spans="1:76" ht="61.5" outlineLevel="1">
      <c r="A24" s="434">
        <v>5</v>
      </c>
      <c r="B24" s="611" t="s">
        <v>1927</v>
      </c>
      <c r="C24" s="434" t="s">
        <v>1912</v>
      </c>
      <c r="D24" s="434" t="s">
        <v>1913</v>
      </c>
      <c r="E24" s="434" t="s">
        <v>49</v>
      </c>
      <c r="F24" s="434" t="s">
        <v>1914</v>
      </c>
      <c r="G24" s="434"/>
      <c r="H24" s="434"/>
      <c r="I24" s="420" t="s">
        <v>69</v>
      </c>
      <c r="J24" s="420">
        <v>2020</v>
      </c>
      <c r="K24" s="434" t="s">
        <v>1928</v>
      </c>
      <c r="L24" s="434" t="s">
        <v>1929</v>
      </c>
      <c r="M24" s="133">
        <v>8600</v>
      </c>
      <c r="N24" s="133"/>
      <c r="O24" s="133"/>
      <c r="P24" s="133">
        <v>8600</v>
      </c>
      <c r="Q24" s="133"/>
      <c r="R24" s="133" t="s">
        <v>1914</v>
      </c>
      <c r="S24" s="133" t="s">
        <v>1917</v>
      </c>
      <c r="T24" s="133" t="s">
        <v>1913</v>
      </c>
      <c r="U24" s="133">
        <v>3315.4259999999999</v>
      </c>
      <c r="V24" s="133"/>
      <c r="W24" s="133"/>
      <c r="X24" s="133">
        <v>3315.4259999999999</v>
      </c>
      <c r="Y24" s="133">
        <f t="shared" si="5"/>
        <v>4790</v>
      </c>
      <c r="Z24" s="133"/>
      <c r="AA24" s="133"/>
      <c r="AB24" s="133">
        <f t="shared" si="6"/>
        <v>4790</v>
      </c>
      <c r="AC24" s="133">
        <v>790</v>
      </c>
      <c r="AD24" s="133"/>
      <c r="AE24" s="133">
        <v>4000</v>
      </c>
      <c r="AF24" s="133">
        <f t="shared" si="7"/>
        <v>4790</v>
      </c>
      <c r="AG24" s="133"/>
      <c r="AH24" s="133"/>
      <c r="AI24" s="133">
        <f t="shared" si="8"/>
        <v>4790</v>
      </c>
      <c r="AJ24" s="133">
        <v>790</v>
      </c>
      <c r="AK24" s="133">
        <v>0</v>
      </c>
      <c r="AL24" s="133">
        <v>4000</v>
      </c>
      <c r="AM24" s="133">
        <v>4784.3789999999999</v>
      </c>
      <c r="AN24" s="133"/>
      <c r="AO24" s="133"/>
      <c r="AP24" s="133">
        <v>4784.3789999999999</v>
      </c>
      <c r="AQ24" s="133">
        <v>784.37900000000002</v>
      </c>
      <c r="AR24" s="133">
        <v>0</v>
      </c>
      <c r="AS24" s="133">
        <v>4000</v>
      </c>
      <c r="AT24" s="133">
        <f t="shared" si="9"/>
        <v>0</v>
      </c>
      <c r="AU24" s="133"/>
      <c r="AV24" s="133"/>
      <c r="AW24" s="133">
        <f t="shared" si="10"/>
        <v>0</v>
      </c>
      <c r="AX24" s="133">
        <v>0</v>
      </c>
      <c r="AY24" s="133"/>
      <c r="AZ24" s="133"/>
      <c r="BA24" s="134">
        <v>0</v>
      </c>
      <c r="BB24" s="134"/>
      <c r="BC24" s="134"/>
      <c r="BD24" s="134">
        <v>0</v>
      </c>
      <c r="BE24" s="134">
        <v>0</v>
      </c>
      <c r="BF24" s="134"/>
      <c r="BG24" s="134"/>
      <c r="BH24" s="134"/>
      <c r="BI24" s="134"/>
      <c r="BJ24" s="134">
        <v>0</v>
      </c>
      <c r="BK24" s="134"/>
      <c r="BL24" s="134"/>
      <c r="BM24" s="134">
        <v>0</v>
      </c>
      <c r="BN24" s="134"/>
      <c r="BO24" s="134"/>
      <c r="BP24" s="134"/>
      <c r="BQ24" s="134"/>
      <c r="BR24" s="133"/>
      <c r="BS24" s="133"/>
      <c r="BT24" s="133"/>
      <c r="BU24" s="134"/>
      <c r="BV24" s="134"/>
      <c r="BW24" s="134"/>
      <c r="BX24" s="134"/>
    </row>
    <row r="25" spans="1:76" ht="36" customHeight="1" outlineLevel="1">
      <c r="A25" s="553" t="s">
        <v>45</v>
      </c>
      <c r="B25" s="612" t="s">
        <v>51</v>
      </c>
      <c r="C25" s="454"/>
      <c r="D25" s="454"/>
      <c r="E25" s="454"/>
      <c r="F25" s="454"/>
      <c r="G25" s="454"/>
      <c r="H25" s="454"/>
      <c r="I25" s="418"/>
      <c r="J25" s="418"/>
      <c r="K25" s="454"/>
      <c r="L25" s="454"/>
      <c r="M25" s="207">
        <f>SUM(M26:M44)</f>
        <v>509607.16800000001</v>
      </c>
      <c r="N25" s="207">
        <f t="shared" ref="N25:BX25" si="11">SUM(N26:N44)</f>
        <v>0</v>
      </c>
      <c r="O25" s="207">
        <f t="shared" si="11"/>
        <v>51500</v>
      </c>
      <c r="P25" s="207">
        <f t="shared" si="11"/>
        <v>216307.16800000001</v>
      </c>
      <c r="Q25" s="207">
        <f t="shared" si="11"/>
        <v>0</v>
      </c>
      <c r="R25" s="207">
        <f t="shared" si="11"/>
        <v>0</v>
      </c>
      <c r="S25" s="207">
        <f t="shared" si="11"/>
        <v>0</v>
      </c>
      <c r="T25" s="207">
        <f t="shared" si="11"/>
        <v>0</v>
      </c>
      <c r="U25" s="207">
        <f t="shared" si="11"/>
        <v>0</v>
      </c>
      <c r="V25" s="207">
        <f t="shared" si="11"/>
        <v>0</v>
      </c>
      <c r="W25" s="207">
        <f t="shared" si="11"/>
        <v>0</v>
      </c>
      <c r="X25" s="207">
        <f t="shared" si="11"/>
        <v>0</v>
      </c>
      <c r="Y25" s="207">
        <f>SUM(Y26:Y44)</f>
        <v>210110.11825199999</v>
      </c>
      <c r="Z25" s="207">
        <f t="shared" si="11"/>
        <v>0</v>
      </c>
      <c r="AA25" s="207">
        <f t="shared" si="11"/>
        <v>0</v>
      </c>
      <c r="AB25" s="207">
        <f t="shared" si="11"/>
        <v>210110.11825199999</v>
      </c>
      <c r="AC25" s="207">
        <f t="shared" si="11"/>
        <v>42072.525999999998</v>
      </c>
      <c r="AD25" s="207">
        <f t="shared" si="11"/>
        <v>146918.09325199996</v>
      </c>
      <c r="AE25" s="207">
        <f t="shared" si="11"/>
        <v>21119.499</v>
      </c>
      <c r="AF25" s="207">
        <f t="shared" si="11"/>
        <v>108927.969</v>
      </c>
      <c r="AG25" s="207">
        <f t="shared" si="11"/>
        <v>0</v>
      </c>
      <c r="AH25" s="207">
        <f t="shared" si="11"/>
        <v>0</v>
      </c>
      <c r="AI25" s="207">
        <f t="shared" si="11"/>
        <v>108927.969</v>
      </c>
      <c r="AJ25" s="207">
        <f t="shared" si="11"/>
        <v>34240.525999999998</v>
      </c>
      <c r="AK25" s="207">
        <f t="shared" si="11"/>
        <v>58973.774000000005</v>
      </c>
      <c r="AL25" s="207">
        <f t="shared" si="11"/>
        <v>15713.669</v>
      </c>
      <c r="AM25" s="207">
        <f t="shared" si="11"/>
        <v>104534.03600000002</v>
      </c>
      <c r="AN25" s="207">
        <f t="shared" si="11"/>
        <v>0</v>
      </c>
      <c r="AO25" s="207">
        <f t="shared" si="11"/>
        <v>0</v>
      </c>
      <c r="AP25" s="207">
        <f t="shared" si="11"/>
        <v>104534.03600000002</v>
      </c>
      <c r="AQ25" s="207">
        <f t="shared" si="11"/>
        <v>33091.74</v>
      </c>
      <c r="AR25" s="207">
        <f t="shared" si="11"/>
        <v>55793.434000000008</v>
      </c>
      <c r="AS25" s="207">
        <f t="shared" si="11"/>
        <v>15648.862000000001</v>
      </c>
      <c r="AT25" s="207">
        <f t="shared" si="11"/>
        <v>101182.149252</v>
      </c>
      <c r="AU25" s="207">
        <f t="shared" si="11"/>
        <v>0</v>
      </c>
      <c r="AV25" s="207">
        <f t="shared" si="11"/>
        <v>0</v>
      </c>
      <c r="AW25" s="207">
        <f t="shared" si="11"/>
        <v>101182.149252</v>
      </c>
      <c r="AX25" s="207">
        <f t="shared" si="11"/>
        <v>7832</v>
      </c>
      <c r="AY25" s="207">
        <f t="shared" si="11"/>
        <v>87944.319252000001</v>
      </c>
      <c r="AZ25" s="207">
        <f t="shared" si="11"/>
        <v>5405.83</v>
      </c>
      <c r="BA25" s="207">
        <f t="shared" si="11"/>
        <v>20510.067999999999</v>
      </c>
      <c r="BB25" s="207">
        <f t="shared" si="11"/>
        <v>0</v>
      </c>
      <c r="BC25" s="207">
        <f t="shared" si="11"/>
        <v>0</v>
      </c>
      <c r="BD25" s="207">
        <f t="shared" si="11"/>
        <v>20510.067999999999</v>
      </c>
      <c r="BE25" s="207">
        <f t="shared" si="11"/>
        <v>7590.5930000000008</v>
      </c>
      <c r="BF25" s="207">
        <f t="shared" si="11"/>
        <v>7590.5930000000008</v>
      </c>
      <c r="BG25" s="207">
        <f t="shared" si="11"/>
        <v>0</v>
      </c>
      <c r="BH25" s="207">
        <f t="shared" si="11"/>
        <v>8209</v>
      </c>
      <c r="BI25" s="207">
        <f t="shared" si="11"/>
        <v>4710.4750000000004</v>
      </c>
      <c r="BJ25" s="207">
        <f t="shared" si="11"/>
        <v>3954.9009999999998</v>
      </c>
      <c r="BK25" s="207">
        <f t="shared" si="11"/>
        <v>0</v>
      </c>
      <c r="BL25" s="207">
        <f t="shared" si="11"/>
        <v>0</v>
      </c>
      <c r="BM25" s="207">
        <f t="shared" si="11"/>
        <v>3954.9009999999998</v>
      </c>
      <c r="BN25" s="207">
        <f t="shared" si="11"/>
        <v>3954.9009999999998</v>
      </c>
      <c r="BO25" s="207">
        <f t="shared" si="11"/>
        <v>0</v>
      </c>
      <c r="BP25" s="207">
        <f t="shared" si="11"/>
        <v>0</v>
      </c>
      <c r="BQ25" s="207">
        <f t="shared" si="11"/>
        <v>3954.9009999999998</v>
      </c>
      <c r="BR25" s="207">
        <f t="shared" si="11"/>
        <v>29100</v>
      </c>
      <c r="BS25" s="207">
        <f t="shared" si="11"/>
        <v>0</v>
      </c>
      <c r="BT25" s="207">
        <f t="shared" si="11"/>
        <v>29100</v>
      </c>
      <c r="BU25" s="207">
        <f t="shared" si="11"/>
        <v>0</v>
      </c>
      <c r="BV25" s="207">
        <f t="shared" si="11"/>
        <v>0</v>
      </c>
      <c r="BW25" s="207">
        <f t="shared" si="11"/>
        <v>3626.3780000000002</v>
      </c>
      <c r="BX25" s="207">
        <f t="shared" si="11"/>
        <v>0</v>
      </c>
    </row>
    <row r="26" spans="1:76" ht="46.15" outlineLevel="1">
      <c r="A26" s="434">
        <v>1</v>
      </c>
      <c r="B26" s="611" t="s">
        <v>1930</v>
      </c>
      <c r="C26" s="434" t="s">
        <v>1912</v>
      </c>
      <c r="D26" s="434" t="s">
        <v>1913</v>
      </c>
      <c r="E26" s="434" t="s">
        <v>49</v>
      </c>
      <c r="F26" s="434" t="s">
        <v>1931</v>
      </c>
      <c r="G26" s="434"/>
      <c r="H26" s="434"/>
      <c r="I26" s="420" t="s">
        <v>73</v>
      </c>
      <c r="J26" s="420">
        <v>2021</v>
      </c>
      <c r="K26" s="434" t="s">
        <v>1932</v>
      </c>
      <c r="L26" s="434" t="s">
        <v>1933</v>
      </c>
      <c r="M26" s="133">
        <v>12610</v>
      </c>
      <c r="N26" s="133"/>
      <c r="O26" s="133"/>
      <c r="P26" s="133">
        <v>12610</v>
      </c>
      <c r="Q26" s="133"/>
      <c r="R26" s="133" t="s">
        <v>1931</v>
      </c>
      <c r="S26" s="133" t="s">
        <v>1909</v>
      </c>
      <c r="T26" s="133" t="s">
        <v>1913</v>
      </c>
      <c r="U26" s="133"/>
      <c r="V26" s="133"/>
      <c r="W26" s="133"/>
      <c r="X26" s="133"/>
      <c r="Y26" s="133">
        <f t="shared" si="5"/>
        <v>12610</v>
      </c>
      <c r="Z26" s="133"/>
      <c r="AA26" s="133"/>
      <c r="AB26" s="133">
        <f t="shared" si="6"/>
        <v>12610</v>
      </c>
      <c r="AC26" s="133">
        <v>1690</v>
      </c>
      <c r="AD26" s="133">
        <v>10920</v>
      </c>
      <c r="AE26" s="133"/>
      <c r="AF26" s="133">
        <f t="shared" si="7"/>
        <v>12610</v>
      </c>
      <c r="AG26" s="133"/>
      <c r="AH26" s="133"/>
      <c r="AI26" s="133">
        <f t="shared" si="8"/>
        <v>12610</v>
      </c>
      <c r="AJ26" s="133">
        <v>1690</v>
      </c>
      <c r="AK26" s="133">
        <v>10920</v>
      </c>
      <c r="AL26" s="133">
        <v>0</v>
      </c>
      <c r="AM26" s="133">
        <v>12443.933999999999</v>
      </c>
      <c r="AN26" s="133"/>
      <c r="AO26" s="133"/>
      <c r="AP26" s="133">
        <v>12443.933999999999</v>
      </c>
      <c r="AQ26" s="133">
        <v>1690</v>
      </c>
      <c r="AR26" s="133">
        <v>10753.933999999999</v>
      </c>
      <c r="AS26" s="133">
        <v>0</v>
      </c>
      <c r="AT26" s="133">
        <f t="shared" si="9"/>
        <v>0</v>
      </c>
      <c r="AU26" s="133"/>
      <c r="AV26" s="133"/>
      <c r="AW26" s="133">
        <f t="shared" si="10"/>
        <v>0</v>
      </c>
      <c r="AX26" s="133">
        <v>0</v>
      </c>
      <c r="AY26" s="133"/>
      <c r="AZ26" s="133"/>
      <c r="BA26" s="134">
        <v>0</v>
      </c>
      <c r="BB26" s="134"/>
      <c r="BC26" s="134"/>
      <c r="BD26" s="134">
        <v>0</v>
      </c>
      <c r="BE26" s="134">
        <v>0</v>
      </c>
      <c r="BF26" s="134"/>
      <c r="BG26" s="134"/>
      <c r="BH26" s="134"/>
      <c r="BI26" s="134"/>
      <c r="BJ26" s="134">
        <v>0</v>
      </c>
      <c r="BK26" s="134"/>
      <c r="BL26" s="134"/>
      <c r="BM26" s="134"/>
      <c r="BN26" s="134">
        <v>0</v>
      </c>
      <c r="BO26" s="134"/>
      <c r="BP26" s="134"/>
      <c r="BQ26" s="134"/>
      <c r="BR26" s="133"/>
      <c r="BS26" s="133"/>
      <c r="BT26" s="133"/>
      <c r="BU26" s="134"/>
      <c r="BV26" s="134"/>
      <c r="BW26" s="134"/>
      <c r="BX26" s="134"/>
    </row>
    <row r="27" spans="1:76" ht="61.5" outlineLevel="1">
      <c r="A27" s="434">
        <v>2</v>
      </c>
      <c r="B27" s="611" t="s">
        <v>1934</v>
      </c>
      <c r="C27" s="434" t="s">
        <v>1912</v>
      </c>
      <c r="D27" s="434" t="s">
        <v>1913</v>
      </c>
      <c r="E27" s="434" t="s">
        <v>49</v>
      </c>
      <c r="F27" s="434" t="s">
        <v>1931</v>
      </c>
      <c r="G27" s="434"/>
      <c r="H27" s="434"/>
      <c r="I27" s="420" t="s">
        <v>71</v>
      </c>
      <c r="J27" s="420">
        <v>2021</v>
      </c>
      <c r="K27" s="434" t="s">
        <v>1935</v>
      </c>
      <c r="L27" s="434" t="s">
        <v>1936</v>
      </c>
      <c r="M27" s="133">
        <v>7405</v>
      </c>
      <c r="N27" s="133"/>
      <c r="O27" s="133"/>
      <c r="P27" s="133">
        <v>7405</v>
      </c>
      <c r="Q27" s="133"/>
      <c r="R27" s="133" t="s">
        <v>1931</v>
      </c>
      <c r="S27" s="133" t="s">
        <v>1909</v>
      </c>
      <c r="T27" s="133" t="s">
        <v>1913</v>
      </c>
      <c r="U27" s="133"/>
      <c r="V27" s="133"/>
      <c r="W27" s="133"/>
      <c r="X27" s="133"/>
      <c r="Y27" s="133">
        <f t="shared" si="5"/>
        <v>7405</v>
      </c>
      <c r="Z27" s="133"/>
      <c r="AA27" s="133"/>
      <c r="AB27" s="133">
        <f t="shared" si="6"/>
        <v>7405</v>
      </c>
      <c r="AC27" s="133">
        <v>2305</v>
      </c>
      <c r="AD27" s="133">
        <v>5100</v>
      </c>
      <c r="AE27" s="133"/>
      <c r="AF27" s="133">
        <f t="shared" si="7"/>
        <v>7405</v>
      </c>
      <c r="AG27" s="133"/>
      <c r="AH27" s="133"/>
      <c r="AI27" s="133">
        <f t="shared" si="8"/>
        <v>7405</v>
      </c>
      <c r="AJ27" s="133">
        <v>2305</v>
      </c>
      <c r="AK27" s="133">
        <v>5100</v>
      </c>
      <c r="AL27" s="133">
        <v>0</v>
      </c>
      <c r="AM27" s="133">
        <v>7396.7790000000005</v>
      </c>
      <c r="AN27" s="133"/>
      <c r="AO27" s="133"/>
      <c r="AP27" s="133">
        <v>7396.7790000000005</v>
      </c>
      <c r="AQ27" s="133">
        <v>2296.779</v>
      </c>
      <c r="AR27" s="133">
        <v>5100</v>
      </c>
      <c r="AS27" s="133">
        <v>0</v>
      </c>
      <c r="AT27" s="133">
        <f t="shared" si="9"/>
        <v>0</v>
      </c>
      <c r="AU27" s="133"/>
      <c r="AV27" s="133"/>
      <c r="AW27" s="133">
        <f t="shared" si="10"/>
        <v>0</v>
      </c>
      <c r="AX27" s="133">
        <v>0</v>
      </c>
      <c r="AY27" s="133"/>
      <c r="AZ27" s="133"/>
      <c r="BA27" s="134">
        <v>0</v>
      </c>
      <c r="BB27" s="134"/>
      <c r="BC27" s="134"/>
      <c r="BD27" s="134">
        <v>0</v>
      </c>
      <c r="BE27" s="134">
        <v>0</v>
      </c>
      <c r="BF27" s="134"/>
      <c r="BG27" s="134"/>
      <c r="BH27" s="134"/>
      <c r="BI27" s="134"/>
      <c r="BJ27" s="134">
        <v>0</v>
      </c>
      <c r="BK27" s="134"/>
      <c r="BL27" s="134"/>
      <c r="BM27" s="134"/>
      <c r="BN27" s="134">
        <v>0</v>
      </c>
      <c r="BO27" s="134"/>
      <c r="BP27" s="134"/>
      <c r="BQ27" s="134"/>
      <c r="BR27" s="133"/>
      <c r="BS27" s="133"/>
      <c r="BT27" s="133"/>
      <c r="BU27" s="134"/>
      <c r="BV27" s="134"/>
      <c r="BW27" s="134"/>
      <c r="BX27" s="134"/>
    </row>
    <row r="28" spans="1:76" ht="46.15" outlineLevel="1">
      <c r="A28" s="434">
        <v>3</v>
      </c>
      <c r="B28" s="611" t="s">
        <v>1937</v>
      </c>
      <c r="C28" s="434" t="s">
        <v>1912</v>
      </c>
      <c r="D28" s="434" t="s">
        <v>1913</v>
      </c>
      <c r="E28" s="434" t="s">
        <v>49</v>
      </c>
      <c r="F28" s="434" t="s">
        <v>1931</v>
      </c>
      <c r="G28" s="434"/>
      <c r="H28" s="434"/>
      <c r="I28" s="420" t="s">
        <v>71</v>
      </c>
      <c r="J28" s="420">
        <v>2021</v>
      </c>
      <c r="K28" s="434" t="s">
        <v>1938</v>
      </c>
      <c r="L28" s="434" t="s">
        <v>1939</v>
      </c>
      <c r="M28" s="133">
        <v>9334.768</v>
      </c>
      <c r="N28" s="133"/>
      <c r="O28" s="133"/>
      <c r="P28" s="133">
        <v>9334.768</v>
      </c>
      <c r="Q28" s="133"/>
      <c r="R28" s="133" t="s">
        <v>1931</v>
      </c>
      <c r="S28" s="133" t="s">
        <v>1909</v>
      </c>
      <c r="T28" s="133" t="s">
        <v>1913</v>
      </c>
      <c r="U28" s="133"/>
      <c r="V28" s="133"/>
      <c r="W28" s="133"/>
      <c r="X28" s="133"/>
      <c r="Y28" s="133">
        <f t="shared" si="5"/>
        <v>9334.768</v>
      </c>
      <c r="Z28" s="133"/>
      <c r="AA28" s="133"/>
      <c r="AB28" s="133">
        <f t="shared" si="6"/>
        <v>9334.768</v>
      </c>
      <c r="AC28" s="133">
        <v>1769.268</v>
      </c>
      <c r="AD28" s="133">
        <v>1800</v>
      </c>
      <c r="AE28" s="133">
        <v>5765.5</v>
      </c>
      <c r="AF28" s="133">
        <f t="shared" si="7"/>
        <v>9334.768</v>
      </c>
      <c r="AG28" s="133"/>
      <c r="AH28" s="133"/>
      <c r="AI28" s="133">
        <f t="shared" si="8"/>
        <v>9334.768</v>
      </c>
      <c r="AJ28" s="133">
        <v>1769.268</v>
      </c>
      <c r="AK28" s="133">
        <v>1800</v>
      </c>
      <c r="AL28" s="133">
        <v>5765.5</v>
      </c>
      <c r="AM28" s="133">
        <v>9334.768</v>
      </c>
      <c r="AN28" s="133"/>
      <c r="AO28" s="133"/>
      <c r="AP28" s="133">
        <v>9334.768</v>
      </c>
      <c r="AQ28" s="133">
        <v>1769.268</v>
      </c>
      <c r="AR28" s="133">
        <v>1800</v>
      </c>
      <c r="AS28" s="133">
        <v>5765.5</v>
      </c>
      <c r="AT28" s="133">
        <f t="shared" si="9"/>
        <v>0</v>
      </c>
      <c r="AU28" s="133"/>
      <c r="AV28" s="133"/>
      <c r="AW28" s="133">
        <f t="shared" si="10"/>
        <v>0</v>
      </c>
      <c r="AX28" s="133">
        <v>0</v>
      </c>
      <c r="AY28" s="133"/>
      <c r="AZ28" s="133"/>
      <c r="BA28" s="134">
        <v>0</v>
      </c>
      <c r="BB28" s="134"/>
      <c r="BC28" s="134"/>
      <c r="BD28" s="134">
        <v>0</v>
      </c>
      <c r="BE28" s="134">
        <v>0</v>
      </c>
      <c r="BF28" s="134"/>
      <c r="BG28" s="134"/>
      <c r="BH28" s="134"/>
      <c r="BI28" s="134"/>
      <c r="BJ28" s="134">
        <v>0</v>
      </c>
      <c r="BK28" s="134"/>
      <c r="BL28" s="134"/>
      <c r="BM28" s="134"/>
      <c r="BN28" s="134">
        <v>0</v>
      </c>
      <c r="BO28" s="134"/>
      <c r="BP28" s="134"/>
      <c r="BQ28" s="134"/>
      <c r="BR28" s="133"/>
      <c r="BS28" s="133"/>
      <c r="BT28" s="133"/>
      <c r="BU28" s="134"/>
      <c r="BV28" s="134"/>
      <c r="BW28" s="134"/>
      <c r="BX28" s="134"/>
    </row>
    <row r="29" spans="1:76" ht="46.15" outlineLevel="1">
      <c r="A29" s="434">
        <v>4</v>
      </c>
      <c r="B29" s="611" t="s">
        <v>1940</v>
      </c>
      <c r="C29" s="434" t="s">
        <v>1912</v>
      </c>
      <c r="D29" s="434" t="s">
        <v>1913</v>
      </c>
      <c r="E29" s="434" t="s">
        <v>49</v>
      </c>
      <c r="F29" s="434" t="s">
        <v>1931</v>
      </c>
      <c r="G29" s="434"/>
      <c r="H29" s="434"/>
      <c r="I29" s="420" t="s">
        <v>73</v>
      </c>
      <c r="J29" s="420">
        <v>2021</v>
      </c>
      <c r="K29" s="434" t="s">
        <v>1941</v>
      </c>
      <c r="L29" s="434" t="s">
        <v>1942</v>
      </c>
      <c r="M29" s="133">
        <v>3455.4</v>
      </c>
      <c r="N29" s="133"/>
      <c r="O29" s="133"/>
      <c r="P29" s="133">
        <v>3455.4</v>
      </c>
      <c r="Q29" s="133"/>
      <c r="R29" s="133" t="s">
        <v>1931</v>
      </c>
      <c r="S29" s="133" t="s">
        <v>1909</v>
      </c>
      <c r="T29" s="133" t="s">
        <v>1913</v>
      </c>
      <c r="U29" s="133"/>
      <c r="V29" s="133"/>
      <c r="W29" s="133"/>
      <c r="X29" s="133"/>
      <c r="Y29" s="133">
        <f t="shared" si="5"/>
        <v>3455.4</v>
      </c>
      <c r="Z29" s="133"/>
      <c r="AA29" s="133"/>
      <c r="AB29" s="133">
        <f t="shared" si="6"/>
        <v>3455.4</v>
      </c>
      <c r="AC29" s="133">
        <v>955.4</v>
      </c>
      <c r="AD29" s="133"/>
      <c r="AE29" s="133">
        <v>2500</v>
      </c>
      <c r="AF29" s="133">
        <f t="shared" si="7"/>
        <v>3455.4</v>
      </c>
      <c r="AG29" s="133"/>
      <c r="AH29" s="133"/>
      <c r="AI29" s="133">
        <f t="shared" si="8"/>
        <v>3455.4</v>
      </c>
      <c r="AJ29" s="133">
        <v>955.4</v>
      </c>
      <c r="AK29" s="133">
        <v>0</v>
      </c>
      <c r="AL29" s="133">
        <v>2500</v>
      </c>
      <c r="AM29" s="133">
        <v>3443.8820000000001</v>
      </c>
      <c r="AN29" s="133"/>
      <c r="AO29" s="133"/>
      <c r="AP29" s="133">
        <v>3443.8820000000001</v>
      </c>
      <c r="AQ29" s="133">
        <v>955.4</v>
      </c>
      <c r="AR29" s="133">
        <v>0</v>
      </c>
      <c r="AS29" s="133">
        <v>2488.482</v>
      </c>
      <c r="AT29" s="133">
        <f t="shared" si="9"/>
        <v>0</v>
      </c>
      <c r="AU29" s="133"/>
      <c r="AV29" s="133"/>
      <c r="AW29" s="133">
        <f t="shared" si="10"/>
        <v>0</v>
      </c>
      <c r="AX29" s="133">
        <v>0</v>
      </c>
      <c r="AY29" s="133"/>
      <c r="AZ29" s="133"/>
      <c r="BA29" s="134">
        <v>0</v>
      </c>
      <c r="BB29" s="134"/>
      <c r="BC29" s="134"/>
      <c r="BD29" s="134">
        <v>0</v>
      </c>
      <c r="BE29" s="134">
        <v>0</v>
      </c>
      <c r="BF29" s="134"/>
      <c r="BG29" s="134"/>
      <c r="BH29" s="134"/>
      <c r="BI29" s="134"/>
      <c r="BJ29" s="134">
        <v>0</v>
      </c>
      <c r="BK29" s="134"/>
      <c r="BL29" s="134"/>
      <c r="BM29" s="134"/>
      <c r="BN29" s="134">
        <v>0</v>
      </c>
      <c r="BO29" s="134"/>
      <c r="BP29" s="134"/>
      <c r="BQ29" s="134"/>
      <c r="BR29" s="133"/>
      <c r="BS29" s="133"/>
      <c r="BT29" s="133"/>
      <c r="BU29" s="134"/>
      <c r="BV29" s="134"/>
      <c r="BW29" s="134"/>
      <c r="BX29" s="134"/>
    </row>
    <row r="30" spans="1:76" ht="76.900000000000006" outlineLevel="1">
      <c r="A30" s="434">
        <v>5</v>
      </c>
      <c r="B30" s="611" t="s">
        <v>1943</v>
      </c>
      <c r="C30" s="434" t="s">
        <v>1912</v>
      </c>
      <c r="D30" s="434" t="s">
        <v>1913</v>
      </c>
      <c r="E30" s="434" t="s">
        <v>49</v>
      </c>
      <c r="F30" s="434" t="s">
        <v>1931</v>
      </c>
      <c r="G30" s="434"/>
      <c r="H30" s="434"/>
      <c r="I30" s="420" t="s">
        <v>76</v>
      </c>
      <c r="J30" s="420">
        <v>2022</v>
      </c>
      <c r="K30" s="434" t="s">
        <v>1944</v>
      </c>
      <c r="L30" s="434" t="s">
        <v>1945</v>
      </c>
      <c r="M30" s="133">
        <v>10000</v>
      </c>
      <c r="N30" s="133"/>
      <c r="O30" s="133"/>
      <c r="P30" s="133">
        <v>10000</v>
      </c>
      <c r="Q30" s="133"/>
      <c r="R30" s="133" t="s">
        <v>1931</v>
      </c>
      <c r="S30" s="133" t="s">
        <v>1909</v>
      </c>
      <c r="T30" s="133" t="s">
        <v>1913</v>
      </c>
      <c r="U30" s="133"/>
      <c r="V30" s="133"/>
      <c r="W30" s="133"/>
      <c r="X30" s="133"/>
      <c r="Y30" s="133">
        <f t="shared" si="5"/>
        <v>10000</v>
      </c>
      <c r="Z30" s="133"/>
      <c r="AA30" s="133"/>
      <c r="AB30" s="133">
        <f t="shared" si="6"/>
        <v>10000</v>
      </c>
      <c r="AC30" s="133">
        <v>10000</v>
      </c>
      <c r="AD30" s="133"/>
      <c r="AE30" s="133"/>
      <c r="AF30" s="133">
        <f t="shared" si="7"/>
        <v>10000</v>
      </c>
      <c r="AG30" s="133"/>
      <c r="AH30" s="133"/>
      <c r="AI30" s="133">
        <f t="shared" si="8"/>
        <v>10000</v>
      </c>
      <c r="AJ30" s="133">
        <v>10000</v>
      </c>
      <c r="AK30" s="133">
        <v>0</v>
      </c>
      <c r="AL30" s="133">
        <v>0</v>
      </c>
      <c r="AM30" s="133">
        <v>9907.0830000000005</v>
      </c>
      <c r="AN30" s="133"/>
      <c r="AO30" s="133"/>
      <c r="AP30" s="133">
        <v>9907.0830000000005</v>
      </c>
      <c r="AQ30" s="133">
        <v>9907.0830000000005</v>
      </c>
      <c r="AR30" s="133">
        <v>0</v>
      </c>
      <c r="AS30" s="133">
        <v>0</v>
      </c>
      <c r="AT30" s="133">
        <f t="shared" si="9"/>
        <v>0</v>
      </c>
      <c r="AU30" s="133"/>
      <c r="AV30" s="133"/>
      <c r="AW30" s="133">
        <f t="shared" si="10"/>
        <v>0</v>
      </c>
      <c r="AX30" s="133">
        <v>0</v>
      </c>
      <c r="AY30" s="133"/>
      <c r="AZ30" s="133"/>
      <c r="BA30" s="134">
        <v>0</v>
      </c>
      <c r="BB30" s="134"/>
      <c r="BC30" s="134"/>
      <c r="BD30" s="134">
        <v>0</v>
      </c>
      <c r="BE30" s="134">
        <v>0</v>
      </c>
      <c r="BF30" s="134"/>
      <c r="BG30" s="134"/>
      <c r="BH30" s="134"/>
      <c r="BI30" s="134"/>
      <c r="BJ30" s="134">
        <v>0</v>
      </c>
      <c r="BK30" s="134"/>
      <c r="BL30" s="134"/>
      <c r="BM30" s="134"/>
      <c r="BN30" s="134">
        <v>0</v>
      </c>
      <c r="BO30" s="134"/>
      <c r="BP30" s="134"/>
      <c r="BQ30" s="134"/>
      <c r="BR30" s="133"/>
      <c r="BS30" s="133"/>
      <c r="BT30" s="133"/>
      <c r="BU30" s="134"/>
      <c r="BV30" s="134"/>
      <c r="BW30" s="134"/>
      <c r="BX30" s="134"/>
    </row>
    <row r="31" spans="1:76" ht="30.75" outlineLevel="1">
      <c r="A31" s="434">
        <v>6</v>
      </c>
      <c r="B31" s="611" t="s">
        <v>1946</v>
      </c>
      <c r="C31" s="434" t="s">
        <v>699</v>
      </c>
      <c r="D31" s="434" t="s">
        <v>1913</v>
      </c>
      <c r="E31" s="434" t="s">
        <v>49</v>
      </c>
      <c r="F31" s="434" t="s">
        <v>1931</v>
      </c>
      <c r="G31" s="434"/>
      <c r="H31" s="434"/>
      <c r="I31" s="420">
        <v>2022</v>
      </c>
      <c r="J31" s="420">
        <v>2022</v>
      </c>
      <c r="K31" s="434" t="s">
        <v>1947</v>
      </c>
      <c r="L31" s="434" t="s">
        <v>1948</v>
      </c>
      <c r="M31" s="133">
        <v>6192</v>
      </c>
      <c r="N31" s="133"/>
      <c r="O31" s="133"/>
      <c r="P31" s="133">
        <v>6192</v>
      </c>
      <c r="Q31" s="133"/>
      <c r="R31" s="133" t="s">
        <v>1931</v>
      </c>
      <c r="S31" s="133" t="s">
        <v>1909</v>
      </c>
      <c r="T31" s="133" t="s">
        <v>1913</v>
      </c>
      <c r="U31" s="133"/>
      <c r="V31" s="133"/>
      <c r="W31" s="133"/>
      <c r="X31" s="133"/>
      <c r="Y31" s="133">
        <f t="shared" si="5"/>
        <v>6192</v>
      </c>
      <c r="Z31" s="133"/>
      <c r="AA31" s="133"/>
      <c r="AB31" s="133">
        <f t="shared" si="6"/>
        <v>6192</v>
      </c>
      <c r="AC31" s="133">
        <v>3000</v>
      </c>
      <c r="AD31" s="133">
        <v>3192</v>
      </c>
      <c r="AE31" s="133"/>
      <c r="AF31" s="133">
        <f t="shared" si="7"/>
        <v>6192</v>
      </c>
      <c r="AG31" s="133"/>
      <c r="AH31" s="133"/>
      <c r="AI31" s="133">
        <f t="shared" si="8"/>
        <v>6192</v>
      </c>
      <c r="AJ31" s="133">
        <v>3000</v>
      </c>
      <c r="AK31" s="133">
        <v>3192</v>
      </c>
      <c r="AL31" s="133">
        <v>0</v>
      </c>
      <c r="AM31" s="133">
        <v>6190.8490000000002</v>
      </c>
      <c r="AN31" s="133"/>
      <c r="AO31" s="133"/>
      <c r="AP31" s="133">
        <v>6190.8490000000002</v>
      </c>
      <c r="AQ31" s="133">
        <v>3000</v>
      </c>
      <c r="AR31" s="133">
        <v>3190.8490000000002</v>
      </c>
      <c r="AS31" s="133">
        <v>0</v>
      </c>
      <c r="AT31" s="133">
        <f t="shared" si="9"/>
        <v>0</v>
      </c>
      <c r="AU31" s="133"/>
      <c r="AV31" s="133"/>
      <c r="AW31" s="133">
        <f t="shared" si="10"/>
        <v>0</v>
      </c>
      <c r="AX31" s="133">
        <v>0</v>
      </c>
      <c r="AY31" s="133"/>
      <c r="AZ31" s="133"/>
      <c r="BA31" s="134">
        <v>0</v>
      </c>
      <c r="BB31" s="134"/>
      <c r="BC31" s="134"/>
      <c r="BD31" s="134">
        <v>0</v>
      </c>
      <c r="BE31" s="134">
        <v>0</v>
      </c>
      <c r="BF31" s="134"/>
      <c r="BG31" s="134"/>
      <c r="BH31" s="134"/>
      <c r="BI31" s="134"/>
      <c r="BJ31" s="134">
        <v>0</v>
      </c>
      <c r="BK31" s="134"/>
      <c r="BL31" s="134"/>
      <c r="BM31" s="134"/>
      <c r="BN31" s="134">
        <v>0</v>
      </c>
      <c r="BO31" s="134"/>
      <c r="BP31" s="134"/>
      <c r="BQ31" s="134"/>
      <c r="BR31" s="133"/>
      <c r="BS31" s="133"/>
      <c r="BT31" s="133"/>
      <c r="BU31" s="134"/>
      <c r="BV31" s="134"/>
      <c r="BW31" s="134"/>
      <c r="BX31" s="134"/>
    </row>
    <row r="32" spans="1:76" ht="76.900000000000006" outlineLevel="1">
      <c r="A32" s="434">
        <v>7</v>
      </c>
      <c r="B32" s="611" t="s">
        <v>1949</v>
      </c>
      <c r="C32" s="434" t="s">
        <v>1950</v>
      </c>
      <c r="D32" s="434" t="s">
        <v>1913</v>
      </c>
      <c r="E32" s="434" t="s">
        <v>49</v>
      </c>
      <c r="F32" s="434" t="s">
        <v>1951</v>
      </c>
      <c r="G32" s="434"/>
      <c r="H32" s="434"/>
      <c r="I32" s="420" t="s">
        <v>75</v>
      </c>
      <c r="J32" s="420">
        <v>2021</v>
      </c>
      <c r="K32" s="434"/>
      <c r="L32" s="434" t="s">
        <v>1952</v>
      </c>
      <c r="M32" s="133">
        <v>318000</v>
      </c>
      <c r="N32" s="133"/>
      <c r="O32" s="133"/>
      <c r="P32" s="133">
        <v>76200</v>
      </c>
      <c r="Q32" s="133" t="s">
        <v>1953</v>
      </c>
      <c r="R32" s="133" t="s">
        <v>1951</v>
      </c>
      <c r="S32" s="133" t="s">
        <v>1954</v>
      </c>
      <c r="T32" s="133" t="s">
        <v>1913</v>
      </c>
      <c r="U32" s="133"/>
      <c r="V32" s="133"/>
      <c r="W32" s="133"/>
      <c r="X32" s="133"/>
      <c r="Y32" s="133">
        <f t="shared" si="5"/>
        <v>76200</v>
      </c>
      <c r="Z32" s="133"/>
      <c r="AA32" s="133"/>
      <c r="AB32" s="133">
        <f t="shared" si="6"/>
        <v>76200</v>
      </c>
      <c r="AC32" s="133">
        <v>20352.858</v>
      </c>
      <c r="AD32" s="133">
        <v>55847.142</v>
      </c>
      <c r="AE32" s="133"/>
      <c r="AF32" s="133">
        <f t="shared" si="7"/>
        <v>20520.858</v>
      </c>
      <c r="AG32" s="133"/>
      <c r="AH32" s="133"/>
      <c r="AI32" s="133">
        <f t="shared" si="8"/>
        <v>20520.858</v>
      </c>
      <c r="AJ32" s="133">
        <v>12520.858</v>
      </c>
      <c r="AK32" s="133">
        <v>8000</v>
      </c>
      <c r="AL32" s="133"/>
      <c r="AM32" s="133">
        <v>19599.78</v>
      </c>
      <c r="AN32" s="133"/>
      <c r="AO32" s="133"/>
      <c r="AP32" s="133">
        <v>19599.78</v>
      </c>
      <c r="AQ32" s="133">
        <v>11599.779999999999</v>
      </c>
      <c r="AR32" s="133">
        <v>8000</v>
      </c>
      <c r="AS32" s="133"/>
      <c r="AT32" s="133">
        <f t="shared" si="9"/>
        <v>55679.142</v>
      </c>
      <c r="AU32" s="133"/>
      <c r="AV32" s="133"/>
      <c r="AW32" s="133">
        <f t="shared" si="10"/>
        <v>55679.142</v>
      </c>
      <c r="AX32" s="133">
        <v>7832</v>
      </c>
      <c r="AY32" s="133">
        <v>47847.142</v>
      </c>
      <c r="AZ32" s="133"/>
      <c r="BA32" s="134">
        <v>7590.5930000000008</v>
      </c>
      <c r="BB32" s="134"/>
      <c r="BC32" s="134"/>
      <c r="BD32" s="134">
        <v>7590.5930000000008</v>
      </c>
      <c r="BE32" s="134">
        <v>7590.5930000000008</v>
      </c>
      <c r="BF32" s="134">
        <v>7590.5930000000008</v>
      </c>
      <c r="BG32" s="134"/>
      <c r="BH32" s="134"/>
      <c r="BI32" s="134"/>
      <c r="BJ32" s="134">
        <v>921.07799999999997</v>
      </c>
      <c r="BK32" s="134"/>
      <c r="BL32" s="134"/>
      <c r="BM32" s="134">
        <v>921.07799999999997</v>
      </c>
      <c r="BN32" s="134">
        <v>921.07799999999997</v>
      </c>
      <c r="BO32" s="134"/>
      <c r="BP32" s="134"/>
      <c r="BQ32" s="134">
        <v>921.07799999999997</v>
      </c>
      <c r="BR32" s="133">
        <v>1000</v>
      </c>
      <c r="BS32" s="133"/>
      <c r="BT32" s="133">
        <v>1000</v>
      </c>
      <c r="BU32" s="134"/>
      <c r="BV32" s="134"/>
      <c r="BW32" s="179">
        <v>921.07799999999997</v>
      </c>
      <c r="BX32" s="134"/>
    </row>
    <row r="33" spans="1:76" ht="46.15" outlineLevel="1">
      <c r="A33" s="434">
        <v>8</v>
      </c>
      <c r="B33" s="611" t="s">
        <v>1955</v>
      </c>
      <c r="C33" s="434" t="s">
        <v>1912</v>
      </c>
      <c r="D33" s="434" t="s">
        <v>1913</v>
      </c>
      <c r="E33" s="434" t="s">
        <v>49</v>
      </c>
      <c r="F33" s="434" t="s">
        <v>1956</v>
      </c>
      <c r="G33" s="434"/>
      <c r="H33" s="434"/>
      <c r="I33" s="420">
        <v>2022</v>
      </c>
      <c r="J33" s="420">
        <v>2022</v>
      </c>
      <c r="K33" s="434" t="s">
        <v>1957</v>
      </c>
      <c r="L33" s="434" t="s">
        <v>1958</v>
      </c>
      <c r="M33" s="133">
        <v>1000</v>
      </c>
      <c r="N33" s="133"/>
      <c r="O33" s="133"/>
      <c r="P33" s="133">
        <v>1000</v>
      </c>
      <c r="Q33" s="133"/>
      <c r="R33" s="133" t="s">
        <v>1956</v>
      </c>
      <c r="S33" s="133" t="s">
        <v>1909</v>
      </c>
      <c r="T33" s="133" t="s">
        <v>1913</v>
      </c>
      <c r="U33" s="133"/>
      <c r="V33" s="133"/>
      <c r="W33" s="133"/>
      <c r="X33" s="133"/>
      <c r="Y33" s="133">
        <f t="shared" si="5"/>
        <v>1000</v>
      </c>
      <c r="Z33" s="133"/>
      <c r="AA33" s="133"/>
      <c r="AB33" s="133">
        <f t="shared" si="6"/>
        <v>1000</v>
      </c>
      <c r="AC33" s="133">
        <v>1000</v>
      </c>
      <c r="AD33" s="133"/>
      <c r="AE33" s="133"/>
      <c r="AF33" s="133">
        <f t="shared" si="7"/>
        <v>1000</v>
      </c>
      <c r="AG33" s="133"/>
      <c r="AH33" s="133"/>
      <c r="AI33" s="133">
        <f t="shared" si="8"/>
        <v>1000</v>
      </c>
      <c r="AJ33" s="133">
        <v>1000</v>
      </c>
      <c r="AK33" s="133">
        <v>0</v>
      </c>
      <c r="AL33" s="133">
        <v>0</v>
      </c>
      <c r="AM33" s="133">
        <v>939.774</v>
      </c>
      <c r="AN33" s="133"/>
      <c r="AO33" s="133"/>
      <c r="AP33" s="133">
        <v>939.774</v>
      </c>
      <c r="AQ33" s="133">
        <v>939.774</v>
      </c>
      <c r="AR33" s="133">
        <v>0</v>
      </c>
      <c r="AS33" s="133">
        <v>0</v>
      </c>
      <c r="AT33" s="133">
        <f t="shared" si="9"/>
        <v>0</v>
      </c>
      <c r="AU33" s="133"/>
      <c r="AV33" s="133"/>
      <c r="AW33" s="133">
        <f t="shared" si="10"/>
        <v>0</v>
      </c>
      <c r="AX33" s="133">
        <v>0</v>
      </c>
      <c r="AY33" s="133"/>
      <c r="AZ33" s="133"/>
      <c r="BA33" s="134">
        <v>0</v>
      </c>
      <c r="BB33" s="134"/>
      <c r="BC33" s="134"/>
      <c r="BD33" s="134">
        <v>0</v>
      </c>
      <c r="BE33" s="134">
        <v>0</v>
      </c>
      <c r="BF33" s="134"/>
      <c r="BG33" s="134"/>
      <c r="BH33" s="134"/>
      <c r="BI33" s="134"/>
      <c r="BJ33" s="134">
        <v>0</v>
      </c>
      <c r="BK33" s="134"/>
      <c r="BL33" s="134"/>
      <c r="BM33" s="134"/>
      <c r="BN33" s="134">
        <v>0</v>
      </c>
      <c r="BO33" s="134"/>
      <c r="BP33" s="134"/>
      <c r="BQ33" s="134"/>
      <c r="BR33" s="133"/>
      <c r="BS33" s="133"/>
      <c r="BT33" s="133"/>
      <c r="BU33" s="134"/>
      <c r="BV33" s="134"/>
      <c r="BW33" s="134"/>
      <c r="BX33" s="134"/>
    </row>
    <row r="34" spans="1:76" ht="46.15" outlineLevel="1">
      <c r="A34" s="434">
        <v>9</v>
      </c>
      <c r="B34" s="611" t="s">
        <v>1959</v>
      </c>
      <c r="C34" s="434" t="s">
        <v>1912</v>
      </c>
      <c r="D34" s="434" t="s">
        <v>1913</v>
      </c>
      <c r="E34" s="434" t="s">
        <v>49</v>
      </c>
      <c r="F34" s="434" t="s">
        <v>1960</v>
      </c>
      <c r="G34" s="434"/>
      <c r="H34" s="434"/>
      <c r="I34" s="420">
        <v>2024</v>
      </c>
      <c r="J34" s="420">
        <v>2024</v>
      </c>
      <c r="K34" s="434" t="s">
        <v>1961</v>
      </c>
      <c r="L34" s="434" t="s">
        <v>1962</v>
      </c>
      <c r="M34" s="133">
        <v>1000</v>
      </c>
      <c r="N34" s="133"/>
      <c r="O34" s="133"/>
      <c r="P34" s="133">
        <v>1000</v>
      </c>
      <c r="Q34" s="133"/>
      <c r="R34" s="133" t="s">
        <v>1960</v>
      </c>
      <c r="S34" s="133" t="s">
        <v>1909</v>
      </c>
      <c r="T34" s="133" t="s">
        <v>1913</v>
      </c>
      <c r="U34" s="133"/>
      <c r="V34" s="133"/>
      <c r="W34" s="133"/>
      <c r="X34" s="133"/>
      <c r="Y34" s="133">
        <f t="shared" si="5"/>
        <v>1000</v>
      </c>
      <c r="Z34" s="133"/>
      <c r="AA34" s="133"/>
      <c r="AB34" s="133">
        <f t="shared" si="6"/>
        <v>1000</v>
      </c>
      <c r="AC34" s="133">
        <v>1000</v>
      </c>
      <c r="AD34" s="133"/>
      <c r="AE34" s="133"/>
      <c r="AF34" s="133">
        <f t="shared" si="7"/>
        <v>1000</v>
      </c>
      <c r="AG34" s="133"/>
      <c r="AH34" s="133"/>
      <c r="AI34" s="133">
        <f t="shared" si="8"/>
        <v>1000</v>
      </c>
      <c r="AJ34" s="133">
        <v>1000</v>
      </c>
      <c r="AK34" s="133">
        <v>0</v>
      </c>
      <c r="AL34" s="133">
        <v>0</v>
      </c>
      <c r="AM34" s="133">
        <v>933.65599999999995</v>
      </c>
      <c r="AN34" s="133"/>
      <c r="AO34" s="133"/>
      <c r="AP34" s="133">
        <v>933.65599999999995</v>
      </c>
      <c r="AQ34" s="133">
        <v>933.65599999999995</v>
      </c>
      <c r="AR34" s="133">
        <v>0</v>
      </c>
      <c r="AS34" s="133">
        <v>0</v>
      </c>
      <c r="AT34" s="133">
        <f t="shared" si="9"/>
        <v>0</v>
      </c>
      <c r="AU34" s="133"/>
      <c r="AV34" s="133"/>
      <c r="AW34" s="133">
        <f t="shared" si="10"/>
        <v>0</v>
      </c>
      <c r="AX34" s="133">
        <v>0</v>
      </c>
      <c r="AY34" s="133"/>
      <c r="AZ34" s="133"/>
      <c r="BA34" s="134">
        <v>0</v>
      </c>
      <c r="BB34" s="134"/>
      <c r="BC34" s="134"/>
      <c r="BD34" s="134">
        <v>0</v>
      </c>
      <c r="BE34" s="134">
        <v>0</v>
      </c>
      <c r="BF34" s="134"/>
      <c r="BG34" s="134"/>
      <c r="BH34" s="134"/>
      <c r="BI34" s="134"/>
      <c r="BJ34" s="134">
        <v>0</v>
      </c>
      <c r="BK34" s="134"/>
      <c r="BL34" s="134"/>
      <c r="BM34" s="134"/>
      <c r="BN34" s="134">
        <v>0</v>
      </c>
      <c r="BO34" s="134"/>
      <c r="BP34" s="134"/>
      <c r="BQ34" s="134"/>
      <c r="BR34" s="133"/>
      <c r="BS34" s="133"/>
      <c r="BT34" s="133"/>
      <c r="BU34" s="134"/>
      <c r="BV34" s="134"/>
      <c r="BW34" s="134"/>
      <c r="BX34" s="134"/>
    </row>
    <row r="35" spans="1:76" ht="46.15" outlineLevel="1">
      <c r="A35" s="434">
        <v>10</v>
      </c>
      <c r="B35" s="611" t="s">
        <v>1963</v>
      </c>
      <c r="C35" s="434" t="s">
        <v>1912</v>
      </c>
      <c r="D35" s="434" t="s">
        <v>1913</v>
      </c>
      <c r="E35" s="434" t="s">
        <v>49</v>
      </c>
      <c r="F35" s="434" t="s">
        <v>1931</v>
      </c>
      <c r="G35" s="434"/>
      <c r="H35" s="434"/>
      <c r="I35" s="420">
        <v>2021</v>
      </c>
      <c r="J35" s="420">
        <v>2021</v>
      </c>
      <c r="K35" s="434" t="s">
        <v>1964</v>
      </c>
      <c r="L35" s="434" t="s">
        <v>1965</v>
      </c>
      <c r="M35" s="133">
        <v>4000</v>
      </c>
      <c r="N35" s="133"/>
      <c r="O35" s="133"/>
      <c r="P35" s="133">
        <v>4000</v>
      </c>
      <c r="Q35" s="133"/>
      <c r="R35" s="133" t="s">
        <v>1931</v>
      </c>
      <c r="S35" s="133" t="s">
        <v>1909</v>
      </c>
      <c r="T35" s="133" t="s">
        <v>1913</v>
      </c>
      <c r="U35" s="133"/>
      <c r="V35" s="133"/>
      <c r="W35" s="133"/>
      <c r="X35" s="133"/>
      <c r="Y35" s="133">
        <f t="shared" si="5"/>
        <v>3823.741</v>
      </c>
      <c r="Z35" s="133"/>
      <c r="AA35" s="133"/>
      <c r="AB35" s="133">
        <f t="shared" si="6"/>
        <v>3823.741</v>
      </c>
      <c r="AC35" s="133">
        <v>0</v>
      </c>
      <c r="AD35" s="133">
        <v>3823.741</v>
      </c>
      <c r="AE35" s="133"/>
      <c r="AF35" s="133">
        <f t="shared" si="7"/>
        <v>3823.741</v>
      </c>
      <c r="AG35" s="133"/>
      <c r="AH35" s="133"/>
      <c r="AI35" s="133">
        <f t="shared" si="8"/>
        <v>3823.741</v>
      </c>
      <c r="AJ35" s="133">
        <v>0</v>
      </c>
      <c r="AK35" s="133">
        <v>3823.741</v>
      </c>
      <c r="AL35" s="133">
        <v>0</v>
      </c>
      <c r="AM35" s="133">
        <v>3823.741</v>
      </c>
      <c r="AN35" s="133"/>
      <c r="AO35" s="133"/>
      <c r="AP35" s="133">
        <v>3823.741</v>
      </c>
      <c r="AQ35" s="133">
        <v>0</v>
      </c>
      <c r="AR35" s="133">
        <v>3823.741</v>
      </c>
      <c r="AS35" s="133">
        <v>0</v>
      </c>
      <c r="AT35" s="133">
        <f t="shared" si="9"/>
        <v>0</v>
      </c>
      <c r="AU35" s="133"/>
      <c r="AV35" s="133"/>
      <c r="AW35" s="133">
        <f t="shared" si="10"/>
        <v>0</v>
      </c>
      <c r="AX35" s="133">
        <v>0</v>
      </c>
      <c r="AY35" s="133"/>
      <c r="AZ35" s="133"/>
      <c r="BA35" s="134">
        <v>0</v>
      </c>
      <c r="BB35" s="134"/>
      <c r="BC35" s="134"/>
      <c r="BD35" s="134">
        <v>0</v>
      </c>
      <c r="BE35" s="134">
        <v>0</v>
      </c>
      <c r="BF35" s="134"/>
      <c r="BG35" s="134"/>
      <c r="BH35" s="134"/>
      <c r="BI35" s="134"/>
      <c r="BJ35" s="134">
        <v>0</v>
      </c>
      <c r="BK35" s="134"/>
      <c r="BL35" s="134"/>
      <c r="BM35" s="134"/>
      <c r="BN35" s="134">
        <v>0</v>
      </c>
      <c r="BO35" s="134"/>
      <c r="BP35" s="134"/>
      <c r="BQ35" s="134"/>
      <c r="BR35" s="133"/>
      <c r="BS35" s="133"/>
      <c r="BT35" s="133"/>
      <c r="BU35" s="134"/>
      <c r="BV35" s="134"/>
      <c r="BW35" s="134"/>
      <c r="BX35" s="134"/>
    </row>
    <row r="36" spans="1:76" ht="61.5" outlineLevel="1">
      <c r="A36" s="434">
        <v>11</v>
      </c>
      <c r="B36" s="611" t="s">
        <v>1966</v>
      </c>
      <c r="C36" s="434" t="s">
        <v>1912</v>
      </c>
      <c r="D36" s="434" t="s">
        <v>1913</v>
      </c>
      <c r="E36" s="434" t="s">
        <v>49</v>
      </c>
      <c r="F36" s="434" t="s">
        <v>1931</v>
      </c>
      <c r="G36" s="434"/>
      <c r="H36" s="434"/>
      <c r="I36" s="420" t="s">
        <v>75</v>
      </c>
      <c r="J36" s="420">
        <v>2021</v>
      </c>
      <c r="K36" s="434" t="s">
        <v>1967</v>
      </c>
      <c r="L36" s="434" t="s">
        <v>1968</v>
      </c>
      <c r="M36" s="133">
        <v>52000</v>
      </c>
      <c r="N36" s="133"/>
      <c r="O36" s="133"/>
      <c r="P36" s="133">
        <v>52000</v>
      </c>
      <c r="Q36" s="133" t="s">
        <v>1969</v>
      </c>
      <c r="R36" s="133" t="s">
        <v>1931</v>
      </c>
      <c r="S36" s="133" t="s">
        <v>1909</v>
      </c>
      <c r="T36" s="133" t="s">
        <v>1913</v>
      </c>
      <c r="U36" s="133"/>
      <c r="V36" s="133"/>
      <c r="W36" s="133"/>
      <c r="X36" s="133"/>
      <c r="Y36" s="133">
        <f t="shared" si="5"/>
        <v>52000</v>
      </c>
      <c r="Z36" s="133"/>
      <c r="AA36" s="133"/>
      <c r="AB36" s="133">
        <f t="shared" si="6"/>
        <v>52000</v>
      </c>
      <c r="AC36" s="133">
        <v>0</v>
      </c>
      <c r="AD36" s="133">
        <v>52000</v>
      </c>
      <c r="AE36" s="133"/>
      <c r="AF36" s="133">
        <f t="shared" si="7"/>
        <v>15902.822747999999</v>
      </c>
      <c r="AG36" s="133"/>
      <c r="AH36" s="133"/>
      <c r="AI36" s="133">
        <f t="shared" si="8"/>
        <v>15902.822747999999</v>
      </c>
      <c r="AJ36" s="133">
        <v>0</v>
      </c>
      <c r="AK36" s="133">
        <v>15902.822747999999</v>
      </c>
      <c r="AL36" s="133">
        <v>0</v>
      </c>
      <c r="AM36" s="133">
        <v>12889.699747999999</v>
      </c>
      <c r="AN36" s="133"/>
      <c r="AO36" s="133"/>
      <c r="AP36" s="133">
        <v>12889.699747999999</v>
      </c>
      <c r="AQ36" s="133">
        <v>0</v>
      </c>
      <c r="AR36" s="133">
        <v>12889.699747999999</v>
      </c>
      <c r="AS36" s="133">
        <v>0</v>
      </c>
      <c r="AT36" s="133">
        <f t="shared" si="9"/>
        <v>36097.177252000001</v>
      </c>
      <c r="AU36" s="133"/>
      <c r="AV36" s="133"/>
      <c r="AW36" s="133">
        <f t="shared" si="10"/>
        <v>36097.177252000001</v>
      </c>
      <c r="AX36" s="133">
        <v>0</v>
      </c>
      <c r="AY36" s="133">
        <v>36097.177252000001</v>
      </c>
      <c r="AZ36" s="133"/>
      <c r="BA36" s="134">
        <v>8209</v>
      </c>
      <c r="BB36" s="134"/>
      <c r="BC36" s="134"/>
      <c r="BD36" s="134">
        <v>8209</v>
      </c>
      <c r="BE36" s="134">
        <v>0</v>
      </c>
      <c r="BF36" s="134"/>
      <c r="BG36" s="134"/>
      <c r="BH36" s="134">
        <v>8209</v>
      </c>
      <c r="BI36" s="134"/>
      <c r="BJ36" s="134">
        <v>3013.123</v>
      </c>
      <c r="BK36" s="134"/>
      <c r="BL36" s="134"/>
      <c r="BM36" s="134">
        <v>3013.123</v>
      </c>
      <c r="BN36" s="134">
        <v>3013.123</v>
      </c>
      <c r="BO36" s="134"/>
      <c r="BP36" s="134"/>
      <c r="BQ36" s="134">
        <v>3013.123</v>
      </c>
      <c r="BR36" s="133">
        <v>26600</v>
      </c>
      <c r="BS36" s="133"/>
      <c r="BT36" s="133">
        <v>26600</v>
      </c>
      <c r="BU36" s="134"/>
      <c r="BV36" s="134"/>
      <c r="BW36" s="133">
        <v>2705.3</v>
      </c>
      <c r="BX36" s="134"/>
    </row>
    <row r="37" spans="1:76" ht="46.15" outlineLevel="1">
      <c r="A37" s="434">
        <v>12</v>
      </c>
      <c r="B37" s="611" t="s">
        <v>1970</v>
      </c>
      <c r="C37" s="434" t="s">
        <v>1912</v>
      </c>
      <c r="D37" s="434" t="s">
        <v>1913</v>
      </c>
      <c r="E37" s="434" t="s">
        <v>49</v>
      </c>
      <c r="F37" s="434" t="s">
        <v>1931</v>
      </c>
      <c r="G37" s="434"/>
      <c r="H37" s="434"/>
      <c r="I37" s="420" t="s">
        <v>76</v>
      </c>
      <c r="J37" s="420">
        <v>2022</v>
      </c>
      <c r="K37" s="434" t="s">
        <v>1971</v>
      </c>
      <c r="L37" s="434" t="s">
        <v>1972</v>
      </c>
      <c r="M37" s="133">
        <v>8500</v>
      </c>
      <c r="N37" s="133"/>
      <c r="O37" s="133"/>
      <c r="P37" s="133">
        <v>8500</v>
      </c>
      <c r="Q37" s="133"/>
      <c r="R37" s="133" t="s">
        <v>1931</v>
      </c>
      <c r="S37" s="133" t="s">
        <v>1909</v>
      </c>
      <c r="T37" s="133" t="s">
        <v>1913</v>
      </c>
      <c r="U37" s="133"/>
      <c r="V37" s="133"/>
      <c r="W37" s="133"/>
      <c r="X37" s="133"/>
      <c r="Y37" s="133">
        <f t="shared" si="5"/>
        <v>7191.7659999999996</v>
      </c>
      <c r="Z37" s="133"/>
      <c r="AA37" s="133"/>
      <c r="AB37" s="133">
        <f t="shared" si="6"/>
        <v>7191.7659999999996</v>
      </c>
      <c r="AC37" s="133">
        <v>0</v>
      </c>
      <c r="AD37" s="133">
        <v>7191.7659999999996</v>
      </c>
      <c r="AE37" s="133"/>
      <c r="AF37" s="133">
        <f t="shared" si="7"/>
        <v>7191.7659999999996</v>
      </c>
      <c r="AG37" s="133"/>
      <c r="AH37" s="133"/>
      <c r="AI37" s="133">
        <f t="shared" si="8"/>
        <v>7191.7659999999996</v>
      </c>
      <c r="AJ37" s="133">
        <v>0</v>
      </c>
      <c r="AK37" s="133">
        <v>7191.7659999999996</v>
      </c>
      <c r="AL37" s="133">
        <v>0</v>
      </c>
      <c r="AM37" s="133">
        <v>7191.7659999999996</v>
      </c>
      <c r="AN37" s="133"/>
      <c r="AO37" s="133"/>
      <c r="AP37" s="133">
        <v>7191.7659999999996</v>
      </c>
      <c r="AQ37" s="133">
        <v>0</v>
      </c>
      <c r="AR37" s="133">
        <v>7191.7659999999996</v>
      </c>
      <c r="AS37" s="133">
        <v>0</v>
      </c>
      <c r="AT37" s="133">
        <f t="shared" si="9"/>
        <v>0</v>
      </c>
      <c r="AU37" s="133"/>
      <c r="AV37" s="133"/>
      <c r="AW37" s="133">
        <f t="shared" si="10"/>
        <v>0</v>
      </c>
      <c r="AX37" s="133">
        <v>0</v>
      </c>
      <c r="AY37" s="133"/>
      <c r="AZ37" s="133"/>
      <c r="BA37" s="134">
        <v>0</v>
      </c>
      <c r="BB37" s="134"/>
      <c r="BC37" s="134"/>
      <c r="BD37" s="134">
        <v>0</v>
      </c>
      <c r="BE37" s="134">
        <v>0</v>
      </c>
      <c r="BF37" s="134"/>
      <c r="BG37" s="134"/>
      <c r="BH37" s="134"/>
      <c r="BI37" s="134"/>
      <c r="BJ37" s="134">
        <v>0</v>
      </c>
      <c r="BK37" s="134"/>
      <c r="BL37" s="134"/>
      <c r="BM37" s="134"/>
      <c r="BN37" s="134">
        <v>0</v>
      </c>
      <c r="BO37" s="134"/>
      <c r="BP37" s="134"/>
      <c r="BQ37" s="134"/>
      <c r="BR37" s="133"/>
      <c r="BS37" s="133"/>
      <c r="BT37" s="133"/>
      <c r="BU37" s="134"/>
      <c r="BV37" s="134"/>
      <c r="BW37" s="134"/>
      <c r="BX37" s="134"/>
    </row>
    <row r="38" spans="1:76" ht="92.25" outlineLevel="1">
      <c r="A38" s="434">
        <v>13</v>
      </c>
      <c r="B38" s="611" t="s">
        <v>1973</v>
      </c>
      <c r="C38" s="434" t="s">
        <v>1912</v>
      </c>
      <c r="D38" s="434" t="s">
        <v>1913</v>
      </c>
      <c r="E38" s="434" t="s">
        <v>49</v>
      </c>
      <c r="F38" s="434" t="s">
        <v>1931</v>
      </c>
      <c r="G38" s="434"/>
      <c r="H38" s="434"/>
      <c r="I38" s="420" t="s">
        <v>52</v>
      </c>
      <c r="J38" s="420">
        <v>2022</v>
      </c>
      <c r="K38" s="434"/>
      <c r="L38" s="434" t="s">
        <v>1974</v>
      </c>
      <c r="M38" s="133">
        <v>5700</v>
      </c>
      <c r="N38" s="133"/>
      <c r="O38" s="133"/>
      <c r="P38" s="133">
        <v>5700</v>
      </c>
      <c r="Q38" s="133"/>
      <c r="R38" s="133" t="s">
        <v>1931</v>
      </c>
      <c r="S38" s="133" t="s">
        <v>1909</v>
      </c>
      <c r="T38" s="133" t="s">
        <v>1913</v>
      </c>
      <c r="U38" s="133"/>
      <c r="V38" s="133"/>
      <c r="W38" s="133"/>
      <c r="X38" s="133"/>
      <c r="Y38" s="133">
        <f t="shared" si="5"/>
        <v>3551.4442519999998</v>
      </c>
      <c r="Z38" s="133"/>
      <c r="AA38" s="133"/>
      <c r="AB38" s="133">
        <f t="shared" si="6"/>
        <v>3551.4442519999998</v>
      </c>
      <c r="AC38" s="133">
        <v>0</v>
      </c>
      <c r="AD38" s="133">
        <v>3043.4442519999998</v>
      </c>
      <c r="AE38" s="133">
        <v>508</v>
      </c>
      <c r="AF38" s="133">
        <f t="shared" si="7"/>
        <v>3551.4442519999998</v>
      </c>
      <c r="AG38" s="133"/>
      <c r="AH38" s="133"/>
      <c r="AI38" s="133">
        <f t="shared" si="8"/>
        <v>3551.4442519999998</v>
      </c>
      <c r="AJ38" s="133">
        <v>0</v>
      </c>
      <c r="AK38" s="133">
        <v>3043.4442519999998</v>
      </c>
      <c r="AL38" s="133">
        <v>508</v>
      </c>
      <c r="AM38" s="133">
        <v>3551.4442519999998</v>
      </c>
      <c r="AN38" s="133"/>
      <c r="AO38" s="133"/>
      <c r="AP38" s="133">
        <v>3551.4442519999998</v>
      </c>
      <c r="AQ38" s="133">
        <v>0</v>
      </c>
      <c r="AR38" s="133">
        <v>3043.4442519999998</v>
      </c>
      <c r="AS38" s="133">
        <v>508</v>
      </c>
      <c r="AT38" s="133">
        <f t="shared" si="9"/>
        <v>0</v>
      </c>
      <c r="AU38" s="133"/>
      <c r="AV38" s="133"/>
      <c r="AW38" s="133">
        <f t="shared" si="10"/>
        <v>0</v>
      </c>
      <c r="AX38" s="133">
        <v>0</v>
      </c>
      <c r="AY38" s="133"/>
      <c r="AZ38" s="133"/>
      <c r="BA38" s="134">
        <v>0</v>
      </c>
      <c r="BB38" s="134"/>
      <c r="BC38" s="134"/>
      <c r="BD38" s="134">
        <v>0</v>
      </c>
      <c r="BE38" s="134">
        <v>0</v>
      </c>
      <c r="BF38" s="134"/>
      <c r="BG38" s="134"/>
      <c r="BH38" s="134"/>
      <c r="BI38" s="134"/>
      <c r="BJ38" s="134">
        <v>0</v>
      </c>
      <c r="BK38" s="134"/>
      <c r="BL38" s="134"/>
      <c r="BM38" s="134"/>
      <c r="BN38" s="134">
        <v>0</v>
      </c>
      <c r="BO38" s="134"/>
      <c r="BP38" s="134"/>
      <c r="BQ38" s="134"/>
      <c r="BR38" s="133"/>
      <c r="BS38" s="133"/>
      <c r="BT38" s="133"/>
      <c r="BU38" s="134"/>
      <c r="BV38" s="134"/>
      <c r="BW38" s="134"/>
      <c r="BX38" s="134"/>
    </row>
    <row r="39" spans="1:76" ht="61.5" outlineLevel="1">
      <c r="A39" s="434">
        <v>14</v>
      </c>
      <c r="B39" s="611" t="s">
        <v>1975</v>
      </c>
      <c r="C39" s="434" t="s">
        <v>1950</v>
      </c>
      <c r="D39" s="434" t="s">
        <v>1913</v>
      </c>
      <c r="E39" s="434" t="s">
        <v>49</v>
      </c>
      <c r="F39" s="434" t="s">
        <v>1976</v>
      </c>
      <c r="G39" s="434"/>
      <c r="H39" s="434"/>
      <c r="I39" s="420" t="s">
        <v>84</v>
      </c>
      <c r="J39" s="420">
        <v>2024</v>
      </c>
      <c r="K39" s="434" t="s">
        <v>1977</v>
      </c>
      <c r="L39" s="434" t="s">
        <v>1978</v>
      </c>
      <c r="M39" s="133">
        <v>65000</v>
      </c>
      <c r="N39" s="133"/>
      <c r="O39" s="133">
        <v>51500</v>
      </c>
      <c r="P39" s="133">
        <v>13500</v>
      </c>
      <c r="Q39" s="133" t="s">
        <v>1969</v>
      </c>
      <c r="R39" s="133" t="s">
        <v>1976</v>
      </c>
      <c r="S39" s="133" t="s">
        <v>1979</v>
      </c>
      <c r="T39" s="133" t="s">
        <v>1913</v>
      </c>
      <c r="U39" s="133"/>
      <c r="V39" s="133"/>
      <c r="W39" s="133"/>
      <c r="X39" s="133"/>
      <c r="Y39" s="133">
        <f t="shared" si="5"/>
        <v>11025.83</v>
      </c>
      <c r="Z39" s="133"/>
      <c r="AA39" s="133"/>
      <c r="AB39" s="133">
        <f t="shared" si="6"/>
        <v>11025.83</v>
      </c>
      <c r="AC39" s="133">
        <v>0</v>
      </c>
      <c r="AD39" s="133">
        <v>4000</v>
      </c>
      <c r="AE39" s="133">
        <v>7025.83</v>
      </c>
      <c r="AF39" s="133">
        <f t="shared" si="7"/>
        <v>3000</v>
      </c>
      <c r="AG39" s="133"/>
      <c r="AH39" s="133"/>
      <c r="AI39" s="133">
        <f t="shared" si="8"/>
        <v>3000</v>
      </c>
      <c r="AJ39" s="133">
        <v>0</v>
      </c>
      <c r="AK39" s="133"/>
      <c r="AL39" s="133">
        <v>3000</v>
      </c>
      <c r="AM39" s="133">
        <v>3000</v>
      </c>
      <c r="AN39" s="133"/>
      <c r="AO39" s="133"/>
      <c r="AP39" s="133">
        <v>3000</v>
      </c>
      <c r="AQ39" s="133">
        <v>0</v>
      </c>
      <c r="AR39" s="133">
        <v>0</v>
      </c>
      <c r="AS39" s="133">
        <v>3000</v>
      </c>
      <c r="AT39" s="133">
        <f t="shared" si="9"/>
        <v>8025.83</v>
      </c>
      <c r="AU39" s="133"/>
      <c r="AV39" s="133"/>
      <c r="AW39" s="133">
        <f t="shared" si="10"/>
        <v>8025.83</v>
      </c>
      <c r="AX39" s="133">
        <v>0</v>
      </c>
      <c r="AY39" s="133">
        <v>4000</v>
      </c>
      <c r="AZ39" s="133">
        <v>4025.83</v>
      </c>
      <c r="BA39" s="134">
        <v>3397.694</v>
      </c>
      <c r="BB39" s="134"/>
      <c r="BC39" s="134"/>
      <c r="BD39" s="134">
        <v>3397.694</v>
      </c>
      <c r="BE39" s="134">
        <v>0</v>
      </c>
      <c r="BF39" s="134"/>
      <c r="BG39" s="134"/>
      <c r="BH39" s="134"/>
      <c r="BI39" s="134">
        <v>3397.694</v>
      </c>
      <c r="BJ39" s="134">
        <v>0</v>
      </c>
      <c r="BK39" s="134"/>
      <c r="BL39" s="134"/>
      <c r="BM39" s="134"/>
      <c r="BN39" s="134">
        <v>0</v>
      </c>
      <c r="BO39" s="134"/>
      <c r="BP39" s="134"/>
      <c r="BQ39" s="134"/>
      <c r="BR39" s="133">
        <v>1500</v>
      </c>
      <c r="BS39" s="133"/>
      <c r="BT39" s="133">
        <v>1500</v>
      </c>
      <c r="BU39" s="134"/>
      <c r="BV39" s="134"/>
      <c r="BW39" s="134"/>
      <c r="BX39" s="134"/>
    </row>
    <row r="40" spans="1:76" ht="46.15" outlineLevel="1">
      <c r="A40" s="434">
        <v>15</v>
      </c>
      <c r="B40" s="611" t="s">
        <v>1980</v>
      </c>
      <c r="C40" s="434" t="s">
        <v>1912</v>
      </c>
      <c r="D40" s="434" t="s">
        <v>1913</v>
      </c>
      <c r="E40" s="434" t="s">
        <v>49</v>
      </c>
      <c r="F40" s="434" t="s">
        <v>1960</v>
      </c>
      <c r="G40" s="434"/>
      <c r="H40" s="434"/>
      <c r="I40" s="420">
        <v>2023</v>
      </c>
      <c r="J40" s="420">
        <v>2023</v>
      </c>
      <c r="K40" s="434" t="s">
        <v>1981</v>
      </c>
      <c r="L40" s="434" t="s">
        <v>1982</v>
      </c>
      <c r="M40" s="133">
        <v>500</v>
      </c>
      <c r="N40" s="133"/>
      <c r="O40" s="133"/>
      <c r="P40" s="133">
        <v>500</v>
      </c>
      <c r="Q40" s="133"/>
      <c r="R40" s="133" t="s">
        <v>1960</v>
      </c>
      <c r="S40" s="133" t="s">
        <v>1909</v>
      </c>
      <c r="T40" s="133" t="s">
        <v>1913</v>
      </c>
      <c r="U40" s="133"/>
      <c r="V40" s="133"/>
      <c r="W40" s="133"/>
      <c r="X40" s="133"/>
      <c r="Y40" s="133">
        <f t="shared" si="5"/>
        <v>500</v>
      </c>
      <c r="Z40" s="133"/>
      <c r="AA40" s="133"/>
      <c r="AB40" s="133">
        <f t="shared" si="6"/>
        <v>500</v>
      </c>
      <c r="AC40" s="133">
        <v>0</v>
      </c>
      <c r="AD40" s="133"/>
      <c r="AE40" s="133">
        <v>500</v>
      </c>
      <c r="AF40" s="133">
        <f t="shared" si="7"/>
        <v>500</v>
      </c>
      <c r="AG40" s="133"/>
      <c r="AH40" s="133"/>
      <c r="AI40" s="133">
        <f t="shared" si="8"/>
        <v>500</v>
      </c>
      <c r="AJ40" s="133">
        <v>0</v>
      </c>
      <c r="AK40" s="133">
        <v>0</v>
      </c>
      <c r="AL40" s="133">
        <v>500</v>
      </c>
      <c r="AM40" s="133">
        <v>487.274</v>
      </c>
      <c r="AN40" s="133"/>
      <c r="AO40" s="133"/>
      <c r="AP40" s="133">
        <v>487.274</v>
      </c>
      <c r="AQ40" s="133">
        <v>0</v>
      </c>
      <c r="AR40" s="133">
        <v>0</v>
      </c>
      <c r="AS40" s="133">
        <v>487.274</v>
      </c>
      <c r="AT40" s="133">
        <f t="shared" si="9"/>
        <v>0</v>
      </c>
      <c r="AU40" s="133"/>
      <c r="AV40" s="133"/>
      <c r="AW40" s="133">
        <f t="shared" si="10"/>
        <v>0</v>
      </c>
      <c r="AX40" s="133">
        <v>0</v>
      </c>
      <c r="AY40" s="133"/>
      <c r="AZ40" s="133"/>
      <c r="BA40" s="134">
        <v>0</v>
      </c>
      <c r="BB40" s="134"/>
      <c r="BC40" s="134"/>
      <c r="BD40" s="134">
        <v>0</v>
      </c>
      <c r="BE40" s="134">
        <v>0</v>
      </c>
      <c r="BF40" s="134"/>
      <c r="BG40" s="134"/>
      <c r="BH40" s="134"/>
      <c r="BI40" s="134"/>
      <c r="BJ40" s="134">
        <v>0</v>
      </c>
      <c r="BK40" s="134"/>
      <c r="BL40" s="134"/>
      <c r="BM40" s="134"/>
      <c r="BN40" s="134">
        <v>0</v>
      </c>
      <c r="BO40" s="134"/>
      <c r="BP40" s="134"/>
      <c r="BQ40" s="134"/>
      <c r="BR40" s="133"/>
      <c r="BS40" s="133"/>
      <c r="BT40" s="133"/>
      <c r="BU40" s="134"/>
      <c r="BV40" s="134"/>
      <c r="BW40" s="134"/>
      <c r="BX40" s="134"/>
    </row>
    <row r="41" spans="1:76" ht="46.15" outlineLevel="1">
      <c r="A41" s="434">
        <v>16</v>
      </c>
      <c r="B41" s="611" t="s">
        <v>1983</v>
      </c>
      <c r="C41" s="434" t="s">
        <v>1912</v>
      </c>
      <c r="D41" s="434" t="s">
        <v>1913</v>
      </c>
      <c r="E41" s="434" t="s">
        <v>49</v>
      </c>
      <c r="F41" s="434" t="s">
        <v>1960</v>
      </c>
      <c r="G41" s="434"/>
      <c r="H41" s="434"/>
      <c r="I41" s="420">
        <v>2023</v>
      </c>
      <c r="J41" s="420">
        <v>2023</v>
      </c>
      <c r="K41" s="434" t="s">
        <v>1984</v>
      </c>
      <c r="L41" s="434" t="s">
        <v>1985</v>
      </c>
      <c r="M41" s="133">
        <v>500</v>
      </c>
      <c r="N41" s="133"/>
      <c r="O41" s="133"/>
      <c r="P41" s="133">
        <v>500</v>
      </c>
      <c r="Q41" s="133"/>
      <c r="R41" s="133" t="s">
        <v>1960</v>
      </c>
      <c r="S41" s="133" t="s">
        <v>1909</v>
      </c>
      <c r="T41" s="133" t="s">
        <v>1913</v>
      </c>
      <c r="U41" s="133"/>
      <c r="V41" s="133"/>
      <c r="W41" s="133"/>
      <c r="X41" s="133"/>
      <c r="Y41" s="133">
        <f t="shared" si="5"/>
        <v>500</v>
      </c>
      <c r="Z41" s="133"/>
      <c r="AA41" s="133"/>
      <c r="AB41" s="133">
        <f t="shared" si="6"/>
        <v>500</v>
      </c>
      <c r="AC41" s="133">
        <v>0</v>
      </c>
      <c r="AD41" s="133"/>
      <c r="AE41" s="133">
        <v>500</v>
      </c>
      <c r="AF41" s="133">
        <f t="shared" si="7"/>
        <v>500</v>
      </c>
      <c r="AG41" s="133"/>
      <c r="AH41" s="133"/>
      <c r="AI41" s="133">
        <f t="shared" si="8"/>
        <v>500</v>
      </c>
      <c r="AJ41" s="133">
        <v>0</v>
      </c>
      <c r="AK41" s="133">
        <v>0</v>
      </c>
      <c r="AL41" s="133">
        <v>500</v>
      </c>
      <c r="AM41" s="133">
        <v>489.14699999999999</v>
      </c>
      <c r="AN41" s="133"/>
      <c r="AO41" s="133"/>
      <c r="AP41" s="133">
        <v>489.14699999999999</v>
      </c>
      <c r="AQ41" s="133">
        <v>0</v>
      </c>
      <c r="AR41" s="133">
        <v>0</v>
      </c>
      <c r="AS41" s="133">
        <v>489.14699999999999</v>
      </c>
      <c r="AT41" s="133">
        <f t="shared" si="9"/>
        <v>0</v>
      </c>
      <c r="AU41" s="133"/>
      <c r="AV41" s="133"/>
      <c r="AW41" s="133">
        <f t="shared" si="10"/>
        <v>0</v>
      </c>
      <c r="AX41" s="133">
        <v>0</v>
      </c>
      <c r="AY41" s="133"/>
      <c r="AZ41" s="133"/>
      <c r="BA41" s="134">
        <v>0</v>
      </c>
      <c r="BB41" s="134"/>
      <c r="BC41" s="134"/>
      <c r="BD41" s="134">
        <v>0</v>
      </c>
      <c r="BE41" s="134">
        <v>0</v>
      </c>
      <c r="BF41" s="134"/>
      <c r="BG41" s="134"/>
      <c r="BH41" s="134"/>
      <c r="BI41" s="134"/>
      <c r="BJ41" s="134">
        <v>0</v>
      </c>
      <c r="BK41" s="134"/>
      <c r="BL41" s="134"/>
      <c r="BM41" s="134"/>
      <c r="BN41" s="134">
        <v>0</v>
      </c>
      <c r="BO41" s="134"/>
      <c r="BP41" s="134"/>
      <c r="BQ41" s="134"/>
      <c r="BR41" s="133"/>
      <c r="BS41" s="133"/>
      <c r="BT41" s="133"/>
      <c r="BU41" s="134"/>
      <c r="BV41" s="134"/>
      <c r="BW41" s="134"/>
      <c r="BX41" s="134"/>
    </row>
    <row r="42" spans="1:76" ht="46.15" outlineLevel="1">
      <c r="A42" s="434">
        <v>17</v>
      </c>
      <c r="B42" s="611" t="s">
        <v>1986</v>
      </c>
      <c r="C42" s="434" t="s">
        <v>1912</v>
      </c>
      <c r="D42" s="434" t="s">
        <v>1913</v>
      </c>
      <c r="E42" s="434" t="s">
        <v>49</v>
      </c>
      <c r="F42" s="434" t="s">
        <v>1931</v>
      </c>
      <c r="G42" s="434"/>
      <c r="H42" s="434"/>
      <c r="I42" s="420" t="s">
        <v>84</v>
      </c>
      <c r="J42" s="420">
        <v>2024</v>
      </c>
      <c r="K42" s="434" t="s">
        <v>1987</v>
      </c>
      <c r="L42" s="434" t="s">
        <v>1988</v>
      </c>
      <c r="M42" s="133">
        <v>2500</v>
      </c>
      <c r="N42" s="133"/>
      <c r="O42" s="133"/>
      <c r="P42" s="133">
        <v>2500</v>
      </c>
      <c r="Q42" s="133"/>
      <c r="R42" s="133" t="s">
        <v>1931</v>
      </c>
      <c r="S42" s="133" t="s">
        <v>1909</v>
      </c>
      <c r="T42" s="133" t="s">
        <v>1913</v>
      </c>
      <c r="U42" s="133"/>
      <c r="V42" s="133"/>
      <c r="W42" s="133"/>
      <c r="X42" s="133"/>
      <c r="Y42" s="133">
        <f t="shared" si="5"/>
        <v>2430.855</v>
      </c>
      <c r="Z42" s="133"/>
      <c r="AA42" s="133"/>
      <c r="AB42" s="133">
        <f t="shared" si="6"/>
        <v>2430.855</v>
      </c>
      <c r="AC42" s="133">
        <v>0</v>
      </c>
      <c r="AD42" s="133"/>
      <c r="AE42" s="133">
        <v>2430.855</v>
      </c>
      <c r="AF42" s="133">
        <f t="shared" si="7"/>
        <v>1050.855</v>
      </c>
      <c r="AG42" s="133"/>
      <c r="AH42" s="133"/>
      <c r="AI42" s="133">
        <f t="shared" si="8"/>
        <v>1050.855</v>
      </c>
      <c r="AJ42" s="133">
        <v>0</v>
      </c>
      <c r="AK42" s="133">
        <v>0</v>
      </c>
      <c r="AL42" s="133">
        <v>1050.855</v>
      </c>
      <c r="AM42" s="133">
        <v>1030.155</v>
      </c>
      <c r="AN42" s="133"/>
      <c r="AO42" s="133"/>
      <c r="AP42" s="133">
        <v>1030.155</v>
      </c>
      <c r="AQ42" s="133">
        <v>0</v>
      </c>
      <c r="AR42" s="133">
        <v>0</v>
      </c>
      <c r="AS42" s="133">
        <v>1030.155</v>
      </c>
      <c r="AT42" s="133">
        <f t="shared" si="9"/>
        <v>1380</v>
      </c>
      <c r="AU42" s="133"/>
      <c r="AV42" s="133"/>
      <c r="AW42" s="133">
        <f t="shared" si="10"/>
        <v>1380</v>
      </c>
      <c r="AX42" s="133">
        <v>0</v>
      </c>
      <c r="AY42" s="133"/>
      <c r="AZ42" s="133">
        <v>1380</v>
      </c>
      <c r="BA42" s="134">
        <v>1312.7809999999999</v>
      </c>
      <c r="BB42" s="134"/>
      <c r="BC42" s="134"/>
      <c r="BD42" s="134">
        <v>1312.7809999999999</v>
      </c>
      <c r="BE42" s="134">
        <v>0</v>
      </c>
      <c r="BF42" s="134"/>
      <c r="BG42" s="134"/>
      <c r="BH42" s="134"/>
      <c r="BI42" s="134">
        <v>1312.7809999999999</v>
      </c>
      <c r="BJ42" s="134">
        <v>20.7</v>
      </c>
      <c r="BK42" s="134"/>
      <c r="BL42" s="134"/>
      <c r="BM42" s="134">
        <v>20.7</v>
      </c>
      <c r="BN42" s="134">
        <v>20.7</v>
      </c>
      <c r="BO42" s="134"/>
      <c r="BP42" s="134"/>
      <c r="BQ42" s="134">
        <v>20.7</v>
      </c>
      <c r="BR42" s="133"/>
      <c r="BS42" s="133"/>
      <c r="BT42" s="133"/>
      <c r="BU42" s="134"/>
      <c r="BV42" s="134"/>
      <c r="BW42" s="134"/>
      <c r="BX42" s="134"/>
    </row>
    <row r="43" spans="1:76" ht="46.15" outlineLevel="1">
      <c r="A43" s="434">
        <v>18</v>
      </c>
      <c r="B43" s="611" t="s">
        <v>1989</v>
      </c>
      <c r="C43" s="434" t="s">
        <v>1990</v>
      </c>
      <c r="D43" s="434" t="s">
        <v>1913</v>
      </c>
      <c r="E43" s="434" t="s">
        <v>49</v>
      </c>
      <c r="F43" s="434" t="s">
        <v>1909</v>
      </c>
      <c r="G43" s="434"/>
      <c r="H43" s="434"/>
      <c r="I43" s="420">
        <v>2021</v>
      </c>
      <c r="J43" s="420">
        <v>2021</v>
      </c>
      <c r="K43" s="434" t="s">
        <v>1991</v>
      </c>
      <c r="L43" s="434" t="s">
        <v>1992</v>
      </c>
      <c r="M43" s="133">
        <v>1050</v>
      </c>
      <c r="N43" s="133"/>
      <c r="O43" s="133"/>
      <c r="P43" s="133">
        <v>1050</v>
      </c>
      <c r="Q43" s="133"/>
      <c r="R43" s="133" t="s">
        <v>1909</v>
      </c>
      <c r="S43" s="133" t="s">
        <v>1909</v>
      </c>
      <c r="T43" s="133" t="s">
        <v>1913</v>
      </c>
      <c r="U43" s="133"/>
      <c r="V43" s="133"/>
      <c r="W43" s="133"/>
      <c r="X43" s="133"/>
      <c r="Y43" s="133">
        <f t="shared" si="5"/>
        <v>1050</v>
      </c>
      <c r="Z43" s="133"/>
      <c r="AA43" s="133"/>
      <c r="AB43" s="133">
        <f t="shared" si="6"/>
        <v>1050</v>
      </c>
      <c r="AC43" s="133">
        <v>0</v>
      </c>
      <c r="AD43" s="133"/>
      <c r="AE43" s="133">
        <v>1050</v>
      </c>
      <c r="AF43" s="133">
        <f t="shared" si="7"/>
        <v>1050</v>
      </c>
      <c r="AG43" s="133"/>
      <c r="AH43" s="133"/>
      <c r="AI43" s="133">
        <f t="shared" si="8"/>
        <v>1050</v>
      </c>
      <c r="AJ43" s="133">
        <v>0</v>
      </c>
      <c r="AK43" s="133">
        <v>0</v>
      </c>
      <c r="AL43" s="133">
        <v>1050</v>
      </c>
      <c r="AM43" s="133">
        <v>1040.99</v>
      </c>
      <c r="AN43" s="133"/>
      <c r="AO43" s="133"/>
      <c r="AP43" s="133">
        <v>1040.99</v>
      </c>
      <c r="AQ43" s="133">
        <v>0</v>
      </c>
      <c r="AR43" s="133">
        <v>0</v>
      </c>
      <c r="AS43" s="133">
        <v>1040.99</v>
      </c>
      <c r="AT43" s="133">
        <f t="shared" si="9"/>
        <v>0</v>
      </c>
      <c r="AU43" s="133"/>
      <c r="AV43" s="133"/>
      <c r="AW43" s="133">
        <f t="shared" si="10"/>
        <v>0</v>
      </c>
      <c r="AX43" s="133">
        <v>0</v>
      </c>
      <c r="AY43" s="133"/>
      <c r="AZ43" s="133"/>
      <c r="BA43" s="134">
        <v>0</v>
      </c>
      <c r="BB43" s="134"/>
      <c r="BC43" s="134"/>
      <c r="BD43" s="134">
        <v>0</v>
      </c>
      <c r="BE43" s="134">
        <v>0</v>
      </c>
      <c r="BF43" s="134"/>
      <c r="BG43" s="134"/>
      <c r="BH43" s="134"/>
      <c r="BI43" s="134"/>
      <c r="BJ43" s="134">
        <v>0</v>
      </c>
      <c r="BK43" s="134"/>
      <c r="BL43" s="134"/>
      <c r="BM43" s="134"/>
      <c r="BN43" s="134">
        <v>0</v>
      </c>
      <c r="BO43" s="134"/>
      <c r="BP43" s="134"/>
      <c r="BQ43" s="134"/>
      <c r="BR43" s="133"/>
      <c r="BS43" s="133"/>
      <c r="BT43" s="133"/>
      <c r="BU43" s="134"/>
      <c r="BV43" s="134"/>
      <c r="BW43" s="134"/>
      <c r="BX43" s="134"/>
    </row>
    <row r="44" spans="1:76" ht="46.15" outlineLevel="1">
      <c r="A44" s="434">
        <v>19</v>
      </c>
      <c r="B44" s="611" t="s">
        <v>1993</v>
      </c>
      <c r="C44" s="434" t="s">
        <v>1912</v>
      </c>
      <c r="D44" s="434" t="s">
        <v>1913</v>
      </c>
      <c r="E44" s="434" t="s">
        <v>49</v>
      </c>
      <c r="F44" s="434" t="s">
        <v>1931</v>
      </c>
      <c r="G44" s="434"/>
      <c r="H44" s="434"/>
      <c r="I44" s="420">
        <v>2024</v>
      </c>
      <c r="J44" s="420">
        <v>2024</v>
      </c>
      <c r="K44" s="434" t="s">
        <v>1994</v>
      </c>
      <c r="L44" s="434" t="s">
        <v>1995</v>
      </c>
      <c r="M44" s="133">
        <v>860</v>
      </c>
      <c r="N44" s="133"/>
      <c r="O44" s="133"/>
      <c r="P44" s="133">
        <v>860</v>
      </c>
      <c r="Q44" s="133"/>
      <c r="R44" s="133" t="s">
        <v>1931</v>
      </c>
      <c r="S44" s="133" t="s">
        <v>1909</v>
      </c>
      <c r="T44" s="133" t="s">
        <v>1913</v>
      </c>
      <c r="U44" s="133"/>
      <c r="V44" s="133"/>
      <c r="W44" s="133"/>
      <c r="X44" s="133"/>
      <c r="Y44" s="133">
        <f t="shared" si="5"/>
        <v>839.31399999999996</v>
      </c>
      <c r="Z44" s="133"/>
      <c r="AA44" s="133"/>
      <c r="AB44" s="133">
        <f t="shared" si="6"/>
        <v>839.31399999999996</v>
      </c>
      <c r="AC44" s="133">
        <v>0</v>
      </c>
      <c r="AD44" s="133"/>
      <c r="AE44" s="133">
        <v>839.31399999999996</v>
      </c>
      <c r="AF44" s="133">
        <f t="shared" si="7"/>
        <v>839.31399999999996</v>
      </c>
      <c r="AG44" s="133"/>
      <c r="AH44" s="133"/>
      <c r="AI44" s="133">
        <f t="shared" si="8"/>
        <v>839.31399999999996</v>
      </c>
      <c r="AJ44" s="133">
        <v>0</v>
      </c>
      <c r="AK44" s="133">
        <v>0</v>
      </c>
      <c r="AL44" s="133">
        <v>839.31399999999996</v>
      </c>
      <c r="AM44" s="133">
        <v>839.31399999999996</v>
      </c>
      <c r="AN44" s="133"/>
      <c r="AO44" s="133"/>
      <c r="AP44" s="133">
        <v>839.31399999999996</v>
      </c>
      <c r="AQ44" s="133">
        <v>0</v>
      </c>
      <c r="AR44" s="133">
        <v>0</v>
      </c>
      <c r="AS44" s="133">
        <v>839.31399999999996</v>
      </c>
      <c r="AT44" s="133">
        <f t="shared" si="9"/>
        <v>0</v>
      </c>
      <c r="AU44" s="133"/>
      <c r="AV44" s="133"/>
      <c r="AW44" s="133">
        <f t="shared" si="10"/>
        <v>0</v>
      </c>
      <c r="AX44" s="133">
        <v>0</v>
      </c>
      <c r="AY44" s="133"/>
      <c r="AZ44" s="133"/>
      <c r="BA44" s="134">
        <v>0</v>
      </c>
      <c r="BB44" s="134"/>
      <c r="BC44" s="134"/>
      <c r="BD44" s="134">
        <v>0</v>
      </c>
      <c r="BE44" s="134">
        <v>0</v>
      </c>
      <c r="BF44" s="134"/>
      <c r="BG44" s="134"/>
      <c r="BH44" s="134"/>
      <c r="BI44" s="134"/>
      <c r="BJ44" s="134">
        <v>0</v>
      </c>
      <c r="BK44" s="134"/>
      <c r="BL44" s="134"/>
      <c r="BM44" s="134"/>
      <c r="BN44" s="134">
        <v>0</v>
      </c>
      <c r="BO44" s="134"/>
      <c r="BP44" s="134"/>
      <c r="BQ44" s="134"/>
      <c r="BR44" s="133"/>
      <c r="BS44" s="133"/>
      <c r="BT44" s="133"/>
      <c r="BU44" s="134"/>
      <c r="BV44" s="134"/>
      <c r="BW44" s="134"/>
      <c r="BX44" s="134"/>
    </row>
    <row r="45" spans="1:76" ht="40.5" customHeight="1">
      <c r="A45" s="454" t="s">
        <v>13</v>
      </c>
      <c r="B45" s="454" t="s">
        <v>1996</v>
      </c>
      <c r="C45" s="454"/>
      <c r="D45" s="454"/>
      <c r="E45" s="454"/>
      <c r="F45" s="454"/>
      <c r="G45" s="454"/>
      <c r="H45" s="454"/>
      <c r="I45" s="418"/>
      <c r="J45" s="418"/>
      <c r="K45" s="454"/>
      <c r="L45" s="454"/>
      <c r="M45" s="207">
        <f>M46</f>
        <v>34266.873999999996</v>
      </c>
      <c r="N45" s="207">
        <f t="shared" ref="N45:BX45" si="12">N46</f>
        <v>0</v>
      </c>
      <c r="O45" s="207">
        <f t="shared" si="12"/>
        <v>0</v>
      </c>
      <c r="P45" s="207">
        <f t="shared" si="12"/>
        <v>34266.873999999996</v>
      </c>
      <c r="Q45" s="207">
        <f t="shared" si="12"/>
        <v>0</v>
      </c>
      <c r="R45" s="207">
        <f t="shared" si="12"/>
        <v>0</v>
      </c>
      <c r="S45" s="207">
        <f t="shared" si="12"/>
        <v>0</v>
      </c>
      <c r="T45" s="207">
        <f t="shared" si="12"/>
        <v>0</v>
      </c>
      <c r="U45" s="207">
        <f t="shared" si="12"/>
        <v>0</v>
      </c>
      <c r="V45" s="207">
        <f t="shared" si="12"/>
        <v>0</v>
      </c>
      <c r="W45" s="207">
        <f t="shared" si="12"/>
        <v>0</v>
      </c>
      <c r="X45" s="207">
        <f t="shared" si="12"/>
        <v>0</v>
      </c>
      <c r="Y45" s="207">
        <f t="shared" si="12"/>
        <v>33253.080999999998</v>
      </c>
      <c r="Z45" s="207">
        <f t="shared" si="12"/>
        <v>0</v>
      </c>
      <c r="AA45" s="207">
        <f t="shared" si="12"/>
        <v>0</v>
      </c>
      <c r="AB45" s="207">
        <f t="shared" si="12"/>
        <v>33253.080999999998</v>
      </c>
      <c r="AC45" s="207">
        <f t="shared" si="12"/>
        <v>8708.8739999999998</v>
      </c>
      <c r="AD45" s="207">
        <f t="shared" si="12"/>
        <v>0</v>
      </c>
      <c r="AE45" s="207">
        <f t="shared" si="12"/>
        <v>24544.207000000002</v>
      </c>
      <c r="AF45" s="207">
        <f t="shared" si="12"/>
        <v>25393.080999999998</v>
      </c>
      <c r="AG45" s="207">
        <f t="shared" si="12"/>
        <v>0</v>
      </c>
      <c r="AH45" s="207">
        <f t="shared" si="12"/>
        <v>0</v>
      </c>
      <c r="AI45" s="207">
        <f t="shared" si="12"/>
        <v>25393.080999999998</v>
      </c>
      <c r="AJ45" s="207">
        <f t="shared" si="12"/>
        <v>8708.8739999999998</v>
      </c>
      <c r="AK45" s="207">
        <f t="shared" si="12"/>
        <v>0</v>
      </c>
      <c r="AL45" s="207">
        <f t="shared" si="12"/>
        <v>16684.207000000002</v>
      </c>
      <c r="AM45" s="207">
        <f t="shared" si="12"/>
        <v>23673.982090000005</v>
      </c>
      <c r="AN45" s="207">
        <f t="shared" si="12"/>
        <v>0</v>
      </c>
      <c r="AO45" s="207">
        <f t="shared" si="12"/>
        <v>0</v>
      </c>
      <c r="AP45" s="207">
        <f t="shared" si="12"/>
        <v>23673.982090000005</v>
      </c>
      <c r="AQ45" s="207">
        <f t="shared" si="12"/>
        <v>8521.6481900000017</v>
      </c>
      <c r="AR45" s="207">
        <f t="shared" si="12"/>
        <v>0</v>
      </c>
      <c r="AS45" s="207">
        <f t="shared" si="12"/>
        <v>15152.333900000001</v>
      </c>
      <c r="AT45" s="207">
        <f t="shared" si="12"/>
        <v>7860</v>
      </c>
      <c r="AU45" s="207">
        <f t="shared" si="12"/>
        <v>0</v>
      </c>
      <c r="AV45" s="207">
        <f t="shared" si="12"/>
        <v>0</v>
      </c>
      <c r="AW45" s="207">
        <f t="shared" si="12"/>
        <v>7860</v>
      </c>
      <c r="AX45" s="207">
        <f t="shared" si="12"/>
        <v>0</v>
      </c>
      <c r="AY45" s="207">
        <f t="shared" si="12"/>
        <v>0</v>
      </c>
      <c r="AZ45" s="207">
        <f t="shared" si="12"/>
        <v>7860</v>
      </c>
      <c r="BA45" s="207">
        <f t="shared" si="12"/>
        <v>7440.753999999999</v>
      </c>
      <c r="BB45" s="207">
        <f t="shared" si="12"/>
        <v>0</v>
      </c>
      <c r="BC45" s="207">
        <f t="shared" si="12"/>
        <v>0</v>
      </c>
      <c r="BD45" s="207">
        <f t="shared" si="12"/>
        <v>7440.753999999999</v>
      </c>
      <c r="BE45" s="207">
        <f t="shared" si="12"/>
        <v>0</v>
      </c>
      <c r="BF45" s="207">
        <f t="shared" si="12"/>
        <v>0</v>
      </c>
      <c r="BG45" s="207">
        <f t="shared" si="12"/>
        <v>0</v>
      </c>
      <c r="BH45" s="207">
        <f t="shared" si="12"/>
        <v>0</v>
      </c>
      <c r="BI45" s="207">
        <f t="shared" si="12"/>
        <v>7440.753999999999</v>
      </c>
      <c r="BJ45" s="207">
        <f t="shared" si="12"/>
        <v>874.19700000000012</v>
      </c>
      <c r="BK45" s="207">
        <f t="shared" si="12"/>
        <v>0</v>
      </c>
      <c r="BL45" s="207">
        <f t="shared" si="12"/>
        <v>0</v>
      </c>
      <c r="BM45" s="207">
        <f t="shared" si="12"/>
        <v>874.19700000000012</v>
      </c>
      <c r="BN45" s="207">
        <f t="shared" si="12"/>
        <v>822.63100000000009</v>
      </c>
      <c r="BO45" s="207">
        <f t="shared" si="12"/>
        <v>0</v>
      </c>
      <c r="BP45" s="207">
        <f t="shared" si="12"/>
        <v>0</v>
      </c>
      <c r="BQ45" s="207">
        <f t="shared" si="12"/>
        <v>822.63100000000009</v>
      </c>
      <c r="BR45" s="207">
        <f t="shared" si="12"/>
        <v>0</v>
      </c>
      <c r="BS45" s="207">
        <f t="shared" si="12"/>
        <v>0</v>
      </c>
      <c r="BT45" s="207">
        <f t="shared" si="12"/>
        <v>0</v>
      </c>
      <c r="BU45" s="207">
        <f t="shared" si="12"/>
        <v>0</v>
      </c>
      <c r="BV45" s="207">
        <f t="shared" si="12"/>
        <v>0</v>
      </c>
      <c r="BW45" s="207">
        <f t="shared" si="12"/>
        <v>55.436999999999998</v>
      </c>
      <c r="BX45" s="207">
        <f t="shared" si="12"/>
        <v>0</v>
      </c>
    </row>
    <row r="46" spans="1:76" ht="36" customHeight="1" outlineLevel="1">
      <c r="A46" s="553" t="s">
        <v>45</v>
      </c>
      <c r="B46" s="612" t="s">
        <v>51</v>
      </c>
      <c r="C46" s="454"/>
      <c r="D46" s="454"/>
      <c r="E46" s="454"/>
      <c r="F46" s="454"/>
      <c r="G46" s="454"/>
      <c r="H46" s="454"/>
      <c r="I46" s="418"/>
      <c r="J46" s="418"/>
      <c r="K46" s="454"/>
      <c r="L46" s="454"/>
      <c r="M46" s="207">
        <f t="shared" ref="M46:BX46" si="13">SUM(M47:M62)</f>
        <v>34266.873999999996</v>
      </c>
      <c r="N46" s="207">
        <f t="shared" si="13"/>
        <v>0</v>
      </c>
      <c r="O46" s="207">
        <f t="shared" si="13"/>
        <v>0</v>
      </c>
      <c r="P46" s="207">
        <f t="shared" si="13"/>
        <v>34266.873999999996</v>
      </c>
      <c r="Q46" s="207">
        <f t="shared" si="13"/>
        <v>0</v>
      </c>
      <c r="R46" s="207">
        <f t="shared" si="13"/>
        <v>0</v>
      </c>
      <c r="S46" s="207">
        <f t="shared" si="13"/>
        <v>0</v>
      </c>
      <c r="T46" s="207">
        <f t="shared" si="13"/>
        <v>0</v>
      </c>
      <c r="U46" s="207">
        <f t="shared" si="13"/>
        <v>0</v>
      </c>
      <c r="V46" s="207">
        <f t="shared" si="13"/>
        <v>0</v>
      </c>
      <c r="W46" s="207">
        <f t="shared" si="13"/>
        <v>0</v>
      </c>
      <c r="X46" s="207">
        <f t="shared" si="13"/>
        <v>0</v>
      </c>
      <c r="Y46" s="207">
        <f t="shared" si="13"/>
        <v>33253.080999999998</v>
      </c>
      <c r="Z46" s="207">
        <f t="shared" si="13"/>
        <v>0</v>
      </c>
      <c r="AA46" s="207">
        <f t="shared" si="13"/>
        <v>0</v>
      </c>
      <c r="AB46" s="207">
        <f t="shared" si="13"/>
        <v>33253.080999999998</v>
      </c>
      <c r="AC46" s="207">
        <f t="shared" si="13"/>
        <v>8708.8739999999998</v>
      </c>
      <c r="AD46" s="207">
        <f t="shared" si="13"/>
        <v>0</v>
      </c>
      <c r="AE46" s="207">
        <f t="shared" si="13"/>
        <v>24544.207000000002</v>
      </c>
      <c r="AF46" s="207">
        <f t="shared" si="13"/>
        <v>25393.080999999998</v>
      </c>
      <c r="AG46" s="207">
        <f t="shared" si="13"/>
        <v>0</v>
      </c>
      <c r="AH46" s="207">
        <f t="shared" si="13"/>
        <v>0</v>
      </c>
      <c r="AI46" s="207">
        <f t="shared" si="13"/>
        <v>25393.080999999998</v>
      </c>
      <c r="AJ46" s="207">
        <f t="shared" si="13"/>
        <v>8708.8739999999998</v>
      </c>
      <c r="AK46" s="207">
        <f t="shared" si="13"/>
        <v>0</v>
      </c>
      <c r="AL46" s="207">
        <f t="shared" si="13"/>
        <v>16684.207000000002</v>
      </c>
      <c r="AM46" s="207">
        <f t="shared" si="13"/>
        <v>23673.982090000005</v>
      </c>
      <c r="AN46" s="207">
        <f t="shared" si="13"/>
        <v>0</v>
      </c>
      <c r="AO46" s="207">
        <f t="shared" si="13"/>
        <v>0</v>
      </c>
      <c r="AP46" s="207">
        <f t="shared" si="13"/>
        <v>23673.982090000005</v>
      </c>
      <c r="AQ46" s="207">
        <f t="shared" si="13"/>
        <v>8521.6481900000017</v>
      </c>
      <c r="AR46" s="207">
        <f t="shared" si="13"/>
        <v>0</v>
      </c>
      <c r="AS46" s="207">
        <f t="shared" si="13"/>
        <v>15152.333900000001</v>
      </c>
      <c r="AT46" s="207">
        <f t="shared" si="13"/>
        <v>7860</v>
      </c>
      <c r="AU46" s="207">
        <f t="shared" si="13"/>
        <v>0</v>
      </c>
      <c r="AV46" s="207">
        <f t="shared" si="13"/>
        <v>0</v>
      </c>
      <c r="AW46" s="207">
        <f t="shared" si="13"/>
        <v>7860</v>
      </c>
      <c r="AX46" s="207">
        <f t="shared" si="13"/>
        <v>0</v>
      </c>
      <c r="AY46" s="207">
        <f t="shared" si="13"/>
        <v>0</v>
      </c>
      <c r="AZ46" s="207">
        <f t="shared" si="13"/>
        <v>7860</v>
      </c>
      <c r="BA46" s="207">
        <f t="shared" si="13"/>
        <v>7440.753999999999</v>
      </c>
      <c r="BB46" s="207">
        <f t="shared" si="13"/>
        <v>0</v>
      </c>
      <c r="BC46" s="207">
        <f t="shared" si="13"/>
        <v>0</v>
      </c>
      <c r="BD46" s="207">
        <f t="shared" si="13"/>
        <v>7440.753999999999</v>
      </c>
      <c r="BE46" s="207">
        <f t="shared" si="13"/>
        <v>0</v>
      </c>
      <c r="BF46" s="207">
        <f t="shared" si="13"/>
        <v>0</v>
      </c>
      <c r="BG46" s="207">
        <f t="shared" si="13"/>
        <v>0</v>
      </c>
      <c r="BH46" s="207">
        <f t="shared" si="13"/>
        <v>0</v>
      </c>
      <c r="BI46" s="207">
        <f t="shared" si="13"/>
        <v>7440.753999999999</v>
      </c>
      <c r="BJ46" s="207">
        <f t="shared" si="13"/>
        <v>874.19700000000012</v>
      </c>
      <c r="BK46" s="207">
        <f t="shared" si="13"/>
        <v>0</v>
      </c>
      <c r="BL46" s="207">
        <f t="shared" si="13"/>
        <v>0</v>
      </c>
      <c r="BM46" s="207">
        <f t="shared" si="13"/>
        <v>874.19700000000012</v>
      </c>
      <c r="BN46" s="207">
        <f t="shared" si="13"/>
        <v>822.63100000000009</v>
      </c>
      <c r="BO46" s="207">
        <f t="shared" si="13"/>
        <v>0</v>
      </c>
      <c r="BP46" s="207">
        <f t="shared" si="13"/>
        <v>0</v>
      </c>
      <c r="BQ46" s="207">
        <f t="shared" si="13"/>
        <v>822.63100000000009</v>
      </c>
      <c r="BR46" s="207">
        <f t="shared" si="13"/>
        <v>0</v>
      </c>
      <c r="BS46" s="207">
        <f t="shared" si="13"/>
        <v>0</v>
      </c>
      <c r="BT46" s="207">
        <f t="shared" si="13"/>
        <v>0</v>
      </c>
      <c r="BU46" s="207">
        <f t="shared" si="13"/>
        <v>0</v>
      </c>
      <c r="BV46" s="207">
        <f t="shared" si="13"/>
        <v>0</v>
      </c>
      <c r="BW46" s="207">
        <f t="shared" si="13"/>
        <v>55.436999999999998</v>
      </c>
      <c r="BX46" s="207">
        <f t="shared" si="13"/>
        <v>0</v>
      </c>
    </row>
    <row r="47" spans="1:76" ht="46.15" outlineLevel="1">
      <c r="A47" s="434">
        <v>1</v>
      </c>
      <c r="B47" s="611" t="s">
        <v>1997</v>
      </c>
      <c r="C47" s="434" t="s">
        <v>1912</v>
      </c>
      <c r="D47" s="434" t="s">
        <v>1998</v>
      </c>
      <c r="E47" s="434" t="s">
        <v>49</v>
      </c>
      <c r="F47" s="434" t="s">
        <v>1999</v>
      </c>
      <c r="G47" s="434"/>
      <c r="H47" s="434"/>
      <c r="I47" s="420" t="s">
        <v>76</v>
      </c>
      <c r="J47" s="420">
        <v>2022</v>
      </c>
      <c r="K47" s="434" t="s">
        <v>2000</v>
      </c>
      <c r="L47" s="434" t="s">
        <v>2001</v>
      </c>
      <c r="M47" s="133">
        <v>4308.8739999999998</v>
      </c>
      <c r="N47" s="133"/>
      <c r="O47" s="133"/>
      <c r="P47" s="133">
        <v>4308.8739999999998</v>
      </c>
      <c r="Q47" s="133"/>
      <c r="R47" s="133" t="s">
        <v>1999</v>
      </c>
      <c r="S47" s="133" t="s">
        <v>1996</v>
      </c>
      <c r="T47" s="133" t="s">
        <v>1998</v>
      </c>
      <c r="U47" s="133"/>
      <c r="V47" s="133"/>
      <c r="W47" s="133"/>
      <c r="X47" s="133"/>
      <c r="Y47" s="133">
        <f t="shared" si="5"/>
        <v>4308.8739999999998</v>
      </c>
      <c r="Z47" s="133"/>
      <c r="AA47" s="133"/>
      <c r="AB47" s="133">
        <f t="shared" si="6"/>
        <v>4308.8739999999998</v>
      </c>
      <c r="AC47" s="133">
        <v>4308.8739999999998</v>
      </c>
      <c r="AD47" s="133"/>
      <c r="AE47" s="133"/>
      <c r="AF47" s="133">
        <f t="shared" si="7"/>
        <v>4308.8739999999998</v>
      </c>
      <c r="AG47" s="133"/>
      <c r="AH47" s="133"/>
      <c r="AI47" s="133">
        <f t="shared" si="8"/>
        <v>4308.8739999999998</v>
      </c>
      <c r="AJ47" s="133">
        <v>4308.8739999999998</v>
      </c>
      <c r="AK47" s="133">
        <v>0</v>
      </c>
      <c r="AL47" s="133">
        <v>0</v>
      </c>
      <c r="AM47" s="133">
        <v>4308.8739999999998</v>
      </c>
      <c r="AN47" s="133"/>
      <c r="AO47" s="133"/>
      <c r="AP47" s="133">
        <v>4308.8739999999998</v>
      </c>
      <c r="AQ47" s="133">
        <v>4308.8739999999998</v>
      </c>
      <c r="AR47" s="133">
        <v>0</v>
      </c>
      <c r="AS47" s="133">
        <v>0</v>
      </c>
      <c r="AT47" s="133">
        <f t="shared" si="9"/>
        <v>0</v>
      </c>
      <c r="AU47" s="133"/>
      <c r="AV47" s="133"/>
      <c r="AW47" s="133">
        <f t="shared" si="10"/>
        <v>0</v>
      </c>
      <c r="AX47" s="133">
        <v>0</v>
      </c>
      <c r="AY47" s="133"/>
      <c r="AZ47" s="133"/>
      <c r="BA47" s="134">
        <v>0</v>
      </c>
      <c r="BB47" s="134"/>
      <c r="BC47" s="134"/>
      <c r="BD47" s="134">
        <v>0</v>
      </c>
      <c r="BE47" s="134">
        <v>0</v>
      </c>
      <c r="BF47" s="134"/>
      <c r="BG47" s="134"/>
      <c r="BH47" s="134"/>
      <c r="BI47" s="134"/>
      <c r="BJ47" s="134">
        <v>0</v>
      </c>
      <c r="BK47" s="134"/>
      <c r="BL47" s="134"/>
      <c r="BM47" s="134"/>
      <c r="BN47" s="134">
        <v>0</v>
      </c>
      <c r="BO47" s="134"/>
      <c r="BP47" s="134"/>
      <c r="BQ47" s="134"/>
      <c r="BR47" s="133"/>
      <c r="BS47" s="133"/>
      <c r="BT47" s="133"/>
      <c r="BU47" s="134"/>
      <c r="BV47" s="134"/>
      <c r="BW47" s="134"/>
      <c r="BX47" s="134"/>
    </row>
    <row r="48" spans="1:76" ht="46.15" outlineLevel="1">
      <c r="A48" s="434">
        <v>2</v>
      </c>
      <c r="B48" s="611" t="s">
        <v>2002</v>
      </c>
      <c r="C48" s="434" t="s">
        <v>1912</v>
      </c>
      <c r="D48" s="434" t="s">
        <v>1998</v>
      </c>
      <c r="E48" s="434" t="s">
        <v>49</v>
      </c>
      <c r="F48" s="434" t="s">
        <v>2003</v>
      </c>
      <c r="G48" s="434"/>
      <c r="H48" s="434"/>
      <c r="I48" s="420" t="s">
        <v>73</v>
      </c>
      <c r="J48" s="420">
        <v>2021</v>
      </c>
      <c r="K48" s="434" t="s">
        <v>2004</v>
      </c>
      <c r="L48" s="434" t="s">
        <v>2005</v>
      </c>
      <c r="M48" s="133">
        <v>600</v>
      </c>
      <c r="N48" s="133"/>
      <c r="O48" s="133"/>
      <c r="P48" s="133">
        <v>600</v>
      </c>
      <c r="Q48" s="133"/>
      <c r="R48" s="133" t="s">
        <v>2003</v>
      </c>
      <c r="S48" s="133" t="s">
        <v>1996</v>
      </c>
      <c r="T48" s="133" t="s">
        <v>1998</v>
      </c>
      <c r="U48" s="133"/>
      <c r="V48" s="133"/>
      <c r="W48" s="133"/>
      <c r="X48" s="133"/>
      <c r="Y48" s="133">
        <f t="shared" si="5"/>
        <v>600</v>
      </c>
      <c r="Z48" s="133"/>
      <c r="AA48" s="133"/>
      <c r="AB48" s="133">
        <f t="shared" si="6"/>
        <v>600</v>
      </c>
      <c r="AC48" s="133">
        <v>600</v>
      </c>
      <c r="AD48" s="133"/>
      <c r="AE48" s="133"/>
      <c r="AF48" s="133">
        <f t="shared" si="7"/>
        <v>600</v>
      </c>
      <c r="AG48" s="133"/>
      <c r="AH48" s="133"/>
      <c r="AI48" s="133">
        <f t="shared" si="8"/>
        <v>600</v>
      </c>
      <c r="AJ48" s="133">
        <v>600</v>
      </c>
      <c r="AK48" s="133">
        <v>0</v>
      </c>
      <c r="AL48" s="133">
        <v>0</v>
      </c>
      <c r="AM48" s="133">
        <v>599.94299999999998</v>
      </c>
      <c r="AN48" s="133"/>
      <c r="AO48" s="133"/>
      <c r="AP48" s="133">
        <v>599.94299999999998</v>
      </c>
      <c r="AQ48" s="133">
        <v>599.94299999999998</v>
      </c>
      <c r="AR48" s="133">
        <v>0</v>
      </c>
      <c r="AS48" s="133">
        <v>0</v>
      </c>
      <c r="AT48" s="133">
        <f t="shared" si="9"/>
        <v>0</v>
      </c>
      <c r="AU48" s="133"/>
      <c r="AV48" s="133"/>
      <c r="AW48" s="133">
        <f t="shared" si="10"/>
        <v>0</v>
      </c>
      <c r="AX48" s="133">
        <v>0</v>
      </c>
      <c r="AY48" s="133"/>
      <c r="AZ48" s="133"/>
      <c r="BA48" s="134">
        <v>0</v>
      </c>
      <c r="BB48" s="134"/>
      <c r="BC48" s="134"/>
      <c r="BD48" s="134">
        <v>0</v>
      </c>
      <c r="BE48" s="134">
        <v>0</v>
      </c>
      <c r="BF48" s="134"/>
      <c r="BG48" s="134"/>
      <c r="BH48" s="134"/>
      <c r="BI48" s="134"/>
      <c r="BJ48" s="134">
        <v>0</v>
      </c>
      <c r="BK48" s="134"/>
      <c r="BL48" s="134"/>
      <c r="BM48" s="134"/>
      <c r="BN48" s="134">
        <v>0</v>
      </c>
      <c r="BO48" s="134"/>
      <c r="BP48" s="134"/>
      <c r="BQ48" s="134"/>
      <c r="BR48" s="133"/>
      <c r="BS48" s="133"/>
      <c r="BT48" s="133"/>
      <c r="BU48" s="134"/>
      <c r="BV48" s="134"/>
      <c r="BW48" s="134"/>
      <c r="BX48" s="134"/>
    </row>
    <row r="49" spans="1:76" ht="46.15" outlineLevel="1">
      <c r="A49" s="434">
        <v>3</v>
      </c>
      <c r="B49" s="611" t="s">
        <v>2006</v>
      </c>
      <c r="C49" s="434" t="s">
        <v>1912</v>
      </c>
      <c r="D49" s="434" t="s">
        <v>1998</v>
      </c>
      <c r="E49" s="434" t="s">
        <v>49</v>
      </c>
      <c r="F49" s="434" t="s">
        <v>2003</v>
      </c>
      <c r="G49" s="434"/>
      <c r="H49" s="434"/>
      <c r="I49" s="420">
        <v>2023</v>
      </c>
      <c r="J49" s="420">
        <v>2023</v>
      </c>
      <c r="K49" s="434" t="s">
        <v>2007</v>
      </c>
      <c r="L49" s="434" t="s">
        <v>2008</v>
      </c>
      <c r="M49" s="133">
        <v>400</v>
      </c>
      <c r="N49" s="133"/>
      <c r="O49" s="133"/>
      <c r="P49" s="133">
        <v>400</v>
      </c>
      <c r="Q49" s="133"/>
      <c r="R49" s="133" t="s">
        <v>2003</v>
      </c>
      <c r="S49" s="133" t="s">
        <v>1996</v>
      </c>
      <c r="T49" s="133" t="s">
        <v>1998</v>
      </c>
      <c r="U49" s="133"/>
      <c r="V49" s="133"/>
      <c r="W49" s="133"/>
      <c r="X49" s="133"/>
      <c r="Y49" s="133">
        <f t="shared" si="5"/>
        <v>400</v>
      </c>
      <c r="Z49" s="133"/>
      <c r="AA49" s="133"/>
      <c r="AB49" s="133">
        <f t="shared" si="6"/>
        <v>400</v>
      </c>
      <c r="AC49" s="133">
        <v>400</v>
      </c>
      <c r="AD49" s="133"/>
      <c r="AE49" s="133"/>
      <c r="AF49" s="133">
        <f t="shared" si="7"/>
        <v>400</v>
      </c>
      <c r="AG49" s="133"/>
      <c r="AH49" s="133"/>
      <c r="AI49" s="133">
        <f t="shared" si="8"/>
        <v>400</v>
      </c>
      <c r="AJ49" s="133">
        <v>400</v>
      </c>
      <c r="AK49" s="133">
        <v>0</v>
      </c>
      <c r="AL49" s="133">
        <v>0</v>
      </c>
      <c r="AM49" s="133">
        <v>385.37700000000001</v>
      </c>
      <c r="AN49" s="133"/>
      <c r="AO49" s="133"/>
      <c r="AP49" s="133">
        <v>385.37700000000001</v>
      </c>
      <c r="AQ49" s="133">
        <v>385.37700000000001</v>
      </c>
      <c r="AR49" s="133">
        <v>0</v>
      </c>
      <c r="AS49" s="133">
        <v>0</v>
      </c>
      <c r="AT49" s="133">
        <f t="shared" si="9"/>
        <v>0</v>
      </c>
      <c r="AU49" s="133"/>
      <c r="AV49" s="133"/>
      <c r="AW49" s="133">
        <f t="shared" si="10"/>
        <v>0</v>
      </c>
      <c r="AX49" s="133">
        <v>0</v>
      </c>
      <c r="AY49" s="133"/>
      <c r="AZ49" s="133"/>
      <c r="BA49" s="134">
        <v>0</v>
      </c>
      <c r="BB49" s="134"/>
      <c r="BC49" s="134"/>
      <c r="BD49" s="134">
        <v>0</v>
      </c>
      <c r="BE49" s="134">
        <v>0</v>
      </c>
      <c r="BF49" s="134"/>
      <c r="BG49" s="134"/>
      <c r="BH49" s="134"/>
      <c r="BI49" s="134"/>
      <c r="BJ49" s="134">
        <v>0</v>
      </c>
      <c r="BK49" s="134"/>
      <c r="BL49" s="134"/>
      <c r="BM49" s="134"/>
      <c r="BN49" s="134">
        <v>0</v>
      </c>
      <c r="BO49" s="134"/>
      <c r="BP49" s="134"/>
      <c r="BQ49" s="134"/>
      <c r="BR49" s="133"/>
      <c r="BS49" s="133"/>
      <c r="BT49" s="133"/>
      <c r="BU49" s="134"/>
      <c r="BV49" s="134"/>
      <c r="BW49" s="134"/>
      <c r="BX49" s="134"/>
    </row>
    <row r="50" spans="1:76" ht="46.15" outlineLevel="1">
      <c r="A50" s="434">
        <v>4</v>
      </c>
      <c r="B50" s="611" t="s">
        <v>2009</v>
      </c>
      <c r="C50" s="434" t="s">
        <v>1912</v>
      </c>
      <c r="D50" s="434" t="s">
        <v>1998</v>
      </c>
      <c r="E50" s="434" t="s">
        <v>49</v>
      </c>
      <c r="F50" s="434" t="s">
        <v>1996</v>
      </c>
      <c r="G50" s="434"/>
      <c r="H50" s="434"/>
      <c r="I50" s="420">
        <v>2021</v>
      </c>
      <c r="J50" s="420">
        <v>2021</v>
      </c>
      <c r="K50" s="434" t="s">
        <v>2010</v>
      </c>
      <c r="L50" s="434" t="s">
        <v>2011</v>
      </c>
      <c r="M50" s="133">
        <v>2500</v>
      </c>
      <c r="N50" s="133"/>
      <c r="O50" s="133"/>
      <c r="P50" s="133">
        <v>2500</v>
      </c>
      <c r="Q50" s="133"/>
      <c r="R50" s="133" t="s">
        <v>1996</v>
      </c>
      <c r="S50" s="133" t="s">
        <v>1996</v>
      </c>
      <c r="T50" s="133" t="s">
        <v>1998</v>
      </c>
      <c r="U50" s="133"/>
      <c r="V50" s="133"/>
      <c r="W50" s="133"/>
      <c r="X50" s="133"/>
      <c r="Y50" s="133">
        <f t="shared" si="5"/>
        <v>2500</v>
      </c>
      <c r="Z50" s="133"/>
      <c r="AA50" s="133"/>
      <c r="AB50" s="133">
        <f t="shared" si="6"/>
        <v>2500</v>
      </c>
      <c r="AC50" s="133">
        <v>2500</v>
      </c>
      <c r="AD50" s="133"/>
      <c r="AE50" s="133"/>
      <c r="AF50" s="133">
        <f t="shared" si="7"/>
        <v>2500</v>
      </c>
      <c r="AG50" s="133"/>
      <c r="AH50" s="133"/>
      <c r="AI50" s="133">
        <f t="shared" si="8"/>
        <v>2500</v>
      </c>
      <c r="AJ50" s="133">
        <v>2500</v>
      </c>
      <c r="AK50" s="133">
        <v>0</v>
      </c>
      <c r="AL50" s="133">
        <v>0</v>
      </c>
      <c r="AM50" s="133">
        <v>2336.989</v>
      </c>
      <c r="AN50" s="133"/>
      <c r="AO50" s="133"/>
      <c r="AP50" s="133">
        <v>2336.989</v>
      </c>
      <c r="AQ50" s="133">
        <v>2336.989</v>
      </c>
      <c r="AR50" s="133">
        <v>0</v>
      </c>
      <c r="AS50" s="133">
        <v>0</v>
      </c>
      <c r="AT50" s="133">
        <f t="shared" si="9"/>
        <v>0</v>
      </c>
      <c r="AU50" s="133"/>
      <c r="AV50" s="133"/>
      <c r="AW50" s="133">
        <f t="shared" si="10"/>
        <v>0</v>
      </c>
      <c r="AX50" s="133">
        <v>0</v>
      </c>
      <c r="AY50" s="133"/>
      <c r="AZ50" s="133"/>
      <c r="BA50" s="134">
        <v>0</v>
      </c>
      <c r="BB50" s="134"/>
      <c r="BC50" s="134"/>
      <c r="BD50" s="134">
        <v>0</v>
      </c>
      <c r="BE50" s="134">
        <v>0</v>
      </c>
      <c r="BF50" s="134"/>
      <c r="BG50" s="134"/>
      <c r="BH50" s="134"/>
      <c r="BI50" s="134"/>
      <c r="BJ50" s="134">
        <v>0</v>
      </c>
      <c r="BK50" s="134"/>
      <c r="BL50" s="134"/>
      <c r="BM50" s="134"/>
      <c r="BN50" s="134">
        <v>0</v>
      </c>
      <c r="BO50" s="134"/>
      <c r="BP50" s="134"/>
      <c r="BQ50" s="134"/>
      <c r="BR50" s="133"/>
      <c r="BS50" s="133"/>
      <c r="BT50" s="133"/>
      <c r="BU50" s="134"/>
      <c r="BV50" s="134"/>
      <c r="BW50" s="134"/>
      <c r="BX50" s="134"/>
    </row>
    <row r="51" spans="1:76" ht="46.15" outlineLevel="1">
      <c r="A51" s="434">
        <v>5</v>
      </c>
      <c r="B51" s="611" t="s">
        <v>2012</v>
      </c>
      <c r="C51" s="434" t="s">
        <v>2013</v>
      </c>
      <c r="D51" s="434" t="s">
        <v>1998</v>
      </c>
      <c r="E51" s="434" t="s">
        <v>49</v>
      </c>
      <c r="F51" s="434" t="s">
        <v>1999</v>
      </c>
      <c r="G51" s="434"/>
      <c r="H51" s="434"/>
      <c r="I51" s="420">
        <v>2024</v>
      </c>
      <c r="J51" s="420">
        <v>2024</v>
      </c>
      <c r="K51" s="434" t="s">
        <v>2014</v>
      </c>
      <c r="L51" s="434" t="s">
        <v>2015</v>
      </c>
      <c r="M51" s="133">
        <v>900</v>
      </c>
      <c r="N51" s="133"/>
      <c r="O51" s="133"/>
      <c r="P51" s="133">
        <v>900</v>
      </c>
      <c r="Q51" s="133"/>
      <c r="R51" s="133" t="s">
        <v>1999</v>
      </c>
      <c r="S51" s="133" t="s">
        <v>1996</v>
      </c>
      <c r="T51" s="133" t="s">
        <v>1998</v>
      </c>
      <c r="U51" s="133"/>
      <c r="V51" s="133"/>
      <c r="W51" s="133"/>
      <c r="X51" s="133"/>
      <c r="Y51" s="133">
        <f t="shared" si="5"/>
        <v>900</v>
      </c>
      <c r="Z51" s="133"/>
      <c r="AA51" s="133"/>
      <c r="AB51" s="133">
        <f t="shared" si="6"/>
        <v>900</v>
      </c>
      <c r="AC51" s="133">
        <v>900</v>
      </c>
      <c r="AD51" s="133"/>
      <c r="AE51" s="133"/>
      <c r="AF51" s="133">
        <f t="shared" si="7"/>
        <v>900</v>
      </c>
      <c r="AG51" s="133"/>
      <c r="AH51" s="133"/>
      <c r="AI51" s="133">
        <f t="shared" si="8"/>
        <v>900</v>
      </c>
      <c r="AJ51" s="133">
        <v>900</v>
      </c>
      <c r="AK51" s="133">
        <v>0</v>
      </c>
      <c r="AL51" s="133">
        <v>0</v>
      </c>
      <c r="AM51" s="133">
        <v>890.46519000000001</v>
      </c>
      <c r="AN51" s="133"/>
      <c r="AO51" s="133"/>
      <c r="AP51" s="133">
        <v>890.46519000000001</v>
      </c>
      <c r="AQ51" s="133">
        <v>890.46519000000001</v>
      </c>
      <c r="AR51" s="133">
        <v>0</v>
      </c>
      <c r="AS51" s="133">
        <v>0</v>
      </c>
      <c r="AT51" s="133">
        <f t="shared" si="9"/>
        <v>0</v>
      </c>
      <c r="AU51" s="133"/>
      <c r="AV51" s="133"/>
      <c r="AW51" s="133">
        <f t="shared" si="10"/>
        <v>0</v>
      </c>
      <c r="AX51" s="133">
        <v>0</v>
      </c>
      <c r="AY51" s="133"/>
      <c r="AZ51" s="133"/>
      <c r="BA51" s="134">
        <v>0</v>
      </c>
      <c r="BB51" s="134"/>
      <c r="BC51" s="134"/>
      <c r="BD51" s="134">
        <v>0</v>
      </c>
      <c r="BE51" s="134">
        <v>0</v>
      </c>
      <c r="BF51" s="134"/>
      <c r="BG51" s="134"/>
      <c r="BH51" s="134"/>
      <c r="BI51" s="134"/>
      <c r="BJ51" s="134">
        <v>0</v>
      </c>
      <c r="BK51" s="134"/>
      <c r="BL51" s="134"/>
      <c r="BM51" s="134"/>
      <c r="BN51" s="134">
        <v>0</v>
      </c>
      <c r="BO51" s="134"/>
      <c r="BP51" s="134"/>
      <c r="BQ51" s="134"/>
      <c r="BR51" s="133"/>
      <c r="BS51" s="133"/>
      <c r="BT51" s="133"/>
      <c r="BU51" s="134"/>
      <c r="BV51" s="134"/>
      <c r="BW51" s="134"/>
      <c r="BX51" s="134"/>
    </row>
    <row r="52" spans="1:76" ht="46.15" outlineLevel="1">
      <c r="A52" s="434">
        <v>6</v>
      </c>
      <c r="B52" s="611" t="s">
        <v>2016</v>
      </c>
      <c r="C52" s="434" t="s">
        <v>1912</v>
      </c>
      <c r="D52" s="434" t="s">
        <v>1998</v>
      </c>
      <c r="E52" s="434" t="s">
        <v>49</v>
      </c>
      <c r="F52" s="434" t="s">
        <v>1996</v>
      </c>
      <c r="G52" s="434"/>
      <c r="H52" s="434"/>
      <c r="I52" s="420">
        <v>2022</v>
      </c>
      <c r="J52" s="420">
        <v>2022</v>
      </c>
      <c r="K52" s="434" t="s">
        <v>2017</v>
      </c>
      <c r="L52" s="434" t="s">
        <v>2018</v>
      </c>
      <c r="M52" s="133">
        <v>500</v>
      </c>
      <c r="N52" s="133"/>
      <c r="O52" s="133"/>
      <c r="P52" s="133">
        <v>500</v>
      </c>
      <c r="Q52" s="133"/>
      <c r="R52" s="133" t="s">
        <v>1996</v>
      </c>
      <c r="S52" s="133" t="s">
        <v>1996</v>
      </c>
      <c r="T52" s="133" t="s">
        <v>1998</v>
      </c>
      <c r="U52" s="133"/>
      <c r="V52" s="133"/>
      <c r="W52" s="133"/>
      <c r="X52" s="133"/>
      <c r="Y52" s="133">
        <f t="shared" si="5"/>
        <v>500</v>
      </c>
      <c r="Z52" s="133"/>
      <c r="AA52" s="133"/>
      <c r="AB52" s="133">
        <f t="shared" si="6"/>
        <v>500</v>
      </c>
      <c r="AC52" s="133">
        <v>0</v>
      </c>
      <c r="AD52" s="133"/>
      <c r="AE52" s="133">
        <v>500</v>
      </c>
      <c r="AF52" s="133">
        <f t="shared" si="7"/>
        <v>500</v>
      </c>
      <c r="AG52" s="133"/>
      <c r="AH52" s="133"/>
      <c r="AI52" s="133">
        <f t="shared" si="8"/>
        <v>500</v>
      </c>
      <c r="AJ52" s="133">
        <v>0</v>
      </c>
      <c r="AK52" s="133">
        <v>0</v>
      </c>
      <c r="AL52" s="133">
        <v>500</v>
      </c>
      <c r="AM52" s="133">
        <v>490.52100000000002</v>
      </c>
      <c r="AN52" s="133"/>
      <c r="AO52" s="133"/>
      <c r="AP52" s="133">
        <v>490.52100000000002</v>
      </c>
      <c r="AQ52" s="133">
        <v>0</v>
      </c>
      <c r="AR52" s="133">
        <v>0</v>
      </c>
      <c r="AS52" s="133">
        <v>490.52100000000002</v>
      </c>
      <c r="AT52" s="133">
        <f t="shared" si="9"/>
        <v>0</v>
      </c>
      <c r="AU52" s="133"/>
      <c r="AV52" s="133"/>
      <c r="AW52" s="133">
        <f t="shared" si="10"/>
        <v>0</v>
      </c>
      <c r="AX52" s="133">
        <v>0</v>
      </c>
      <c r="AY52" s="133"/>
      <c r="AZ52" s="133"/>
      <c r="BA52" s="134">
        <v>0</v>
      </c>
      <c r="BB52" s="134"/>
      <c r="BC52" s="134"/>
      <c r="BD52" s="134">
        <v>0</v>
      </c>
      <c r="BE52" s="134">
        <v>0</v>
      </c>
      <c r="BF52" s="134"/>
      <c r="BG52" s="134"/>
      <c r="BH52" s="134"/>
      <c r="BI52" s="134"/>
      <c r="BJ52" s="134">
        <v>0</v>
      </c>
      <c r="BK52" s="134"/>
      <c r="BL52" s="134"/>
      <c r="BM52" s="134"/>
      <c r="BN52" s="134">
        <v>0</v>
      </c>
      <c r="BO52" s="134"/>
      <c r="BP52" s="134"/>
      <c r="BQ52" s="134"/>
      <c r="BR52" s="133"/>
      <c r="BS52" s="133"/>
      <c r="BT52" s="133"/>
      <c r="BU52" s="134"/>
      <c r="BV52" s="134"/>
      <c r="BW52" s="134"/>
      <c r="BX52" s="134"/>
    </row>
    <row r="53" spans="1:76" ht="46.15" outlineLevel="1">
      <c r="A53" s="434">
        <v>7</v>
      </c>
      <c r="B53" s="611" t="s">
        <v>2019</v>
      </c>
      <c r="C53" s="434" t="s">
        <v>1912</v>
      </c>
      <c r="D53" s="434" t="s">
        <v>1998</v>
      </c>
      <c r="E53" s="434" t="s">
        <v>49</v>
      </c>
      <c r="F53" s="434" t="s">
        <v>1999</v>
      </c>
      <c r="G53" s="434"/>
      <c r="H53" s="434"/>
      <c r="I53" s="420">
        <v>2022</v>
      </c>
      <c r="J53" s="420">
        <v>2022</v>
      </c>
      <c r="K53" s="434" t="s">
        <v>2020</v>
      </c>
      <c r="L53" s="434" t="s">
        <v>2021</v>
      </c>
      <c r="M53" s="133">
        <v>500</v>
      </c>
      <c r="N53" s="133"/>
      <c r="O53" s="133"/>
      <c r="P53" s="133">
        <v>500</v>
      </c>
      <c r="Q53" s="133"/>
      <c r="R53" s="133" t="s">
        <v>1999</v>
      </c>
      <c r="S53" s="133" t="s">
        <v>1996</v>
      </c>
      <c r="T53" s="133" t="s">
        <v>1998</v>
      </c>
      <c r="U53" s="133"/>
      <c r="V53" s="133"/>
      <c r="W53" s="133"/>
      <c r="X53" s="133"/>
      <c r="Y53" s="133">
        <f t="shared" si="5"/>
        <v>500</v>
      </c>
      <c r="Z53" s="133"/>
      <c r="AA53" s="133"/>
      <c r="AB53" s="133">
        <f t="shared" si="6"/>
        <v>500</v>
      </c>
      <c r="AC53" s="133">
        <v>0</v>
      </c>
      <c r="AD53" s="133"/>
      <c r="AE53" s="133">
        <v>500</v>
      </c>
      <c r="AF53" s="133">
        <f t="shared" si="7"/>
        <v>500</v>
      </c>
      <c r="AG53" s="133"/>
      <c r="AH53" s="133"/>
      <c r="AI53" s="133">
        <f t="shared" si="8"/>
        <v>500</v>
      </c>
      <c r="AJ53" s="133">
        <v>0</v>
      </c>
      <c r="AK53" s="133">
        <v>0</v>
      </c>
      <c r="AL53" s="133">
        <v>500</v>
      </c>
      <c r="AM53" s="133">
        <v>490.822</v>
      </c>
      <c r="AN53" s="133"/>
      <c r="AO53" s="133"/>
      <c r="AP53" s="133">
        <v>490.822</v>
      </c>
      <c r="AQ53" s="133">
        <v>0</v>
      </c>
      <c r="AR53" s="133">
        <v>0</v>
      </c>
      <c r="AS53" s="133">
        <v>490.822</v>
      </c>
      <c r="AT53" s="133">
        <f t="shared" si="9"/>
        <v>0</v>
      </c>
      <c r="AU53" s="133"/>
      <c r="AV53" s="133"/>
      <c r="AW53" s="133">
        <f t="shared" si="10"/>
        <v>0</v>
      </c>
      <c r="AX53" s="133">
        <v>0</v>
      </c>
      <c r="AY53" s="133"/>
      <c r="AZ53" s="133"/>
      <c r="BA53" s="134">
        <v>0</v>
      </c>
      <c r="BB53" s="134"/>
      <c r="BC53" s="134"/>
      <c r="BD53" s="134">
        <v>0</v>
      </c>
      <c r="BE53" s="134">
        <v>0</v>
      </c>
      <c r="BF53" s="134"/>
      <c r="BG53" s="134"/>
      <c r="BH53" s="134"/>
      <c r="BI53" s="134"/>
      <c r="BJ53" s="134">
        <v>0</v>
      </c>
      <c r="BK53" s="134"/>
      <c r="BL53" s="134"/>
      <c r="BM53" s="134"/>
      <c r="BN53" s="134">
        <v>0</v>
      </c>
      <c r="BO53" s="134"/>
      <c r="BP53" s="134"/>
      <c r="BQ53" s="134"/>
      <c r="BR53" s="133"/>
      <c r="BS53" s="133"/>
      <c r="BT53" s="133"/>
      <c r="BU53" s="134"/>
      <c r="BV53" s="134"/>
      <c r="BW53" s="134"/>
      <c r="BX53" s="134"/>
    </row>
    <row r="54" spans="1:76" ht="30.75" outlineLevel="1">
      <c r="A54" s="434">
        <v>8</v>
      </c>
      <c r="B54" s="611" t="s">
        <v>2022</v>
      </c>
      <c r="C54" s="434" t="s">
        <v>1998</v>
      </c>
      <c r="D54" s="434" t="s">
        <v>1998</v>
      </c>
      <c r="E54" s="434" t="s">
        <v>49</v>
      </c>
      <c r="F54" s="434" t="s">
        <v>1996</v>
      </c>
      <c r="G54" s="434"/>
      <c r="H54" s="434"/>
      <c r="I54" s="420"/>
      <c r="J54" s="420"/>
      <c r="K54" s="434"/>
      <c r="L54" s="434"/>
      <c r="M54" s="133">
        <v>1558</v>
      </c>
      <c r="N54" s="133"/>
      <c r="O54" s="133"/>
      <c r="P54" s="133">
        <v>1558</v>
      </c>
      <c r="Q54" s="133"/>
      <c r="R54" s="133" t="s">
        <v>1996</v>
      </c>
      <c r="S54" s="133" t="s">
        <v>1996</v>
      </c>
      <c r="T54" s="133" t="s">
        <v>1998</v>
      </c>
      <c r="U54" s="133"/>
      <c r="V54" s="133"/>
      <c r="W54" s="133"/>
      <c r="X54" s="133"/>
      <c r="Y54" s="133">
        <f t="shared" si="5"/>
        <v>1558</v>
      </c>
      <c r="Z54" s="133"/>
      <c r="AA54" s="133"/>
      <c r="AB54" s="133">
        <f t="shared" si="6"/>
        <v>1558</v>
      </c>
      <c r="AC54" s="133">
        <v>0</v>
      </c>
      <c r="AD54" s="133"/>
      <c r="AE54" s="133">
        <v>1558</v>
      </c>
      <c r="AF54" s="133">
        <f t="shared" si="7"/>
        <v>1558</v>
      </c>
      <c r="AG54" s="133"/>
      <c r="AH54" s="133"/>
      <c r="AI54" s="133">
        <f t="shared" si="8"/>
        <v>1558</v>
      </c>
      <c r="AJ54" s="133">
        <v>0</v>
      </c>
      <c r="AK54" s="133">
        <v>0</v>
      </c>
      <c r="AL54" s="133">
        <v>1558</v>
      </c>
      <c r="AM54" s="133">
        <v>1558</v>
      </c>
      <c r="AN54" s="133"/>
      <c r="AO54" s="133"/>
      <c r="AP54" s="133">
        <v>1558</v>
      </c>
      <c r="AQ54" s="133">
        <v>0</v>
      </c>
      <c r="AR54" s="133">
        <v>0</v>
      </c>
      <c r="AS54" s="133">
        <v>1558</v>
      </c>
      <c r="AT54" s="133">
        <f t="shared" si="9"/>
        <v>0</v>
      </c>
      <c r="AU54" s="133"/>
      <c r="AV54" s="133"/>
      <c r="AW54" s="133">
        <f t="shared" si="10"/>
        <v>0</v>
      </c>
      <c r="AX54" s="133">
        <v>0</v>
      </c>
      <c r="AY54" s="133"/>
      <c r="AZ54" s="133"/>
      <c r="BA54" s="134">
        <v>0</v>
      </c>
      <c r="BB54" s="134"/>
      <c r="BC54" s="134"/>
      <c r="BD54" s="134">
        <v>0</v>
      </c>
      <c r="BE54" s="134">
        <v>0</v>
      </c>
      <c r="BF54" s="134"/>
      <c r="BG54" s="134"/>
      <c r="BH54" s="134"/>
      <c r="BI54" s="134"/>
      <c r="BJ54" s="134">
        <v>0</v>
      </c>
      <c r="BK54" s="134"/>
      <c r="BL54" s="134"/>
      <c r="BM54" s="134"/>
      <c r="BN54" s="134">
        <v>0</v>
      </c>
      <c r="BO54" s="134"/>
      <c r="BP54" s="134"/>
      <c r="BQ54" s="134"/>
      <c r="BR54" s="133"/>
      <c r="BS54" s="133"/>
      <c r="BT54" s="133"/>
      <c r="BU54" s="134"/>
      <c r="BV54" s="134"/>
      <c r="BW54" s="134"/>
      <c r="BX54" s="134"/>
    </row>
    <row r="55" spans="1:76" ht="46.15" outlineLevel="1">
      <c r="A55" s="434">
        <v>9</v>
      </c>
      <c r="B55" s="611" t="s">
        <v>2023</v>
      </c>
      <c r="C55" s="434" t="s">
        <v>1912</v>
      </c>
      <c r="D55" s="434" t="s">
        <v>1998</v>
      </c>
      <c r="E55" s="434" t="s">
        <v>49</v>
      </c>
      <c r="F55" s="434" t="s">
        <v>2003</v>
      </c>
      <c r="G55" s="434"/>
      <c r="H55" s="434"/>
      <c r="I55" s="420">
        <v>2023</v>
      </c>
      <c r="J55" s="420">
        <v>2023</v>
      </c>
      <c r="K55" s="434" t="s">
        <v>2024</v>
      </c>
      <c r="L55" s="434" t="s">
        <v>2025</v>
      </c>
      <c r="M55" s="133">
        <v>500</v>
      </c>
      <c r="N55" s="133"/>
      <c r="O55" s="133"/>
      <c r="P55" s="133">
        <v>500</v>
      </c>
      <c r="Q55" s="133"/>
      <c r="R55" s="133" t="s">
        <v>2003</v>
      </c>
      <c r="S55" s="133" t="s">
        <v>1996</v>
      </c>
      <c r="T55" s="133" t="s">
        <v>1998</v>
      </c>
      <c r="U55" s="133"/>
      <c r="V55" s="133"/>
      <c r="W55" s="133"/>
      <c r="X55" s="133"/>
      <c r="Y55" s="133">
        <f t="shared" si="5"/>
        <v>500</v>
      </c>
      <c r="Z55" s="133"/>
      <c r="AA55" s="133"/>
      <c r="AB55" s="133">
        <f t="shared" si="6"/>
        <v>500</v>
      </c>
      <c r="AC55" s="133">
        <v>0</v>
      </c>
      <c r="AD55" s="133"/>
      <c r="AE55" s="133">
        <v>500</v>
      </c>
      <c r="AF55" s="133">
        <f t="shared" si="7"/>
        <v>500</v>
      </c>
      <c r="AG55" s="133"/>
      <c r="AH55" s="133"/>
      <c r="AI55" s="133">
        <f t="shared" si="8"/>
        <v>500</v>
      </c>
      <c r="AJ55" s="133">
        <v>0</v>
      </c>
      <c r="AK55" s="133">
        <v>0</v>
      </c>
      <c r="AL55" s="133">
        <v>500</v>
      </c>
      <c r="AM55" s="133">
        <v>485.16300000000001</v>
      </c>
      <c r="AN55" s="133"/>
      <c r="AO55" s="133"/>
      <c r="AP55" s="133">
        <v>485.16300000000001</v>
      </c>
      <c r="AQ55" s="133">
        <v>0</v>
      </c>
      <c r="AR55" s="133">
        <v>0</v>
      </c>
      <c r="AS55" s="133">
        <v>485.16300000000001</v>
      </c>
      <c r="AT55" s="133">
        <f t="shared" si="9"/>
        <v>0</v>
      </c>
      <c r="AU55" s="133"/>
      <c r="AV55" s="133"/>
      <c r="AW55" s="133">
        <f t="shared" si="10"/>
        <v>0</v>
      </c>
      <c r="AX55" s="133">
        <v>0</v>
      </c>
      <c r="AY55" s="133"/>
      <c r="AZ55" s="133"/>
      <c r="BA55" s="134">
        <v>0</v>
      </c>
      <c r="BB55" s="134"/>
      <c r="BC55" s="134"/>
      <c r="BD55" s="134">
        <v>0</v>
      </c>
      <c r="BE55" s="134">
        <v>0</v>
      </c>
      <c r="BF55" s="134"/>
      <c r="BG55" s="134"/>
      <c r="BH55" s="134"/>
      <c r="BI55" s="134"/>
      <c r="BJ55" s="134">
        <v>0</v>
      </c>
      <c r="BK55" s="134"/>
      <c r="BL55" s="134"/>
      <c r="BM55" s="134"/>
      <c r="BN55" s="134">
        <v>0</v>
      </c>
      <c r="BO55" s="134"/>
      <c r="BP55" s="134"/>
      <c r="BQ55" s="134"/>
      <c r="BR55" s="133"/>
      <c r="BS55" s="133"/>
      <c r="BT55" s="133"/>
      <c r="BU55" s="134"/>
      <c r="BV55" s="134"/>
      <c r="BW55" s="134"/>
      <c r="BX55" s="134"/>
    </row>
    <row r="56" spans="1:76" ht="46.15" outlineLevel="1">
      <c r="A56" s="434">
        <v>10</v>
      </c>
      <c r="B56" s="611" t="s">
        <v>2026</v>
      </c>
      <c r="C56" s="434" t="s">
        <v>1912</v>
      </c>
      <c r="D56" s="434" t="s">
        <v>1998</v>
      </c>
      <c r="E56" s="434" t="s">
        <v>49</v>
      </c>
      <c r="F56" s="434" t="s">
        <v>1999</v>
      </c>
      <c r="G56" s="434"/>
      <c r="H56" s="434"/>
      <c r="I56" s="420">
        <v>2024</v>
      </c>
      <c r="J56" s="420">
        <v>2024</v>
      </c>
      <c r="K56" s="434" t="s">
        <v>2027</v>
      </c>
      <c r="L56" s="434" t="s">
        <v>2028</v>
      </c>
      <c r="M56" s="133">
        <v>1400</v>
      </c>
      <c r="N56" s="133"/>
      <c r="O56" s="133"/>
      <c r="P56" s="133">
        <v>1400</v>
      </c>
      <c r="Q56" s="133"/>
      <c r="R56" s="133" t="s">
        <v>1999</v>
      </c>
      <c r="S56" s="133" t="s">
        <v>1996</v>
      </c>
      <c r="T56" s="133" t="s">
        <v>1998</v>
      </c>
      <c r="U56" s="133"/>
      <c r="V56" s="133"/>
      <c r="W56" s="133"/>
      <c r="X56" s="133"/>
      <c r="Y56" s="133">
        <f t="shared" si="5"/>
        <v>1400</v>
      </c>
      <c r="Z56" s="133"/>
      <c r="AA56" s="133"/>
      <c r="AB56" s="133">
        <f t="shared" si="6"/>
        <v>1400</v>
      </c>
      <c r="AC56" s="133">
        <v>0</v>
      </c>
      <c r="AD56" s="133"/>
      <c r="AE56" s="133">
        <v>1400</v>
      </c>
      <c r="AF56" s="133">
        <f t="shared" si="7"/>
        <v>1400</v>
      </c>
      <c r="AG56" s="133"/>
      <c r="AH56" s="133"/>
      <c r="AI56" s="133">
        <f t="shared" si="8"/>
        <v>1400</v>
      </c>
      <c r="AJ56" s="133">
        <v>0</v>
      </c>
      <c r="AK56" s="133">
        <v>0</v>
      </c>
      <c r="AL56" s="133">
        <v>1400</v>
      </c>
      <c r="AM56" s="133">
        <v>1348.4340000000002</v>
      </c>
      <c r="AN56" s="133"/>
      <c r="AO56" s="133"/>
      <c r="AP56" s="133">
        <v>1348.4340000000002</v>
      </c>
      <c r="AQ56" s="133">
        <v>0</v>
      </c>
      <c r="AR56" s="133">
        <v>0</v>
      </c>
      <c r="AS56" s="133">
        <v>1348.4340000000002</v>
      </c>
      <c r="AT56" s="133">
        <f t="shared" si="9"/>
        <v>0</v>
      </c>
      <c r="AU56" s="133"/>
      <c r="AV56" s="133"/>
      <c r="AW56" s="133">
        <f t="shared" si="10"/>
        <v>0</v>
      </c>
      <c r="AX56" s="133">
        <v>0</v>
      </c>
      <c r="AY56" s="133"/>
      <c r="AZ56" s="133"/>
      <c r="BA56" s="134">
        <v>0</v>
      </c>
      <c r="BB56" s="134"/>
      <c r="BC56" s="134"/>
      <c r="BD56" s="134">
        <v>0</v>
      </c>
      <c r="BE56" s="134">
        <v>0</v>
      </c>
      <c r="BF56" s="134"/>
      <c r="BG56" s="134"/>
      <c r="BH56" s="134"/>
      <c r="BI56" s="134"/>
      <c r="BJ56" s="134">
        <v>55.436999999999998</v>
      </c>
      <c r="BK56" s="134"/>
      <c r="BL56" s="134"/>
      <c r="BM56" s="134">
        <v>55.436999999999998</v>
      </c>
      <c r="BN56" s="134">
        <v>3.871</v>
      </c>
      <c r="BO56" s="134"/>
      <c r="BP56" s="134"/>
      <c r="BQ56" s="134">
        <v>3.871</v>
      </c>
      <c r="BR56" s="133"/>
      <c r="BS56" s="133"/>
      <c r="BT56" s="133"/>
      <c r="BU56" s="134"/>
      <c r="BV56" s="134"/>
      <c r="BW56" s="179">
        <v>55.436999999999998</v>
      </c>
      <c r="BX56" s="134"/>
    </row>
    <row r="57" spans="1:76" ht="76.900000000000006" outlineLevel="1">
      <c r="A57" s="434">
        <v>11</v>
      </c>
      <c r="B57" s="611" t="s">
        <v>2029</v>
      </c>
      <c r="C57" s="434" t="s">
        <v>1912</v>
      </c>
      <c r="D57" s="434" t="s">
        <v>1998</v>
      </c>
      <c r="E57" s="434" t="s">
        <v>49</v>
      </c>
      <c r="F57" s="434" t="s">
        <v>1999</v>
      </c>
      <c r="G57" s="434"/>
      <c r="H57" s="434"/>
      <c r="I57" s="420" t="s">
        <v>84</v>
      </c>
      <c r="J57" s="420">
        <v>2024</v>
      </c>
      <c r="K57" s="434" t="s">
        <v>2030</v>
      </c>
      <c r="L57" s="434" t="s">
        <v>2031</v>
      </c>
      <c r="M57" s="133">
        <v>3920</v>
      </c>
      <c r="N57" s="133"/>
      <c r="O57" s="133"/>
      <c r="P57" s="133">
        <v>3920</v>
      </c>
      <c r="Q57" s="133" t="s">
        <v>2032</v>
      </c>
      <c r="R57" s="133" t="s">
        <v>1999</v>
      </c>
      <c r="S57" s="133" t="s">
        <v>1996</v>
      </c>
      <c r="T57" s="133" t="s">
        <v>1998</v>
      </c>
      <c r="U57" s="133"/>
      <c r="V57" s="133"/>
      <c r="W57" s="133"/>
      <c r="X57" s="133"/>
      <c r="Y57" s="133">
        <f t="shared" si="5"/>
        <v>3569</v>
      </c>
      <c r="Z57" s="133"/>
      <c r="AA57" s="133"/>
      <c r="AB57" s="133">
        <f t="shared" si="6"/>
        <v>3569</v>
      </c>
      <c r="AC57" s="133">
        <v>0</v>
      </c>
      <c r="AD57" s="133"/>
      <c r="AE57" s="133">
        <v>3569</v>
      </c>
      <c r="AF57" s="133">
        <f t="shared" si="7"/>
        <v>400</v>
      </c>
      <c r="AG57" s="133"/>
      <c r="AH57" s="133"/>
      <c r="AI57" s="133">
        <f t="shared" si="8"/>
        <v>400</v>
      </c>
      <c r="AJ57" s="133">
        <v>0</v>
      </c>
      <c r="AK57" s="133">
        <v>0</v>
      </c>
      <c r="AL57" s="133">
        <v>400</v>
      </c>
      <c r="AM57" s="133">
        <v>162.726</v>
      </c>
      <c r="AN57" s="133"/>
      <c r="AO57" s="133"/>
      <c r="AP57" s="133">
        <v>162.726</v>
      </c>
      <c r="AQ57" s="133">
        <v>0</v>
      </c>
      <c r="AR57" s="133">
        <v>0</v>
      </c>
      <c r="AS57" s="133">
        <v>162.726</v>
      </c>
      <c r="AT57" s="133">
        <f t="shared" si="9"/>
        <v>3169</v>
      </c>
      <c r="AU57" s="133"/>
      <c r="AV57" s="133"/>
      <c r="AW57" s="133">
        <f t="shared" si="10"/>
        <v>3169</v>
      </c>
      <c r="AX57" s="133">
        <v>0</v>
      </c>
      <c r="AY57" s="133"/>
      <c r="AZ57" s="133">
        <v>3169</v>
      </c>
      <c r="BA57" s="134">
        <v>2955.2299999999996</v>
      </c>
      <c r="BB57" s="134"/>
      <c r="BC57" s="134"/>
      <c r="BD57" s="134">
        <v>2955.2299999999996</v>
      </c>
      <c r="BE57" s="134">
        <v>0</v>
      </c>
      <c r="BF57" s="134"/>
      <c r="BG57" s="134"/>
      <c r="BH57" s="134"/>
      <c r="BI57" s="134">
        <v>2955.2299999999996</v>
      </c>
      <c r="BJ57" s="134">
        <v>237.274</v>
      </c>
      <c r="BK57" s="134"/>
      <c r="BL57" s="134"/>
      <c r="BM57" s="134">
        <v>237.274</v>
      </c>
      <c r="BN57" s="134">
        <v>237.274</v>
      </c>
      <c r="BO57" s="134"/>
      <c r="BP57" s="134"/>
      <c r="BQ57" s="134">
        <v>237.274</v>
      </c>
      <c r="BR57" s="133"/>
      <c r="BS57" s="133"/>
      <c r="BT57" s="133"/>
      <c r="BU57" s="134"/>
      <c r="BV57" s="134"/>
      <c r="BW57" s="134"/>
      <c r="BX57" s="134"/>
    </row>
    <row r="58" spans="1:76" ht="76.900000000000006" outlineLevel="1">
      <c r="A58" s="434">
        <v>12</v>
      </c>
      <c r="B58" s="611" t="s">
        <v>2033</v>
      </c>
      <c r="C58" s="434" t="s">
        <v>1912</v>
      </c>
      <c r="D58" s="434" t="s">
        <v>1998</v>
      </c>
      <c r="E58" s="434" t="s">
        <v>49</v>
      </c>
      <c r="F58" s="434" t="s">
        <v>1999</v>
      </c>
      <c r="G58" s="434"/>
      <c r="H58" s="434"/>
      <c r="I58" s="420" t="s">
        <v>84</v>
      </c>
      <c r="J58" s="420">
        <v>2024</v>
      </c>
      <c r="K58" s="434" t="s">
        <v>2034</v>
      </c>
      <c r="L58" s="434" t="s">
        <v>2035</v>
      </c>
      <c r="M58" s="133">
        <v>3000</v>
      </c>
      <c r="N58" s="133"/>
      <c r="O58" s="133"/>
      <c r="P58" s="133">
        <v>3000</v>
      </c>
      <c r="Q58" s="133" t="s">
        <v>2032</v>
      </c>
      <c r="R58" s="133" t="s">
        <v>1999</v>
      </c>
      <c r="S58" s="133" t="s">
        <v>1996</v>
      </c>
      <c r="T58" s="133" t="s">
        <v>1998</v>
      </c>
      <c r="U58" s="133"/>
      <c r="V58" s="133"/>
      <c r="W58" s="133"/>
      <c r="X58" s="133"/>
      <c r="Y58" s="133">
        <f t="shared" si="5"/>
        <v>2807</v>
      </c>
      <c r="Z58" s="133"/>
      <c r="AA58" s="133"/>
      <c r="AB58" s="133">
        <f t="shared" si="6"/>
        <v>2807</v>
      </c>
      <c r="AC58" s="133">
        <v>0</v>
      </c>
      <c r="AD58" s="133"/>
      <c r="AE58" s="133">
        <v>2807</v>
      </c>
      <c r="AF58" s="133">
        <f t="shared" si="7"/>
        <v>400</v>
      </c>
      <c r="AG58" s="133"/>
      <c r="AH58" s="133"/>
      <c r="AI58" s="133">
        <f t="shared" si="8"/>
        <v>400</v>
      </c>
      <c r="AJ58" s="133">
        <v>0</v>
      </c>
      <c r="AK58" s="133">
        <v>0</v>
      </c>
      <c r="AL58" s="133">
        <v>400</v>
      </c>
      <c r="AM58" s="133">
        <v>182.155</v>
      </c>
      <c r="AN58" s="133"/>
      <c r="AO58" s="133"/>
      <c r="AP58" s="133">
        <v>182.155</v>
      </c>
      <c r="AQ58" s="133">
        <v>0</v>
      </c>
      <c r="AR58" s="133">
        <v>0</v>
      </c>
      <c r="AS58" s="133">
        <v>182.155</v>
      </c>
      <c r="AT58" s="133">
        <f t="shared" si="9"/>
        <v>2407</v>
      </c>
      <c r="AU58" s="133"/>
      <c r="AV58" s="133"/>
      <c r="AW58" s="133">
        <f t="shared" si="10"/>
        <v>2407</v>
      </c>
      <c r="AX58" s="133">
        <v>0</v>
      </c>
      <c r="AY58" s="133"/>
      <c r="AZ58" s="133">
        <v>2407</v>
      </c>
      <c r="BA58" s="134">
        <v>2287.4969999999998</v>
      </c>
      <c r="BB58" s="134"/>
      <c r="BC58" s="134"/>
      <c r="BD58" s="134">
        <v>2287.4969999999998</v>
      </c>
      <c r="BE58" s="134">
        <v>0</v>
      </c>
      <c r="BF58" s="134"/>
      <c r="BG58" s="134"/>
      <c r="BH58" s="134"/>
      <c r="BI58" s="134">
        <v>2287.4969999999998</v>
      </c>
      <c r="BJ58" s="134">
        <v>217.845</v>
      </c>
      <c r="BK58" s="134"/>
      <c r="BL58" s="134"/>
      <c r="BM58" s="134">
        <v>217.845</v>
      </c>
      <c r="BN58" s="134">
        <v>217.845</v>
      </c>
      <c r="BO58" s="134"/>
      <c r="BP58" s="134"/>
      <c r="BQ58" s="134">
        <v>217.845</v>
      </c>
      <c r="BR58" s="133"/>
      <c r="BS58" s="133"/>
      <c r="BT58" s="133"/>
      <c r="BU58" s="134"/>
      <c r="BV58" s="134"/>
      <c r="BW58" s="134"/>
      <c r="BX58" s="134"/>
    </row>
    <row r="59" spans="1:76" ht="76.900000000000006" outlineLevel="1">
      <c r="A59" s="434">
        <v>13</v>
      </c>
      <c r="B59" s="611" t="s">
        <v>2036</v>
      </c>
      <c r="C59" s="434" t="s">
        <v>1912</v>
      </c>
      <c r="D59" s="434" t="s">
        <v>1998</v>
      </c>
      <c r="E59" s="434" t="s">
        <v>49</v>
      </c>
      <c r="F59" s="434" t="s">
        <v>1999</v>
      </c>
      <c r="G59" s="434"/>
      <c r="H59" s="434"/>
      <c r="I59" s="420" t="s">
        <v>84</v>
      </c>
      <c r="J59" s="420">
        <v>2024</v>
      </c>
      <c r="K59" s="434" t="s">
        <v>2037</v>
      </c>
      <c r="L59" s="434" t="s">
        <v>2038</v>
      </c>
      <c r="M59" s="133">
        <v>2800</v>
      </c>
      <c r="N59" s="133"/>
      <c r="O59" s="133"/>
      <c r="P59" s="133">
        <v>2800</v>
      </c>
      <c r="Q59" s="133" t="s">
        <v>2032</v>
      </c>
      <c r="R59" s="133" t="s">
        <v>1999</v>
      </c>
      <c r="S59" s="133" t="s">
        <v>1996</v>
      </c>
      <c r="T59" s="133" t="s">
        <v>1998</v>
      </c>
      <c r="U59" s="133"/>
      <c r="V59" s="133"/>
      <c r="W59" s="133"/>
      <c r="X59" s="133"/>
      <c r="Y59" s="133">
        <f t="shared" si="5"/>
        <v>2649.4830000000002</v>
      </c>
      <c r="Z59" s="133"/>
      <c r="AA59" s="133"/>
      <c r="AB59" s="133">
        <f t="shared" si="6"/>
        <v>2649.4830000000002</v>
      </c>
      <c r="AC59" s="133">
        <v>0</v>
      </c>
      <c r="AD59" s="133"/>
      <c r="AE59" s="133">
        <v>2649.4830000000002</v>
      </c>
      <c r="AF59" s="133">
        <f t="shared" si="7"/>
        <v>365.48300000000017</v>
      </c>
      <c r="AG59" s="133"/>
      <c r="AH59" s="133"/>
      <c r="AI59" s="133">
        <f t="shared" si="8"/>
        <v>365.48300000000017</v>
      </c>
      <c r="AJ59" s="133">
        <v>0</v>
      </c>
      <c r="AK59" s="133">
        <v>0</v>
      </c>
      <c r="AL59" s="133">
        <v>365.48300000000017</v>
      </c>
      <c r="AM59" s="133">
        <v>1.8420000000001551</v>
      </c>
      <c r="AN59" s="133"/>
      <c r="AO59" s="133"/>
      <c r="AP59" s="133">
        <v>1.8420000000001551</v>
      </c>
      <c r="AQ59" s="133">
        <v>0</v>
      </c>
      <c r="AR59" s="133">
        <v>0</v>
      </c>
      <c r="AS59" s="133">
        <v>1.8420000000001551</v>
      </c>
      <c r="AT59" s="133">
        <f t="shared" si="9"/>
        <v>2284</v>
      </c>
      <c r="AU59" s="133"/>
      <c r="AV59" s="133"/>
      <c r="AW59" s="133">
        <f t="shared" si="10"/>
        <v>2284</v>
      </c>
      <c r="AX59" s="133">
        <v>0</v>
      </c>
      <c r="AY59" s="133"/>
      <c r="AZ59" s="133">
        <v>2284</v>
      </c>
      <c r="BA59" s="134">
        <v>2198.027</v>
      </c>
      <c r="BB59" s="134"/>
      <c r="BC59" s="134"/>
      <c r="BD59" s="134">
        <v>2198.027</v>
      </c>
      <c r="BE59" s="134">
        <v>0</v>
      </c>
      <c r="BF59" s="134"/>
      <c r="BG59" s="134"/>
      <c r="BH59" s="134"/>
      <c r="BI59" s="134">
        <v>2198.027</v>
      </c>
      <c r="BJ59" s="134">
        <v>363.64100000000002</v>
      </c>
      <c r="BK59" s="134"/>
      <c r="BL59" s="134"/>
      <c r="BM59" s="134">
        <v>363.64100000000002</v>
      </c>
      <c r="BN59" s="134">
        <v>363.64100000000002</v>
      </c>
      <c r="BO59" s="134"/>
      <c r="BP59" s="134"/>
      <c r="BQ59" s="134">
        <v>363.64100000000002</v>
      </c>
      <c r="BR59" s="133"/>
      <c r="BS59" s="133"/>
      <c r="BT59" s="133"/>
      <c r="BU59" s="134"/>
      <c r="BV59" s="134"/>
      <c r="BW59" s="134"/>
      <c r="BX59" s="134"/>
    </row>
    <row r="60" spans="1:76" ht="46.15" outlineLevel="1">
      <c r="A60" s="434">
        <v>14</v>
      </c>
      <c r="B60" s="611" t="s">
        <v>2039</v>
      </c>
      <c r="C60" s="434" t="s">
        <v>1912</v>
      </c>
      <c r="D60" s="434" t="s">
        <v>1998</v>
      </c>
      <c r="E60" s="434" t="s">
        <v>49</v>
      </c>
      <c r="F60" s="434" t="s">
        <v>1996</v>
      </c>
      <c r="G60" s="434"/>
      <c r="H60" s="434"/>
      <c r="I60" s="420" t="s">
        <v>73</v>
      </c>
      <c r="J60" s="420">
        <v>2021</v>
      </c>
      <c r="K60" s="434" t="s">
        <v>2040</v>
      </c>
      <c r="L60" s="434" t="s">
        <v>2041</v>
      </c>
      <c r="M60" s="133">
        <v>2000</v>
      </c>
      <c r="N60" s="133"/>
      <c r="O60" s="133"/>
      <c r="P60" s="133">
        <v>2000</v>
      </c>
      <c r="Q60" s="133"/>
      <c r="R60" s="133" t="s">
        <v>1996</v>
      </c>
      <c r="S60" s="133" t="s">
        <v>1996</v>
      </c>
      <c r="T60" s="133" t="s">
        <v>1998</v>
      </c>
      <c r="U60" s="133"/>
      <c r="V60" s="133"/>
      <c r="W60" s="133"/>
      <c r="X60" s="133"/>
      <c r="Y60" s="133">
        <f t="shared" si="5"/>
        <v>1950</v>
      </c>
      <c r="Z60" s="133"/>
      <c r="AA60" s="133"/>
      <c r="AB60" s="133">
        <f t="shared" si="6"/>
        <v>1950</v>
      </c>
      <c r="AC60" s="133">
        <v>0</v>
      </c>
      <c r="AD60" s="133"/>
      <c r="AE60" s="133">
        <v>1950</v>
      </c>
      <c r="AF60" s="133">
        <f t="shared" si="7"/>
        <v>1950</v>
      </c>
      <c r="AG60" s="133"/>
      <c r="AH60" s="133"/>
      <c r="AI60" s="133">
        <f t="shared" si="8"/>
        <v>1950</v>
      </c>
      <c r="AJ60" s="133">
        <v>0</v>
      </c>
      <c r="AK60" s="133">
        <v>0</v>
      </c>
      <c r="AL60" s="133">
        <v>1950</v>
      </c>
      <c r="AM60" s="133">
        <v>1933.6679999999999</v>
      </c>
      <c r="AN60" s="133"/>
      <c r="AO60" s="133"/>
      <c r="AP60" s="133">
        <v>1933.6679999999999</v>
      </c>
      <c r="AQ60" s="133">
        <v>0</v>
      </c>
      <c r="AR60" s="133">
        <v>0</v>
      </c>
      <c r="AS60" s="133">
        <v>1933.6679999999999</v>
      </c>
      <c r="AT60" s="133">
        <f t="shared" si="9"/>
        <v>0</v>
      </c>
      <c r="AU60" s="133"/>
      <c r="AV60" s="133"/>
      <c r="AW60" s="133">
        <f t="shared" si="10"/>
        <v>0</v>
      </c>
      <c r="AX60" s="133">
        <v>0</v>
      </c>
      <c r="AY60" s="133"/>
      <c r="AZ60" s="133"/>
      <c r="BA60" s="134">
        <v>0</v>
      </c>
      <c r="BB60" s="134"/>
      <c r="BC60" s="134"/>
      <c r="BD60" s="134">
        <v>0</v>
      </c>
      <c r="BE60" s="134">
        <v>0</v>
      </c>
      <c r="BF60" s="134"/>
      <c r="BG60" s="134"/>
      <c r="BH60" s="134"/>
      <c r="BI60" s="134"/>
      <c r="BJ60" s="134">
        <v>0</v>
      </c>
      <c r="BK60" s="134"/>
      <c r="BL60" s="134"/>
      <c r="BM60" s="134"/>
      <c r="BN60" s="134">
        <v>0</v>
      </c>
      <c r="BO60" s="134"/>
      <c r="BP60" s="134"/>
      <c r="BQ60" s="134"/>
      <c r="BR60" s="133"/>
      <c r="BS60" s="133"/>
      <c r="BT60" s="133"/>
      <c r="BU60" s="134"/>
      <c r="BV60" s="134"/>
      <c r="BW60" s="134"/>
      <c r="BX60" s="134"/>
    </row>
    <row r="61" spans="1:76" ht="76.900000000000006" outlineLevel="1">
      <c r="A61" s="434">
        <v>15</v>
      </c>
      <c r="B61" s="611" t="s">
        <v>2042</v>
      </c>
      <c r="C61" s="434" t="s">
        <v>2043</v>
      </c>
      <c r="D61" s="434" t="s">
        <v>1998</v>
      </c>
      <c r="E61" s="434" t="s">
        <v>49</v>
      </c>
      <c r="F61" s="434" t="s">
        <v>2044</v>
      </c>
      <c r="G61" s="434"/>
      <c r="H61" s="434"/>
      <c r="I61" s="420">
        <v>2021</v>
      </c>
      <c r="J61" s="420">
        <v>2021</v>
      </c>
      <c r="K61" s="434" t="s">
        <v>2045</v>
      </c>
      <c r="L61" s="434" t="s">
        <v>2046</v>
      </c>
      <c r="M61" s="133">
        <v>4380</v>
      </c>
      <c r="N61" s="133"/>
      <c r="O61" s="133"/>
      <c r="P61" s="133">
        <v>4380</v>
      </c>
      <c r="Q61" s="133"/>
      <c r="R61" s="133" t="s">
        <v>2044</v>
      </c>
      <c r="S61" s="133" t="s">
        <v>2047</v>
      </c>
      <c r="T61" s="133" t="s">
        <v>1998</v>
      </c>
      <c r="U61" s="133"/>
      <c r="V61" s="133"/>
      <c r="W61" s="133"/>
      <c r="X61" s="133"/>
      <c r="Y61" s="133">
        <f t="shared" si="5"/>
        <v>4258.3999999999996</v>
      </c>
      <c r="Z61" s="133"/>
      <c r="AA61" s="133"/>
      <c r="AB61" s="133">
        <f t="shared" si="6"/>
        <v>4258.3999999999996</v>
      </c>
      <c r="AC61" s="133">
        <v>0</v>
      </c>
      <c r="AD61" s="133"/>
      <c r="AE61" s="133">
        <v>4258.3999999999996</v>
      </c>
      <c r="AF61" s="133">
        <f t="shared" si="7"/>
        <v>4258.3999999999996</v>
      </c>
      <c r="AG61" s="133"/>
      <c r="AH61" s="133"/>
      <c r="AI61" s="133">
        <f t="shared" si="8"/>
        <v>4258.3999999999996</v>
      </c>
      <c r="AJ61" s="133">
        <v>0</v>
      </c>
      <c r="AK61" s="133">
        <v>0</v>
      </c>
      <c r="AL61" s="133">
        <v>4258.3999999999996</v>
      </c>
      <c r="AM61" s="133">
        <v>3646.6788999999999</v>
      </c>
      <c r="AN61" s="133"/>
      <c r="AO61" s="133"/>
      <c r="AP61" s="133">
        <v>3646.6788999999999</v>
      </c>
      <c r="AQ61" s="133">
        <v>0</v>
      </c>
      <c r="AR61" s="133">
        <v>0</v>
      </c>
      <c r="AS61" s="133">
        <v>3646.6788999999999</v>
      </c>
      <c r="AT61" s="133">
        <f t="shared" si="9"/>
        <v>0</v>
      </c>
      <c r="AU61" s="133"/>
      <c r="AV61" s="133"/>
      <c r="AW61" s="133">
        <f t="shared" si="10"/>
        <v>0</v>
      </c>
      <c r="AX61" s="133">
        <v>0</v>
      </c>
      <c r="AY61" s="133"/>
      <c r="AZ61" s="133"/>
      <c r="BA61" s="134">
        <v>0</v>
      </c>
      <c r="BB61" s="134"/>
      <c r="BC61" s="134"/>
      <c r="BD61" s="134">
        <v>0</v>
      </c>
      <c r="BE61" s="134">
        <v>0</v>
      </c>
      <c r="BF61" s="134"/>
      <c r="BG61" s="134"/>
      <c r="BH61" s="134"/>
      <c r="BI61" s="134"/>
      <c r="BJ61" s="134">
        <v>0</v>
      </c>
      <c r="BK61" s="134"/>
      <c r="BL61" s="134"/>
      <c r="BM61" s="134"/>
      <c r="BN61" s="134">
        <v>0</v>
      </c>
      <c r="BO61" s="134"/>
      <c r="BP61" s="134"/>
      <c r="BQ61" s="134"/>
      <c r="BR61" s="133"/>
      <c r="BS61" s="133"/>
      <c r="BT61" s="133"/>
      <c r="BU61" s="134"/>
      <c r="BV61" s="134"/>
      <c r="BW61" s="134"/>
      <c r="BX61" s="134"/>
    </row>
    <row r="62" spans="1:76" ht="46.15" outlineLevel="1">
      <c r="A62" s="434">
        <v>16</v>
      </c>
      <c r="B62" s="611" t="s">
        <v>2048</v>
      </c>
      <c r="C62" s="434" t="s">
        <v>1912</v>
      </c>
      <c r="D62" s="434" t="s">
        <v>1998</v>
      </c>
      <c r="E62" s="434" t="s">
        <v>49</v>
      </c>
      <c r="F62" s="434" t="s">
        <v>1999</v>
      </c>
      <c r="G62" s="434"/>
      <c r="H62" s="434"/>
      <c r="I62" s="420" t="s">
        <v>56</v>
      </c>
      <c r="J62" s="420">
        <v>2023</v>
      </c>
      <c r="K62" s="434" t="s">
        <v>2049</v>
      </c>
      <c r="L62" s="434" t="s">
        <v>2050</v>
      </c>
      <c r="M62" s="133">
        <v>5000</v>
      </c>
      <c r="N62" s="133"/>
      <c r="O62" s="133"/>
      <c r="P62" s="133">
        <v>5000</v>
      </c>
      <c r="Q62" s="133"/>
      <c r="R62" s="133" t="s">
        <v>1999</v>
      </c>
      <c r="S62" s="133" t="s">
        <v>1996</v>
      </c>
      <c r="T62" s="133" t="s">
        <v>1998</v>
      </c>
      <c r="U62" s="133"/>
      <c r="V62" s="133"/>
      <c r="W62" s="133"/>
      <c r="X62" s="133"/>
      <c r="Y62" s="133">
        <f t="shared" si="5"/>
        <v>4852.3240000000005</v>
      </c>
      <c r="Z62" s="133"/>
      <c r="AA62" s="133"/>
      <c r="AB62" s="133">
        <f t="shared" si="6"/>
        <v>4852.3240000000005</v>
      </c>
      <c r="AC62" s="133">
        <v>0</v>
      </c>
      <c r="AD62" s="133"/>
      <c r="AE62" s="133">
        <v>4852.3240000000005</v>
      </c>
      <c r="AF62" s="133">
        <f t="shared" si="7"/>
        <v>4852.3240000000005</v>
      </c>
      <c r="AG62" s="133"/>
      <c r="AH62" s="133"/>
      <c r="AI62" s="133">
        <f t="shared" si="8"/>
        <v>4852.3240000000005</v>
      </c>
      <c r="AJ62" s="133">
        <v>0</v>
      </c>
      <c r="AK62" s="133">
        <v>0</v>
      </c>
      <c r="AL62" s="133">
        <v>4852.3240000000005</v>
      </c>
      <c r="AM62" s="133">
        <v>4852.3240000000005</v>
      </c>
      <c r="AN62" s="133"/>
      <c r="AO62" s="133"/>
      <c r="AP62" s="133">
        <v>4852.3240000000005</v>
      </c>
      <c r="AQ62" s="133">
        <v>0</v>
      </c>
      <c r="AR62" s="133">
        <v>0</v>
      </c>
      <c r="AS62" s="133">
        <v>4852.3240000000005</v>
      </c>
      <c r="AT62" s="133">
        <f t="shared" si="9"/>
        <v>0</v>
      </c>
      <c r="AU62" s="133"/>
      <c r="AV62" s="133"/>
      <c r="AW62" s="133">
        <f t="shared" si="10"/>
        <v>0</v>
      </c>
      <c r="AX62" s="133">
        <v>0</v>
      </c>
      <c r="AY62" s="133"/>
      <c r="AZ62" s="133"/>
      <c r="BA62" s="134">
        <v>0</v>
      </c>
      <c r="BB62" s="134"/>
      <c r="BC62" s="134"/>
      <c r="BD62" s="134">
        <v>0</v>
      </c>
      <c r="BE62" s="134">
        <v>0</v>
      </c>
      <c r="BF62" s="134"/>
      <c r="BG62" s="134"/>
      <c r="BH62" s="134"/>
      <c r="BI62" s="134"/>
      <c r="BJ62" s="134">
        <v>0</v>
      </c>
      <c r="BK62" s="134"/>
      <c r="BL62" s="134"/>
      <c r="BM62" s="134"/>
      <c r="BN62" s="134">
        <v>0</v>
      </c>
      <c r="BO62" s="134"/>
      <c r="BP62" s="134"/>
      <c r="BQ62" s="134"/>
      <c r="BR62" s="133"/>
      <c r="BS62" s="133"/>
      <c r="BT62" s="133"/>
      <c r="BU62" s="134"/>
      <c r="BV62" s="134"/>
      <c r="BW62" s="134"/>
      <c r="BX62" s="134"/>
    </row>
    <row r="63" spans="1:76" ht="26.25" customHeight="1">
      <c r="A63" s="454" t="s">
        <v>14</v>
      </c>
      <c r="B63" s="454" t="s">
        <v>2051</v>
      </c>
      <c r="C63" s="454"/>
      <c r="D63" s="454"/>
      <c r="E63" s="454"/>
      <c r="F63" s="454"/>
      <c r="G63" s="454"/>
      <c r="H63" s="454"/>
      <c r="I63" s="418"/>
      <c r="J63" s="418"/>
      <c r="K63" s="454"/>
      <c r="L63" s="454"/>
      <c r="M63" s="207">
        <f>M64</f>
        <v>13478.580840000001</v>
      </c>
      <c r="N63" s="207">
        <f t="shared" ref="N63:BX63" si="14">N64</f>
        <v>0</v>
      </c>
      <c r="O63" s="207">
        <f t="shared" si="14"/>
        <v>0</v>
      </c>
      <c r="P63" s="207">
        <f t="shared" si="14"/>
        <v>13478.580840000001</v>
      </c>
      <c r="Q63" s="207">
        <f t="shared" si="14"/>
        <v>0</v>
      </c>
      <c r="R63" s="207">
        <f t="shared" si="14"/>
        <v>0</v>
      </c>
      <c r="S63" s="207">
        <f t="shared" si="14"/>
        <v>0</v>
      </c>
      <c r="T63" s="207">
        <f t="shared" si="14"/>
        <v>0</v>
      </c>
      <c r="U63" s="207">
        <f t="shared" si="14"/>
        <v>0</v>
      </c>
      <c r="V63" s="207">
        <f t="shared" si="14"/>
        <v>0</v>
      </c>
      <c r="W63" s="207">
        <f t="shared" si="14"/>
        <v>0</v>
      </c>
      <c r="X63" s="207">
        <f t="shared" si="14"/>
        <v>0</v>
      </c>
      <c r="Y63" s="207">
        <f t="shared" si="14"/>
        <v>10822.063</v>
      </c>
      <c r="Z63" s="207">
        <f t="shared" si="14"/>
        <v>0</v>
      </c>
      <c r="AA63" s="207">
        <f t="shared" si="14"/>
        <v>0</v>
      </c>
      <c r="AB63" s="207">
        <f t="shared" si="14"/>
        <v>10822.063</v>
      </c>
      <c r="AC63" s="207">
        <f t="shared" si="14"/>
        <v>3750</v>
      </c>
      <c r="AD63" s="207">
        <f t="shared" si="14"/>
        <v>0</v>
      </c>
      <c r="AE63" s="207">
        <f t="shared" si="14"/>
        <v>7072.0630000000001</v>
      </c>
      <c r="AF63" s="207">
        <f t="shared" si="14"/>
        <v>9097.0630000000001</v>
      </c>
      <c r="AG63" s="207">
        <f t="shared" si="14"/>
        <v>0</v>
      </c>
      <c r="AH63" s="207">
        <f t="shared" si="14"/>
        <v>0</v>
      </c>
      <c r="AI63" s="207">
        <f t="shared" si="14"/>
        <v>9097.0630000000001</v>
      </c>
      <c r="AJ63" s="207">
        <f t="shared" si="14"/>
        <v>2025</v>
      </c>
      <c r="AK63" s="207">
        <f t="shared" si="14"/>
        <v>0</v>
      </c>
      <c r="AL63" s="207">
        <f t="shared" si="14"/>
        <v>7072.0630000000001</v>
      </c>
      <c r="AM63" s="207">
        <f t="shared" si="14"/>
        <v>8922.3444400000008</v>
      </c>
      <c r="AN63" s="207">
        <f t="shared" si="14"/>
        <v>0</v>
      </c>
      <c r="AO63" s="207">
        <f t="shared" si="14"/>
        <v>0</v>
      </c>
      <c r="AP63" s="207">
        <f t="shared" si="14"/>
        <v>8922.3444400000008</v>
      </c>
      <c r="AQ63" s="207">
        <f t="shared" si="14"/>
        <v>1999.0300000000002</v>
      </c>
      <c r="AR63" s="207">
        <f t="shared" si="14"/>
        <v>0</v>
      </c>
      <c r="AS63" s="207">
        <f t="shared" si="14"/>
        <v>6923.3144400000001</v>
      </c>
      <c r="AT63" s="207">
        <f t="shared" si="14"/>
        <v>1725</v>
      </c>
      <c r="AU63" s="207">
        <f t="shared" si="14"/>
        <v>0</v>
      </c>
      <c r="AV63" s="207">
        <f t="shared" si="14"/>
        <v>0</v>
      </c>
      <c r="AW63" s="207">
        <f t="shared" si="14"/>
        <v>1725</v>
      </c>
      <c r="AX63" s="207">
        <f t="shared" si="14"/>
        <v>1725</v>
      </c>
      <c r="AY63" s="207">
        <f t="shared" si="14"/>
        <v>0</v>
      </c>
      <c r="AZ63" s="207">
        <f t="shared" si="14"/>
        <v>0</v>
      </c>
      <c r="BA63" s="207">
        <f t="shared" si="14"/>
        <v>1615.692</v>
      </c>
      <c r="BB63" s="207">
        <f t="shared" si="14"/>
        <v>0</v>
      </c>
      <c r="BC63" s="207">
        <f t="shared" si="14"/>
        <v>0</v>
      </c>
      <c r="BD63" s="207">
        <f t="shared" si="14"/>
        <v>1615.692</v>
      </c>
      <c r="BE63" s="207">
        <f t="shared" si="14"/>
        <v>1615.692</v>
      </c>
      <c r="BF63" s="207">
        <f t="shared" si="14"/>
        <v>1615.692</v>
      </c>
      <c r="BG63" s="207">
        <f t="shared" si="14"/>
        <v>0</v>
      </c>
      <c r="BH63" s="207">
        <f t="shared" si="14"/>
        <v>0</v>
      </c>
      <c r="BI63" s="207">
        <f t="shared" si="14"/>
        <v>0</v>
      </c>
      <c r="BJ63" s="207">
        <f t="shared" si="14"/>
        <v>10.6</v>
      </c>
      <c r="BK63" s="207">
        <f t="shared" si="14"/>
        <v>0</v>
      </c>
      <c r="BL63" s="207">
        <f t="shared" si="14"/>
        <v>0</v>
      </c>
      <c r="BM63" s="207">
        <f t="shared" si="14"/>
        <v>10.6</v>
      </c>
      <c r="BN63" s="207">
        <f t="shared" si="14"/>
        <v>10.6</v>
      </c>
      <c r="BO63" s="207">
        <f t="shared" si="14"/>
        <v>0</v>
      </c>
      <c r="BP63" s="207">
        <f t="shared" si="14"/>
        <v>0</v>
      </c>
      <c r="BQ63" s="207">
        <f t="shared" si="14"/>
        <v>10.6</v>
      </c>
      <c r="BR63" s="207">
        <f t="shared" si="14"/>
        <v>0</v>
      </c>
      <c r="BS63" s="207">
        <f t="shared" si="14"/>
        <v>0</v>
      </c>
      <c r="BT63" s="207">
        <f t="shared" si="14"/>
        <v>0</v>
      </c>
      <c r="BU63" s="207">
        <f t="shared" si="14"/>
        <v>0</v>
      </c>
      <c r="BV63" s="207">
        <f t="shared" si="14"/>
        <v>0</v>
      </c>
      <c r="BW63" s="207"/>
      <c r="BX63" s="207">
        <f t="shared" si="14"/>
        <v>0</v>
      </c>
    </row>
    <row r="64" spans="1:76" ht="36" customHeight="1" outlineLevel="1">
      <c r="A64" s="553" t="s">
        <v>45</v>
      </c>
      <c r="B64" s="612" t="s">
        <v>51</v>
      </c>
      <c r="C64" s="454"/>
      <c r="D64" s="454"/>
      <c r="E64" s="454"/>
      <c r="F64" s="454"/>
      <c r="G64" s="454"/>
      <c r="H64" s="454"/>
      <c r="I64" s="418"/>
      <c r="J64" s="418"/>
      <c r="K64" s="454"/>
      <c r="L64" s="454"/>
      <c r="M64" s="207">
        <f>SUM(M65:M72)</f>
        <v>13478.580840000001</v>
      </c>
      <c r="N64" s="207">
        <f t="shared" ref="N64:BX64" si="15">SUM(N65:N72)</f>
        <v>0</v>
      </c>
      <c r="O64" s="207">
        <f t="shared" si="15"/>
        <v>0</v>
      </c>
      <c r="P64" s="207">
        <f t="shared" si="15"/>
        <v>13478.580840000001</v>
      </c>
      <c r="Q64" s="207">
        <f t="shared" si="15"/>
        <v>0</v>
      </c>
      <c r="R64" s="207">
        <f t="shared" si="15"/>
        <v>0</v>
      </c>
      <c r="S64" s="207">
        <f t="shared" si="15"/>
        <v>0</v>
      </c>
      <c r="T64" s="207">
        <f t="shared" si="15"/>
        <v>0</v>
      </c>
      <c r="U64" s="207">
        <f t="shared" si="15"/>
        <v>0</v>
      </c>
      <c r="V64" s="207">
        <f t="shared" si="15"/>
        <v>0</v>
      </c>
      <c r="W64" s="207">
        <f t="shared" si="15"/>
        <v>0</v>
      </c>
      <c r="X64" s="207">
        <f t="shared" si="15"/>
        <v>0</v>
      </c>
      <c r="Y64" s="207">
        <f t="shared" si="15"/>
        <v>10822.063</v>
      </c>
      <c r="Z64" s="207">
        <f t="shared" si="15"/>
        <v>0</v>
      </c>
      <c r="AA64" s="207">
        <f t="shared" si="15"/>
        <v>0</v>
      </c>
      <c r="AB64" s="207">
        <f t="shared" si="15"/>
        <v>10822.063</v>
      </c>
      <c r="AC64" s="207">
        <f t="shared" si="15"/>
        <v>3750</v>
      </c>
      <c r="AD64" s="207">
        <f t="shared" si="15"/>
        <v>0</v>
      </c>
      <c r="AE64" s="207">
        <f t="shared" si="15"/>
        <v>7072.0630000000001</v>
      </c>
      <c r="AF64" s="207">
        <f t="shared" si="15"/>
        <v>9097.0630000000001</v>
      </c>
      <c r="AG64" s="207">
        <f t="shared" si="15"/>
        <v>0</v>
      </c>
      <c r="AH64" s="207">
        <f t="shared" si="15"/>
        <v>0</v>
      </c>
      <c r="AI64" s="207">
        <f t="shared" si="15"/>
        <v>9097.0630000000001</v>
      </c>
      <c r="AJ64" s="207">
        <f t="shared" si="15"/>
        <v>2025</v>
      </c>
      <c r="AK64" s="207">
        <f t="shared" si="15"/>
        <v>0</v>
      </c>
      <c r="AL64" s="207">
        <f t="shared" si="15"/>
        <v>7072.0630000000001</v>
      </c>
      <c r="AM64" s="207">
        <f t="shared" si="15"/>
        <v>8922.3444400000008</v>
      </c>
      <c r="AN64" s="207">
        <f t="shared" si="15"/>
        <v>0</v>
      </c>
      <c r="AO64" s="207">
        <f t="shared" si="15"/>
        <v>0</v>
      </c>
      <c r="AP64" s="207">
        <f t="shared" si="15"/>
        <v>8922.3444400000008</v>
      </c>
      <c r="AQ64" s="207">
        <f t="shared" si="15"/>
        <v>1999.0300000000002</v>
      </c>
      <c r="AR64" s="207">
        <f t="shared" si="15"/>
        <v>0</v>
      </c>
      <c r="AS64" s="207">
        <f t="shared" si="15"/>
        <v>6923.3144400000001</v>
      </c>
      <c r="AT64" s="207">
        <f t="shared" si="15"/>
        <v>1725</v>
      </c>
      <c r="AU64" s="207">
        <f t="shared" si="15"/>
        <v>0</v>
      </c>
      <c r="AV64" s="207">
        <f t="shared" si="15"/>
        <v>0</v>
      </c>
      <c r="AW64" s="207">
        <f t="shared" si="15"/>
        <v>1725</v>
      </c>
      <c r="AX64" s="207">
        <f t="shared" si="15"/>
        <v>1725</v>
      </c>
      <c r="AY64" s="207">
        <f t="shared" si="15"/>
        <v>0</v>
      </c>
      <c r="AZ64" s="207">
        <f t="shared" si="15"/>
        <v>0</v>
      </c>
      <c r="BA64" s="207">
        <f t="shared" si="15"/>
        <v>1615.692</v>
      </c>
      <c r="BB64" s="207">
        <f t="shared" si="15"/>
        <v>0</v>
      </c>
      <c r="BC64" s="207">
        <f t="shared" si="15"/>
        <v>0</v>
      </c>
      <c r="BD64" s="207">
        <f t="shared" si="15"/>
        <v>1615.692</v>
      </c>
      <c r="BE64" s="207">
        <f t="shared" si="15"/>
        <v>1615.692</v>
      </c>
      <c r="BF64" s="207">
        <f t="shared" si="15"/>
        <v>1615.692</v>
      </c>
      <c r="BG64" s="207">
        <f t="shared" si="15"/>
        <v>0</v>
      </c>
      <c r="BH64" s="207">
        <f t="shared" si="15"/>
        <v>0</v>
      </c>
      <c r="BI64" s="207">
        <f t="shared" si="15"/>
        <v>0</v>
      </c>
      <c r="BJ64" s="207">
        <f t="shared" si="15"/>
        <v>10.6</v>
      </c>
      <c r="BK64" s="207">
        <f t="shared" si="15"/>
        <v>0</v>
      </c>
      <c r="BL64" s="207">
        <f t="shared" si="15"/>
        <v>0</v>
      </c>
      <c r="BM64" s="207">
        <f t="shared" si="15"/>
        <v>10.6</v>
      </c>
      <c r="BN64" s="207">
        <f t="shared" si="15"/>
        <v>10.6</v>
      </c>
      <c r="BO64" s="207">
        <f t="shared" si="15"/>
        <v>0</v>
      </c>
      <c r="BP64" s="207">
        <f t="shared" si="15"/>
        <v>0</v>
      </c>
      <c r="BQ64" s="207">
        <f t="shared" si="15"/>
        <v>10.6</v>
      </c>
      <c r="BR64" s="207">
        <f t="shared" si="15"/>
        <v>0</v>
      </c>
      <c r="BS64" s="207">
        <f t="shared" si="15"/>
        <v>0</v>
      </c>
      <c r="BT64" s="207">
        <f t="shared" si="15"/>
        <v>0</v>
      </c>
      <c r="BU64" s="207">
        <f t="shared" si="15"/>
        <v>0</v>
      </c>
      <c r="BV64" s="207">
        <f t="shared" si="15"/>
        <v>0</v>
      </c>
      <c r="BW64" s="207"/>
      <c r="BX64" s="207">
        <f t="shared" si="15"/>
        <v>0</v>
      </c>
    </row>
    <row r="65" spans="1:76" ht="61.5" outlineLevel="1">
      <c r="A65" s="434">
        <v>1</v>
      </c>
      <c r="B65" s="611" t="s">
        <v>2052</v>
      </c>
      <c r="C65" s="434" t="s">
        <v>1912</v>
      </c>
      <c r="D65" s="434" t="s">
        <v>2053</v>
      </c>
      <c r="E65" s="434" t="s">
        <v>49</v>
      </c>
      <c r="F65" s="434" t="s">
        <v>2054</v>
      </c>
      <c r="G65" s="434"/>
      <c r="H65" s="434"/>
      <c r="I65" s="420" t="s">
        <v>84</v>
      </c>
      <c r="J65" s="420">
        <v>2024</v>
      </c>
      <c r="K65" s="434" t="s">
        <v>2055</v>
      </c>
      <c r="L65" s="434" t="s">
        <v>2056</v>
      </c>
      <c r="M65" s="133">
        <v>1250</v>
      </c>
      <c r="N65" s="133"/>
      <c r="O65" s="133"/>
      <c r="P65" s="133">
        <v>1250</v>
      </c>
      <c r="Q65" s="133"/>
      <c r="R65" s="133" t="s">
        <v>2054</v>
      </c>
      <c r="S65" s="133" t="s">
        <v>2051</v>
      </c>
      <c r="T65" s="133" t="s">
        <v>2053</v>
      </c>
      <c r="U65" s="133"/>
      <c r="V65" s="133"/>
      <c r="W65" s="133"/>
      <c r="X65" s="133"/>
      <c r="Y65" s="133">
        <f t="shared" si="5"/>
        <v>1250</v>
      </c>
      <c r="Z65" s="133"/>
      <c r="AA65" s="133"/>
      <c r="AB65" s="133">
        <f t="shared" si="6"/>
        <v>1250</v>
      </c>
      <c r="AC65" s="133">
        <v>1250</v>
      </c>
      <c r="AD65" s="133"/>
      <c r="AE65" s="133"/>
      <c r="AF65" s="133">
        <f t="shared" si="7"/>
        <v>310</v>
      </c>
      <c r="AG65" s="133"/>
      <c r="AH65" s="133"/>
      <c r="AI65" s="133">
        <f t="shared" si="8"/>
        <v>310</v>
      </c>
      <c r="AJ65" s="133">
        <v>310</v>
      </c>
      <c r="AK65" s="133">
        <v>0</v>
      </c>
      <c r="AL65" s="133">
        <v>0</v>
      </c>
      <c r="AM65" s="133">
        <v>310</v>
      </c>
      <c r="AN65" s="133"/>
      <c r="AO65" s="133"/>
      <c r="AP65" s="133">
        <v>310</v>
      </c>
      <c r="AQ65" s="133">
        <v>310</v>
      </c>
      <c r="AR65" s="133">
        <v>0</v>
      </c>
      <c r="AS65" s="133">
        <v>0</v>
      </c>
      <c r="AT65" s="133">
        <f t="shared" si="9"/>
        <v>940</v>
      </c>
      <c r="AU65" s="133"/>
      <c r="AV65" s="133"/>
      <c r="AW65" s="133">
        <f t="shared" si="10"/>
        <v>940</v>
      </c>
      <c r="AX65" s="133">
        <v>940</v>
      </c>
      <c r="AY65" s="133"/>
      <c r="AZ65" s="133"/>
      <c r="BA65" s="134">
        <v>897.23599999999999</v>
      </c>
      <c r="BB65" s="134"/>
      <c r="BC65" s="134"/>
      <c r="BD65" s="134">
        <v>897.23599999999999</v>
      </c>
      <c r="BE65" s="134">
        <v>897.23599999999999</v>
      </c>
      <c r="BF65" s="134">
        <v>897.23599999999999</v>
      </c>
      <c r="BG65" s="134"/>
      <c r="BH65" s="134"/>
      <c r="BI65" s="134"/>
      <c r="BJ65" s="134">
        <v>0</v>
      </c>
      <c r="BK65" s="134"/>
      <c r="BL65" s="134"/>
      <c r="BM65" s="134"/>
      <c r="BN65" s="134">
        <v>0</v>
      </c>
      <c r="BO65" s="134"/>
      <c r="BP65" s="134"/>
      <c r="BQ65" s="134"/>
      <c r="BR65" s="133"/>
      <c r="BS65" s="133"/>
      <c r="BT65" s="133"/>
      <c r="BU65" s="134"/>
      <c r="BV65" s="134"/>
      <c r="BW65" s="134"/>
      <c r="BX65" s="134"/>
    </row>
    <row r="66" spans="1:76" ht="46.15" outlineLevel="1">
      <c r="A66" s="434">
        <v>2</v>
      </c>
      <c r="B66" s="611" t="s">
        <v>2057</v>
      </c>
      <c r="C66" s="434" t="s">
        <v>1912</v>
      </c>
      <c r="D66" s="434" t="s">
        <v>2053</v>
      </c>
      <c r="E66" s="434" t="s">
        <v>49</v>
      </c>
      <c r="F66" s="434" t="s">
        <v>2051</v>
      </c>
      <c r="G66" s="434"/>
      <c r="H66" s="434"/>
      <c r="I66" s="420" t="s">
        <v>84</v>
      </c>
      <c r="J66" s="420">
        <v>2024</v>
      </c>
      <c r="K66" s="434" t="s">
        <v>2058</v>
      </c>
      <c r="L66" s="434" t="s">
        <v>2059</v>
      </c>
      <c r="M66" s="133">
        <v>1250</v>
      </c>
      <c r="N66" s="133"/>
      <c r="O66" s="133"/>
      <c r="P66" s="133">
        <v>1250</v>
      </c>
      <c r="Q66" s="133"/>
      <c r="R66" s="133" t="s">
        <v>2051</v>
      </c>
      <c r="S66" s="133" t="s">
        <v>2051</v>
      </c>
      <c r="T66" s="133" t="s">
        <v>2053</v>
      </c>
      <c r="U66" s="133"/>
      <c r="V66" s="133"/>
      <c r="W66" s="133"/>
      <c r="X66" s="133"/>
      <c r="Y66" s="133">
        <f t="shared" si="5"/>
        <v>1250</v>
      </c>
      <c r="Z66" s="133"/>
      <c r="AA66" s="133"/>
      <c r="AB66" s="133">
        <f t="shared" si="6"/>
        <v>1250</v>
      </c>
      <c r="AC66" s="133">
        <v>1250</v>
      </c>
      <c r="AD66" s="133"/>
      <c r="AE66" s="133"/>
      <c r="AF66" s="133">
        <f t="shared" si="7"/>
        <v>498</v>
      </c>
      <c r="AG66" s="133"/>
      <c r="AH66" s="133"/>
      <c r="AI66" s="133">
        <f t="shared" si="8"/>
        <v>498</v>
      </c>
      <c r="AJ66" s="133">
        <v>498</v>
      </c>
      <c r="AK66" s="133">
        <v>0</v>
      </c>
      <c r="AL66" s="133">
        <v>0</v>
      </c>
      <c r="AM66" s="133">
        <v>487.4</v>
      </c>
      <c r="AN66" s="133"/>
      <c r="AO66" s="133"/>
      <c r="AP66" s="133">
        <v>487.4</v>
      </c>
      <c r="AQ66" s="133">
        <v>487.4</v>
      </c>
      <c r="AR66" s="133">
        <v>0</v>
      </c>
      <c r="AS66" s="133">
        <v>0</v>
      </c>
      <c r="AT66" s="133">
        <f t="shared" si="9"/>
        <v>752</v>
      </c>
      <c r="AU66" s="133"/>
      <c r="AV66" s="133"/>
      <c r="AW66" s="133">
        <f t="shared" si="10"/>
        <v>752</v>
      </c>
      <c r="AX66" s="133">
        <v>752</v>
      </c>
      <c r="AY66" s="133"/>
      <c r="AZ66" s="133"/>
      <c r="BA66" s="134">
        <v>718.45600000000002</v>
      </c>
      <c r="BB66" s="134"/>
      <c r="BC66" s="134"/>
      <c r="BD66" s="134">
        <v>718.45600000000002</v>
      </c>
      <c r="BE66" s="134">
        <v>718.45600000000002</v>
      </c>
      <c r="BF66" s="134">
        <v>718.45600000000002</v>
      </c>
      <c r="BG66" s="134"/>
      <c r="BH66" s="134"/>
      <c r="BI66" s="134"/>
      <c r="BJ66" s="134">
        <v>10.6</v>
      </c>
      <c r="BK66" s="134"/>
      <c r="BL66" s="134"/>
      <c r="BM66" s="134">
        <v>10.6</v>
      </c>
      <c r="BN66" s="134">
        <v>10.6</v>
      </c>
      <c r="BO66" s="134"/>
      <c r="BP66" s="134"/>
      <c r="BQ66" s="134">
        <v>10.6</v>
      </c>
      <c r="BR66" s="133"/>
      <c r="BS66" s="133"/>
      <c r="BT66" s="133"/>
      <c r="BU66" s="134"/>
      <c r="BV66" s="134"/>
      <c r="BW66" s="134"/>
      <c r="BX66" s="134"/>
    </row>
    <row r="67" spans="1:76" ht="46.15" outlineLevel="1">
      <c r="A67" s="434">
        <v>3</v>
      </c>
      <c r="B67" s="611" t="s">
        <v>2060</v>
      </c>
      <c r="C67" s="434" t="s">
        <v>1912</v>
      </c>
      <c r="D67" s="434" t="s">
        <v>2053</v>
      </c>
      <c r="E67" s="434" t="s">
        <v>49</v>
      </c>
      <c r="F67" s="434" t="s">
        <v>2061</v>
      </c>
      <c r="G67" s="434"/>
      <c r="H67" s="434"/>
      <c r="I67" s="420">
        <v>2024</v>
      </c>
      <c r="J67" s="420">
        <v>2024</v>
      </c>
      <c r="K67" s="434" t="s">
        <v>2062</v>
      </c>
      <c r="L67" s="434" t="s">
        <v>2063</v>
      </c>
      <c r="M67" s="133">
        <v>1250</v>
      </c>
      <c r="N67" s="133"/>
      <c r="O67" s="133"/>
      <c r="P67" s="133">
        <v>1250</v>
      </c>
      <c r="Q67" s="133"/>
      <c r="R67" s="133" t="s">
        <v>2061</v>
      </c>
      <c r="S67" s="133" t="s">
        <v>2051</v>
      </c>
      <c r="T67" s="133" t="s">
        <v>2053</v>
      </c>
      <c r="U67" s="133"/>
      <c r="V67" s="133"/>
      <c r="W67" s="133"/>
      <c r="X67" s="133"/>
      <c r="Y67" s="133">
        <f t="shared" si="5"/>
        <v>1250</v>
      </c>
      <c r="Z67" s="133"/>
      <c r="AA67" s="133"/>
      <c r="AB67" s="133">
        <f t="shared" si="6"/>
        <v>1250</v>
      </c>
      <c r="AC67" s="133">
        <v>1250</v>
      </c>
      <c r="AD67" s="133"/>
      <c r="AE67" s="133"/>
      <c r="AF67" s="133">
        <f t="shared" si="7"/>
        <v>1217</v>
      </c>
      <c r="AG67" s="133"/>
      <c r="AH67" s="133"/>
      <c r="AI67" s="133">
        <f t="shared" si="8"/>
        <v>1217</v>
      </c>
      <c r="AJ67" s="133">
        <v>1217</v>
      </c>
      <c r="AK67" s="133">
        <v>0</v>
      </c>
      <c r="AL67" s="133">
        <v>0</v>
      </c>
      <c r="AM67" s="133">
        <v>1201.6300000000001</v>
      </c>
      <c r="AN67" s="133"/>
      <c r="AO67" s="133"/>
      <c r="AP67" s="133">
        <v>1201.6300000000001</v>
      </c>
      <c r="AQ67" s="133">
        <v>1201.6300000000001</v>
      </c>
      <c r="AR67" s="133">
        <v>0</v>
      </c>
      <c r="AS67" s="133">
        <v>0</v>
      </c>
      <c r="AT67" s="133">
        <f t="shared" si="9"/>
        <v>33</v>
      </c>
      <c r="AU67" s="133"/>
      <c r="AV67" s="133"/>
      <c r="AW67" s="133">
        <f t="shared" si="10"/>
        <v>33</v>
      </c>
      <c r="AX67" s="133">
        <v>33</v>
      </c>
      <c r="AY67" s="133"/>
      <c r="AZ67" s="133"/>
      <c r="BA67" s="134">
        <v>0</v>
      </c>
      <c r="BB67" s="134"/>
      <c r="BC67" s="134"/>
      <c r="BD67" s="134">
        <v>0</v>
      </c>
      <c r="BE67" s="134">
        <v>0</v>
      </c>
      <c r="BF67" s="134"/>
      <c r="BG67" s="134"/>
      <c r="BH67" s="134"/>
      <c r="BI67" s="134"/>
      <c r="BJ67" s="134">
        <v>0</v>
      </c>
      <c r="BK67" s="134"/>
      <c r="BL67" s="134"/>
      <c r="BM67" s="134"/>
      <c r="BN67" s="134">
        <v>0</v>
      </c>
      <c r="BO67" s="134"/>
      <c r="BP67" s="134"/>
      <c r="BQ67" s="134"/>
      <c r="BR67" s="133"/>
      <c r="BS67" s="133"/>
      <c r="BT67" s="133"/>
      <c r="BU67" s="134"/>
      <c r="BV67" s="134"/>
      <c r="BW67" s="134"/>
      <c r="BX67" s="134"/>
    </row>
    <row r="68" spans="1:76" ht="138.4" outlineLevel="1">
      <c r="A68" s="434">
        <v>4</v>
      </c>
      <c r="B68" s="611" t="s">
        <v>2064</v>
      </c>
      <c r="C68" s="434" t="s">
        <v>2043</v>
      </c>
      <c r="D68" s="434" t="s">
        <v>2053</v>
      </c>
      <c r="E68" s="434" t="s">
        <v>49</v>
      </c>
      <c r="F68" s="434" t="s">
        <v>2065</v>
      </c>
      <c r="G68" s="434"/>
      <c r="H68" s="434"/>
      <c r="I68" s="420">
        <v>2022</v>
      </c>
      <c r="J68" s="420">
        <v>2022</v>
      </c>
      <c r="K68" s="434" t="s">
        <v>2066</v>
      </c>
      <c r="L68" s="434" t="s">
        <v>2067</v>
      </c>
      <c r="M68" s="133">
        <v>4680.5178400000004</v>
      </c>
      <c r="N68" s="133"/>
      <c r="O68" s="133"/>
      <c r="P68" s="133">
        <v>4680.5178400000004</v>
      </c>
      <c r="Q68" s="133"/>
      <c r="R68" s="133" t="s">
        <v>2065</v>
      </c>
      <c r="S68" s="133" t="s">
        <v>2068</v>
      </c>
      <c r="T68" s="133" t="s">
        <v>2053</v>
      </c>
      <c r="U68" s="133"/>
      <c r="V68" s="133"/>
      <c r="W68" s="133"/>
      <c r="X68" s="133"/>
      <c r="Y68" s="133">
        <f t="shared" si="5"/>
        <v>2102</v>
      </c>
      <c r="Z68" s="133"/>
      <c r="AA68" s="133"/>
      <c r="AB68" s="133">
        <f t="shared" si="6"/>
        <v>2102</v>
      </c>
      <c r="AC68" s="133">
        <v>0</v>
      </c>
      <c r="AD68" s="133"/>
      <c r="AE68" s="133">
        <v>2102</v>
      </c>
      <c r="AF68" s="133">
        <f t="shared" si="7"/>
        <v>2102</v>
      </c>
      <c r="AG68" s="133"/>
      <c r="AH68" s="133"/>
      <c r="AI68" s="133">
        <f t="shared" si="8"/>
        <v>2102</v>
      </c>
      <c r="AJ68" s="133">
        <v>0</v>
      </c>
      <c r="AK68" s="133">
        <v>0</v>
      </c>
      <c r="AL68" s="133">
        <v>2102</v>
      </c>
      <c r="AM68" s="133">
        <v>1976.4684399999999</v>
      </c>
      <c r="AN68" s="133"/>
      <c r="AO68" s="133"/>
      <c r="AP68" s="133">
        <v>1976.4684399999999</v>
      </c>
      <c r="AQ68" s="133">
        <v>0</v>
      </c>
      <c r="AR68" s="133">
        <v>0</v>
      </c>
      <c r="AS68" s="133">
        <v>1976.4684399999999</v>
      </c>
      <c r="AT68" s="133">
        <f t="shared" si="9"/>
        <v>0</v>
      </c>
      <c r="AU68" s="133"/>
      <c r="AV68" s="133"/>
      <c r="AW68" s="133">
        <f t="shared" si="10"/>
        <v>0</v>
      </c>
      <c r="AX68" s="133">
        <v>0</v>
      </c>
      <c r="AY68" s="133"/>
      <c r="AZ68" s="133"/>
      <c r="BA68" s="134">
        <v>0</v>
      </c>
      <c r="BB68" s="134"/>
      <c r="BC68" s="134"/>
      <c r="BD68" s="134">
        <v>0</v>
      </c>
      <c r="BE68" s="134">
        <v>0</v>
      </c>
      <c r="BF68" s="134"/>
      <c r="BG68" s="134"/>
      <c r="BH68" s="134"/>
      <c r="BI68" s="134"/>
      <c r="BJ68" s="134">
        <v>0</v>
      </c>
      <c r="BK68" s="134"/>
      <c r="BL68" s="134"/>
      <c r="BM68" s="134"/>
      <c r="BN68" s="134">
        <v>0</v>
      </c>
      <c r="BO68" s="134"/>
      <c r="BP68" s="134"/>
      <c r="BQ68" s="134"/>
      <c r="BR68" s="133"/>
      <c r="BS68" s="133"/>
      <c r="BT68" s="133"/>
      <c r="BU68" s="134"/>
      <c r="BV68" s="134"/>
      <c r="BW68" s="134"/>
      <c r="BX68" s="134"/>
    </row>
    <row r="69" spans="1:76" ht="46.15" outlineLevel="1">
      <c r="A69" s="434">
        <v>5</v>
      </c>
      <c r="B69" s="611" t="s">
        <v>2069</v>
      </c>
      <c r="C69" s="434" t="s">
        <v>1912</v>
      </c>
      <c r="D69" s="434" t="s">
        <v>2053</v>
      </c>
      <c r="E69" s="434" t="s">
        <v>49</v>
      </c>
      <c r="F69" s="434" t="s">
        <v>2061</v>
      </c>
      <c r="G69" s="434"/>
      <c r="H69" s="434"/>
      <c r="I69" s="420">
        <v>2022</v>
      </c>
      <c r="J69" s="420">
        <v>2022</v>
      </c>
      <c r="K69" s="434" t="s">
        <v>2070</v>
      </c>
      <c r="L69" s="434" t="s">
        <v>2071</v>
      </c>
      <c r="M69" s="133">
        <v>500</v>
      </c>
      <c r="N69" s="133"/>
      <c r="O69" s="133"/>
      <c r="P69" s="133">
        <v>500</v>
      </c>
      <c r="Q69" s="133"/>
      <c r="R69" s="133" t="s">
        <v>2061</v>
      </c>
      <c r="S69" s="133" t="s">
        <v>2051</v>
      </c>
      <c r="T69" s="133" t="s">
        <v>2053</v>
      </c>
      <c r="U69" s="133"/>
      <c r="V69" s="133"/>
      <c r="W69" s="133"/>
      <c r="X69" s="133"/>
      <c r="Y69" s="133">
        <f t="shared" si="5"/>
        <v>500</v>
      </c>
      <c r="Z69" s="133"/>
      <c r="AA69" s="133"/>
      <c r="AB69" s="133">
        <f t="shared" si="6"/>
        <v>500</v>
      </c>
      <c r="AC69" s="133">
        <v>0</v>
      </c>
      <c r="AD69" s="133"/>
      <c r="AE69" s="133">
        <v>500</v>
      </c>
      <c r="AF69" s="133">
        <f t="shared" si="7"/>
        <v>500</v>
      </c>
      <c r="AG69" s="133"/>
      <c r="AH69" s="133"/>
      <c r="AI69" s="133">
        <f t="shared" si="8"/>
        <v>500</v>
      </c>
      <c r="AJ69" s="133">
        <v>0</v>
      </c>
      <c r="AK69" s="133">
        <v>0</v>
      </c>
      <c r="AL69" s="133">
        <v>500</v>
      </c>
      <c r="AM69" s="133">
        <v>491.101</v>
      </c>
      <c r="AN69" s="133"/>
      <c r="AO69" s="133"/>
      <c r="AP69" s="133">
        <v>491.101</v>
      </c>
      <c r="AQ69" s="133">
        <v>0</v>
      </c>
      <c r="AR69" s="133">
        <v>0</v>
      </c>
      <c r="AS69" s="133">
        <v>491.101</v>
      </c>
      <c r="AT69" s="133">
        <f t="shared" si="9"/>
        <v>0</v>
      </c>
      <c r="AU69" s="133"/>
      <c r="AV69" s="133"/>
      <c r="AW69" s="133">
        <f t="shared" si="10"/>
        <v>0</v>
      </c>
      <c r="AX69" s="133">
        <v>0</v>
      </c>
      <c r="AY69" s="133"/>
      <c r="AZ69" s="133"/>
      <c r="BA69" s="134">
        <v>0</v>
      </c>
      <c r="BB69" s="134"/>
      <c r="BC69" s="134"/>
      <c r="BD69" s="134">
        <v>0</v>
      </c>
      <c r="BE69" s="134">
        <v>0</v>
      </c>
      <c r="BF69" s="134"/>
      <c r="BG69" s="134"/>
      <c r="BH69" s="134"/>
      <c r="BI69" s="134"/>
      <c r="BJ69" s="134">
        <v>0</v>
      </c>
      <c r="BK69" s="134"/>
      <c r="BL69" s="134"/>
      <c r="BM69" s="134"/>
      <c r="BN69" s="134">
        <v>0</v>
      </c>
      <c r="BO69" s="134"/>
      <c r="BP69" s="134"/>
      <c r="BQ69" s="134"/>
      <c r="BR69" s="133"/>
      <c r="BS69" s="133"/>
      <c r="BT69" s="133"/>
      <c r="BU69" s="134"/>
      <c r="BV69" s="134"/>
      <c r="BW69" s="134"/>
      <c r="BX69" s="134"/>
    </row>
    <row r="70" spans="1:76" ht="30.75" outlineLevel="1">
      <c r="A70" s="434">
        <v>6</v>
      </c>
      <c r="B70" s="611" t="s">
        <v>2072</v>
      </c>
      <c r="C70" s="434" t="s">
        <v>2053</v>
      </c>
      <c r="D70" s="434" t="s">
        <v>2053</v>
      </c>
      <c r="E70" s="434" t="s">
        <v>49</v>
      </c>
      <c r="F70" s="434" t="s">
        <v>2051</v>
      </c>
      <c r="G70" s="434"/>
      <c r="H70" s="434"/>
      <c r="I70" s="420" t="s">
        <v>76</v>
      </c>
      <c r="J70" s="420">
        <v>2022</v>
      </c>
      <c r="K70" s="434" t="s">
        <v>2073</v>
      </c>
      <c r="L70" s="434" t="s">
        <v>2074</v>
      </c>
      <c r="M70" s="133">
        <v>1400</v>
      </c>
      <c r="N70" s="133"/>
      <c r="O70" s="133"/>
      <c r="P70" s="133">
        <v>1400</v>
      </c>
      <c r="Q70" s="133"/>
      <c r="R70" s="133" t="s">
        <v>2051</v>
      </c>
      <c r="S70" s="133" t="s">
        <v>2051</v>
      </c>
      <c r="T70" s="133" t="s">
        <v>2053</v>
      </c>
      <c r="U70" s="133"/>
      <c r="V70" s="133"/>
      <c r="W70" s="133"/>
      <c r="X70" s="133"/>
      <c r="Y70" s="133">
        <f t="shared" si="5"/>
        <v>1322</v>
      </c>
      <c r="Z70" s="133"/>
      <c r="AA70" s="133"/>
      <c r="AB70" s="133">
        <f t="shared" si="6"/>
        <v>1322</v>
      </c>
      <c r="AC70" s="133">
        <v>0</v>
      </c>
      <c r="AD70" s="133"/>
      <c r="AE70" s="133">
        <v>1322</v>
      </c>
      <c r="AF70" s="133">
        <f t="shared" si="7"/>
        <v>1322</v>
      </c>
      <c r="AG70" s="133"/>
      <c r="AH70" s="133"/>
      <c r="AI70" s="133">
        <f t="shared" si="8"/>
        <v>1322</v>
      </c>
      <c r="AJ70" s="133">
        <v>0</v>
      </c>
      <c r="AK70" s="133">
        <v>0</v>
      </c>
      <c r="AL70" s="133">
        <v>1322</v>
      </c>
      <c r="AM70" s="133">
        <v>1322</v>
      </c>
      <c r="AN70" s="133"/>
      <c r="AO70" s="133"/>
      <c r="AP70" s="133">
        <v>1322</v>
      </c>
      <c r="AQ70" s="133">
        <v>0</v>
      </c>
      <c r="AR70" s="133">
        <v>0</v>
      </c>
      <c r="AS70" s="133">
        <v>1322</v>
      </c>
      <c r="AT70" s="133">
        <f t="shared" si="9"/>
        <v>0</v>
      </c>
      <c r="AU70" s="133"/>
      <c r="AV70" s="133"/>
      <c r="AW70" s="133">
        <f t="shared" si="10"/>
        <v>0</v>
      </c>
      <c r="AX70" s="133">
        <v>0</v>
      </c>
      <c r="AY70" s="133"/>
      <c r="AZ70" s="133"/>
      <c r="BA70" s="134">
        <v>0</v>
      </c>
      <c r="BB70" s="134"/>
      <c r="BC70" s="134"/>
      <c r="BD70" s="134">
        <v>0</v>
      </c>
      <c r="BE70" s="134">
        <v>0</v>
      </c>
      <c r="BF70" s="134"/>
      <c r="BG70" s="134"/>
      <c r="BH70" s="134"/>
      <c r="BI70" s="134"/>
      <c r="BJ70" s="134">
        <v>0</v>
      </c>
      <c r="BK70" s="134"/>
      <c r="BL70" s="134"/>
      <c r="BM70" s="134"/>
      <c r="BN70" s="134">
        <v>0</v>
      </c>
      <c r="BO70" s="134"/>
      <c r="BP70" s="134"/>
      <c r="BQ70" s="134"/>
      <c r="BR70" s="133"/>
      <c r="BS70" s="133"/>
      <c r="BT70" s="133"/>
      <c r="BU70" s="134"/>
      <c r="BV70" s="134"/>
      <c r="BW70" s="134"/>
      <c r="BX70" s="134"/>
    </row>
    <row r="71" spans="1:76" ht="46.15" outlineLevel="1">
      <c r="A71" s="434">
        <v>7</v>
      </c>
      <c r="B71" s="611" t="s">
        <v>2075</v>
      </c>
      <c r="C71" s="434" t="s">
        <v>1912</v>
      </c>
      <c r="D71" s="434" t="s">
        <v>2053</v>
      </c>
      <c r="E71" s="434" t="s">
        <v>49</v>
      </c>
      <c r="F71" s="434" t="s">
        <v>2051</v>
      </c>
      <c r="G71" s="434"/>
      <c r="H71" s="434"/>
      <c r="I71" s="420">
        <v>2023</v>
      </c>
      <c r="J71" s="420">
        <v>2023</v>
      </c>
      <c r="K71" s="434" t="s">
        <v>2076</v>
      </c>
      <c r="L71" s="434" t="s">
        <v>2077</v>
      </c>
      <c r="M71" s="133">
        <v>500</v>
      </c>
      <c r="N71" s="133"/>
      <c r="O71" s="133"/>
      <c r="P71" s="133">
        <v>500</v>
      </c>
      <c r="Q71" s="133"/>
      <c r="R71" s="133" t="s">
        <v>2051</v>
      </c>
      <c r="S71" s="133" t="s">
        <v>2051</v>
      </c>
      <c r="T71" s="133" t="s">
        <v>2053</v>
      </c>
      <c r="U71" s="133"/>
      <c r="V71" s="133"/>
      <c r="W71" s="133"/>
      <c r="X71" s="133"/>
      <c r="Y71" s="133">
        <f t="shared" si="5"/>
        <v>500</v>
      </c>
      <c r="Z71" s="133"/>
      <c r="AA71" s="133"/>
      <c r="AB71" s="133">
        <f t="shared" si="6"/>
        <v>500</v>
      </c>
      <c r="AC71" s="133">
        <v>0</v>
      </c>
      <c r="AD71" s="133"/>
      <c r="AE71" s="133">
        <v>500</v>
      </c>
      <c r="AF71" s="133">
        <f t="shared" si="7"/>
        <v>500</v>
      </c>
      <c r="AG71" s="133"/>
      <c r="AH71" s="133"/>
      <c r="AI71" s="133">
        <f t="shared" si="8"/>
        <v>500</v>
      </c>
      <c r="AJ71" s="133">
        <v>0</v>
      </c>
      <c r="AK71" s="133">
        <v>0</v>
      </c>
      <c r="AL71" s="133">
        <v>500</v>
      </c>
      <c r="AM71" s="133">
        <v>485.68200000000002</v>
      </c>
      <c r="AN71" s="133"/>
      <c r="AO71" s="133"/>
      <c r="AP71" s="133">
        <v>485.68200000000002</v>
      </c>
      <c r="AQ71" s="133">
        <v>0</v>
      </c>
      <c r="AR71" s="133">
        <v>0</v>
      </c>
      <c r="AS71" s="133">
        <v>485.68200000000002</v>
      </c>
      <c r="AT71" s="133">
        <f t="shared" si="9"/>
        <v>0</v>
      </c>
      <c r="AU71" s="133"/>
      <c r="AV71" s="133"/>
      <c r="AW71" s="133">
        <f t="shared" si="10"/>
        <v>0</v>
      </c>
      <c r="AX71" s="133">
        <v>0</v>
      </c>
      <c r="AY71" s="133"/>
      <c r="AZ71" s="133"/>
      <c r="BA71" s="134">
        <v>0</v>
      </c>
      <c r="BB71" s="134"/>
      <c r="BC71" s="134"/>
      <c r="BD71" s="134">
        <v>0</v>
      </c>
      <c r="BE71" s="134">
        <v>0</v>
      </c>
      <c r="BF71" s="134"/>
      <c r="BG71" s="134"/>
      <c r="BH71" s="134"/>
      <c r="BI71" s="134"/>
      <c r="BJ71" s="134">
        <v>0</v>
      </c>
      <c r="BK71" s="134"/>
      <c r="BL71" s="134"/>
      <c r="BM71" s="134"/>
      <c r="BN71" s="134">
        <v>0</v>
      </c>
      <c r="BO71" s="134"/>
      <c r="BP71" s="134"/>
      <c r="BQ71" s="134"/>
      <c r="BR71" s="133"/>
      <c r="BS71" s="133"/>
      <c r="BT71" s="133"/>
      <c r="BU71" s="134"/>
      <c r="BV71" s="134"/>
      <c r="BW71" s="134"/>
      <c r="BX71" s="134"/>
    </row>
    <row r="72" spans="1:76" ht="46.15" outlineLevel="1">
      <c r="A72" s="434">
        <v>8</v>
      </c>
      <c r="B72" s="611" t="s">
        <v>2078</v>
      </c>
      <c r="C72" s="434" t="s">
        <v>2053</v>
      </c>
      <c r="D72" s="434" t="s">
        <v>2053</v>
      </c>
      <c r="E72" s="434" t="s">
        <v>49</v>
      </c>
      <c r="F72" s="434" t="s">
        <v>2051</v>
      </c>
      <c r="G72" s="434"/>
      <c r="H72" s="434"/>
      <c r="I72" s="420"/>
      <c r="J72" s="420"/>
      <c r="K72" s="434"/>
      <c r="L72" s="434"/>
      <c r="M72" s="133">
        <v>2648.0630000000001</v>
      </c>
      <c r="N72" s="133"/>
      <c r="O72" s="133"/>
      <c r="P72" s="133">
        <v>2648.0630000000001</v>
      </c>
      <c r="Q72" s="133"/>
      <c r="R72" s="133" t="s">
        <v>2051</v>
      </c>
      <c r="S72" s="133" t="s">
        <v>2051</v>
      </c>
      <c r="T72" s="133" t="s">
        <v>2053</v>
      </c>
      <c r="U72" s="133"/>
      <c r="V72" s="133"/>
      <c r="W72" s="133"/>
      <c r="X72" s="133"/>
      <c r="Y72" s="133">
        <f t="shared" si="5"/>
        <v>2648.0630000000001</v>
      </c>
      <c r="Z72" s="133"/>
      <c r="AA72" s="133"/>
      <c r="AB72" s="133">
        <f t="shared" si="6"/>
        <v>2648.0630000000001</v>
      </c>
      <c r="AC72" s="133">
        <v>0</v>
      </c>
      <c r="AD72" s="133"/>
      <c r="AE72" s="133">
        <v>2648.0630000000001</v>
      </c>
      <c r="AF72" s="133">
        <f t="shared" si="7"/>
        <v>2648.0630000000001</v>
      </c>
      <c r="AG72" s="133"/>
      <c r="AH72" s="133"/>
      <c r="AI72" s="133">
        <f t="shared" si="8"/>
        <v>2648.0630000000001</v>
      </c>
      <c r="AJ72" s="133">
        <v>0</v>
      </c>
      <c r="AK72" s="133">
        <v>0</v>
      </c>
      <c r="AL72" s="133">
        <v>2648.0630000000001</v>
      </c>
      <c r="AM72" s="133">
        <v>2648.0630000000001</v>
      </c>
      <c r="AN72" s="133"/>
      <c r="AO72" s="133"/>
      <c r="AP72" s="133">
        <v>2648.0630000000001</v>
      </c>
      <c r="AQ72" s="133">
        <v>0</v>
      </c>
      <c r="AR72" s="133">
        <v>0</v>
      </c>
      <c r="AS72" s="133">
        <v>2648.0630000000001</v>
      </c>
      <c r="AT72" s="133">
        <f t="shared" si="9"/>
        <v>0</v>
      </c>
      <c r="AU72" s="133"/>
      <c r="AV72" s="133"/>
      <c r="AW72" s="133">
        <f t="shared" si="10"/>
        <v>0</v>
      </c>
      <c r="AX72" s="133">
        <v>0</v>
      </c>
      <c r="AY72" s="133"/>
      <c r="AZ72" s="133"/>
      <c r="BA72" s="134">
        <v>0</v>
      </c>
      <c r="BB72" s="134"/>
      <c r="BC72" s="134"/>
      <c r="BD72" s="134">
        <v>0</v>
      </c>
      <c r="BE72" s="134">
        <v>0</v>
      </c>
      <c r="BF72" s="134"/>
      <c r="BG72" s="134"/>
      <c r="BH72" s="134"/>
      <c r="BI72" s="134"/>
      <c r="BJ72" s="134">
        <v>0</v>
      </c>
      <c r="BK72" s="134"/>
      <c r="BL72" s="134"/>
      <c r="BM72" s="134"/>
      <c r="BN72" s="134">
        <v>0</v>
      </c>
      <c r="BO72" s="134"/>
      <c r="BP72" s="134"/>
      <c r="BQ72" s="134"/>
      <c r="BR72" s="133"/>
      <c r="BS72" s="133"/>
      <c r="BT72" s="133"/>
      <c r="BU72" s="134"/>
      <c r="BV72" s="134"/>
      <c r="BW72" s="134"/>
      <c r="BX72" s="134"/>
    </row>
    <row r="73" spans="1:76" ht="26.25" customHeight="1">
      <c r="A73" s="454" t="s">
        <v>59</v>
      </c>
      <c r="B73" s="454" t="s">
        <v>2079</v>
      </c>
      <c r="C73" s="454"/>
      <c r="D73" s="454"/>
      <c r="E73" s="454"/>
      <c r="F73" s="454"/>
      <c r="G73" s="454"/>
      <c r="H73" s="454"/>
      <c r="I73" s="418"/>
      <c r="J73" s="418"/>
      <c r="K73" s="454"/>
      <c r="L73" s="454"/>
      <c r="M73" s="207">
        <f>M74</f>
        <v>125500</v>
      </c>
      <c r="N73" s="207">
        <f t="shared" ref="N73:BX73" si="16">N74</f>
        <v>0</v>
      </c>
      <c r="O73" s="207">
        <f t="shared" si="16"/>
        <v>35000</v>
      </c>
      <c r="P73" s="207">
        <f t="shared" si="16"/>
        <v>90500</v>
      </c>
      <c r="Q73" s="207">
        <f t="shared" si="16"/>
        <v>0</v>
      </c>
      <c r="R73" s="207">
        <f t="shared" si="16"/>
        <v>0</v>
      </c>
      <c r="S73" s="207">
        <f t="shared" si="16"/>
        <v>0</v>
      </c>
      <c r="T73" s="207">
        <f t="shared" si="16"/>
        <v>0</v>
      </c>
      <c r="U73" s="207">
        <f t="shared" si="16"/>
        <v>10000</v>
      </c>
      <c r="V73" s="207">
        <f t="shared" si="16"/>
        <v>0</v>
      </c>
      <c r="W73" s="207">
        <f t="shared" si="16"/>
        <v>10000</v>
      </c>
      <c r="X73" s="207">
        <f t="shared" si="16"/>
        <v>0</v>
      </c>
      <c r="Y73" s="207">
        <f t="shared" si="16"/>
        <v>90500</v>
      </c>
      <c r="Z73" s="207">
        <f t="shared" si="16"/>
        <v>0</v>
      </c>
      <c r="AA73" s="207">
        <f t="shared" si="16"/>
        <v>0</v>
      </c>
      <c r="AB73" s="207">
        <f t="shared" si="16"/>
        <v>90500</v>
      </c>
      <c r="AC73" s="207">
        <f t="shared" si="16"/>
        <v>2500</v>
      </c>
      <c r="AD73" s="207">
        <f t="shared" si="16"/>
        <v>78973.660999999993</v>
      </c>
      <c r="AE73" s="207">
        <f t="shared" si="16"/>
        <v>9026.3389999999999</v>
      </c>
      <c r="AF73" s="207">
        <f t="shared" si="16"/>
        <v>37317.785000000003</v>
      </c>
      <c r="AG73" s="207">
        <f t="shared" si="16"/>
        <v>0</v>
      </c>
      <c r="AH73" s="207">
        <f t="shared" si="16"/>
        <v>0</v>
      </c>
      <c r="AI73" s="207">
        <f t="shared" si="16"/>
        <v>37317.785000000003</v>
      </c>
      <c r="AJ73" s="207">
        <f t="shared" si="16"/>
        <v>2500</v>
      </c>
      <c r="AK73" s="207">
        <f t="shared" si="16"/>
        <v>32450.446</v>
      </c>
      <c r="AL73" s="207">
        <f t="shared" si="16"/>
        <v>2367.3389999999999</v>
      </c>
      <c r="AM73" s="207">
        <f t="shared" si="16"/>
        <v>30200.761699999999</v>
      </c>
      <c r="AN73" s="207">
        <f t="shared" si="16"/>
        <v>0</v>
      </c>
      <c r="AO73" s="207">
        <f t="shared" si="16"/>
        <v>0</v>
      </c>
      <c r="AP73" s="207">
        <f t="shared" si="16"/>
        <v>30200.207699999999</v>
      </c>
      <c r="AQ73" s="207">
        <f t="shared" si="16"/>
        <v>2382.9229999999998</v>
      </c>
      <c r="AR73" s="207">
        <f t="shared" si="16"/>
        <v>25450.446</v>
      </c>
      <c r="AS73" s="207">
        <f t="shared" si="16"/>
        <v>2366.8387000000002</v>
      </c>
      <c r="AT73" s="207">
        <f t="shared" si="16"/>
        <v>53182.214999999997</v>
      </c>
      <c r="AU73" s="207">
        <f t="shared" si="16"/>
        <v>0</v>
      </c>
      <c r="AV73" s="207">
        <f t="shared" si="16"/>
        <v>0</v>
      </c>
      <c r="AW73" s="207">
        <f t="shared" si="16"/>
        <v>53182.214999999997</v>
      </c>
      <c r="AX73" s="207">
        <f t="shared" si="16"/>
        <v>0</v>
      </c>
      <c r="AY73" s="207">
        <f t="shared" si="16"/>
        <v>46523.214999999997</v>
      </c>
      <c r="AZ73" s="207">
        <f t="shared" si="16"/>
        <v>6659</v>
      </c>
      <c r="BA73" s="207">
        <f t="shared" si="16"/>
        <v>5731.9569999999994</v>
      </c>
      <c r="BB73" s="207">
        <f t="shared" si="16"/>
        <v>0</v>
      </c>
      <c r="BC73" s="207">
        <f t="shared" si="16"/>
        <v>0</v>
      </c>
      <c r="BD73" s="207">
        <f t="shared" si="16"/>
        <v>5731.9569999999994</v>
      </c>
      <c r="BE73" s="207">
        <f t="shared" si="16"/>
        <v>2722.8959999999997</v>
      </c>
      <c r="BF73" s="207">
        <f t="shared" si="16"/>
        <v>2722.8959999999997</v>
      </c>
      <c r="BG73" s="207">
        <f t="shared" si="16"/>
        <v>0</v>
      </c>
      <c r="BH73" s="207">
        <f t="shared" si="16"/>
        <v>0</v>
      </c>
      <c r="BI73" s="207">
        <f t="shared" si="16"/>
        <v>3009.0610000000001</v>
      </c>
      <c r="BJ73" s="207">
        <f t="shared" si="16"/>
        <v>7000</v>
      </c>
      <c r="BK73" s="207">
        <f t="shared" si="16"/>
        <v>0</v>
      </c>
      <c r="BL73" s="207">
        <f t="shared" si="16"/>
        <v>0</v>
      </c>
      <c r="BM73" s="207">
        <f t="shared" si="16"/>
        <v>7000</v>
      </c>
      <c r="BN73" s="207">
        <f t="shared" si="16"/>
        <v>7000</v>
      </c>
      <c r="BO73" s="207">
        <f t="shared" si="16"/>
        <v>0</v>
      </c>
      <c r="BP73" s="207">
        <f t="shared" si="16"/>
        <v>0</v>
      </c>
      <c r="BQ73" s="207">
        <f t="shared" si="16"/>
        <v>7000</v>
      </c>
      <c r="BR73" s="207">
        <f t="shared" si="16"/>
        <v>33000</v>
      </c>
      <c r="BS73" s="207">
        <f t="shared" si="16"/>
        <v>0</v>
      </c>
      <c r="BT73" s="207">
        <f t="shared" si="16"/>
        <v>33000</v>
      </c>
      <c r="BU73" s="207">
        <f t="shared" si="16"/>
        <v>0</v>
      </c>
      <c r="BV73" s="207">
        <f t="shared" si="16"/>
        <v>0</v>
      </c>
      <c r="BW73" s="207"/>
      <c r="BX73" s="207">
        <f t="shared" si="16"/>
        <v>0</v>
      </c>
    </row>
    <row r="74" spans="1:76" ht="36" customHeight="1" outlineLevel="1">
      <c r="A74" s="553" t="s">
        <v>45</v>
      </c>
      <c r="B74" s="612" t="s">
        <v>51</v>
      </c>
      <c r="C74" s="454"/>
      <c r="D74" s="454"/>
      <c r="E74" s="454"/>
      <c r="F74" s="454"/>
      <c r="G74" s="454"/>
      <c r="H74" s="454"/>
      <c r="I74" s="418"/>
      <c r="J74" s="418"/>
      <c r="K74" s="454"/>
      <c r="L74" s="454"/>
      <c r="M74" s="207">
        <f t="shared" ref="M74:X74" si="17">SUM(M75:M76)</f>
        <v>125500</v>
      </c>
      <c r="N74" s="207">
        <f t="shared" si="17"/>
        <v>0</v>
      </c>
      <c r="O74" s="207">
        <f t="shared" si="17"/>
        <v>35000</v>
      </c>
      <c r="P74" s="207">
        <f t="shared" si="17"/>
        <v>90500</v>
      </c>
      <c r="Q74" s="207">
        <f t="shared" si="17"/>
        <v>0</v>
      </c>
      <c r="R74" s="207">
        <f t="shared" si="17"/>
        <v>0</v>
      </c>
      <c r="S74" s="207">
        <f t="shared" si="17"/>
        <v>0</v>
      </c>
      <c r="T74" s="207">
        <f t="shared" si="17"/>
        <v>0</v>
      </c>
      <c r="U74" s="207">
        <f t="shared" si="17"/>
        <v>10000</v>
      </c>
      <c r="V74" s="207">
        <f t="shared" si="17"/>
        <v>0</v>
      </c>
      <c r="W74" s="207">
        <f t="shared" si="17"/>
        <v>10000</v>
      </c>
      <c r="X74" s="207">
        <f t="shared" si="17"/>
        <v>0</v>
      </c>
      <c r="Y74" s="207">
        <f>SUM(Y75:Y76)</f>
        <v>90500</v>
      </c>
      <c r="Z74" s="207">
        <f t="shared" ref="Z74:AZ74" si="18">SUM(Z75:Z76)</f>
        <v>0</v>
      </c>
      <c r="AA74" s="207">
        <f t="shared" si="18"/>
        <v>0</v>
      </c>
      <c r="AB74" s="207">
        <f t="shared" si="18"/>
        <v>90500</v>
      </c>
      <c r="AC74" s="207">
        <f t="shared" si="18"/>
        <v>2500</v>
      </c>
      <c r="AD74" s="207">
        <f t="shared" si="18"/>
        <v>78973.660999999993</v>
      </c>
      <c r="AE74" s="207">
        <f t="shared" si="18"/>
        <v>9026.3389999999999</v>
      </c>
      <c r="AF74" s="207">
        <f t="shared" si="18"/>
        <v>37317.785000000003</v>
      </c>
      <c r="AG74" s="207">
        <f t="shared" si="18"/>
        <v>0</v>
      </c>
      <c r="AH74" s="207">
        <f t="shared" si="18"/>
        <v>0</v>
      </c>
      <c r="AI74" s="207">
        <f t="shared" si="18"/>
        <v>37317.785000000003</v>
      </c>
      <c r="AJ74" s="207">
        <f t="shared" si="18"/>
        <v>2500</v>
      </c>
      <c r="AK74" s="207">
        <f t="shared" si="18"/>
        <v>32450.446</v>
      </c>
      <c r="AL74" s="207">
        <f t="shared" si="18"/>
        <v>2367.3389999999999</v>
      </c>
      <c r="AM74" s="207">
        <f t="shared" si="18"/>
        <v>30200.761699999999</v>
      </c>
      <c r="AN74" s="207">
        <f t="shared" si="18"/>
        <v>0</v>
      </c>
      <c r="AO74" s="207">
        <f t="shared" si="18"/>
        <v>0</v>
      </c>
      <c r="AP74" s="207">
        <f t="shared" si="18"/>
        <v>30200.207699999999</v>
      </c>
      <c r="AQ74" s="207">
        <f t="shared" si="18"/>
        <v>2382.9229999999998</v>
      </c>
      <c r="AR74" s="207">
        <f t="shared" si="18"/>
        <v>25450.446</v>
      </c>
      <c r="AS74" s="207">
        <f t="shared" si="18"/>
        <v>2366.8387000000002</v>
      </c>
      <c r="AT74" s="207">
        <f t="shared" si="18"/>
        <v>53182.214999999997</v>
      </c>
      <c r="AU74" s="207">
        <f t="shared" si="18"/>
        <v>0</v>
      </c>
      <c r="AV74" s="207">
        <f t="shared" si="18"/>
        <v>0</v>
      </c>
      <c r="AW74" s="207">
        <f t="shared" si="18"/>
        <v>53182.214999999997</v>
      </c>
      <c r="AX74" s="207">
        <f t="shared" si="18"/>
        <v>0</v>
      </c>
      <c r="AY74" s="207">
        <f t="shared" si="18"/>
        <v>46523.214999999997</v>
      </c>
      <c r="AZ74" s="207">
        <f t="shared" si="18"/>
        <v>6659</v>
      </c>
      <c r="BA74" s="207">
        <f t="shared" ref="BA74:BX74" si="19">SUM(BA75:BA81)</f>
        <v>5731.9569999999994</v>
      </c>
      <c r="BB74" s="207">
        <f t="shared" si="19"/>
        <v>0</v>
      </c>
      <c r="BC74" s="207">
        <f t="shared" si="19"/>
        <v>0</v>
      </c>
      <c r="BD74" s="207">
        <f t="shared" si="19"/>
        <v>5731.9569999999994</v>
      </c>
      <c r="BE74" s="207">
        <f t="shared" si="19"/>
        <v>2722.8959999999997</v>
      </c>
      <c r="BF74" s="207">
        <f t="shared" si="19"/>
        <v>2722.8959999999997</v>
      </c>
      <c r="BG74" s="207">
        <f t="shared" si="19"/>
        <v>0</v>
      </c>
      <c r="BH74" s="207">
        <f t="shared" si="19"/>
        <v>0</v>
      </c>
      <c r="BI74" s="207">
        <f t="shared" si="19"/>
        <v>3009.0610000000001</v>
      </c>
      <c r="BJ74" s="207">
        <f t="shared" si="19"/>
        <v>7000</v>
      </c>
      <c r="BK74" s="207">
        <f t="shared" si="19"/>
        <v>0</v>
      </c>
      <c r="BL74" s="207">
        <f t="shared" si="19"/>
        <v>0</v>
      </c>
      <c r="BM74" s="207">
        <f t="shared" si="19"/>
        <v>7000</v>
      </c>
      <c r="BN74" s="207">
        <f t="shared" si="19"/>
        <v>7000</v>
      </c>
      <c r="BO74" s="207">
        <f t="shared" si="19"/>
        <v>0</v>
      </c>
      <c r="BP74" s="207">
        <f t="shared" si="19"/>
        <v>0</v>
      </c>
      <c r="BQ74" s="207">
        <f t="shared" si="19"/>
        <v>7000</v>
      </c>
      <c r="BR74" s="207">
        <f t="shared" si="19"/>
        <v>33000</v>
      </c>
      <c r="BS74" s="207">
        <f t="shared" si="19"/>
        <v>0</v>
      </c>
      <c r="BT74" s="207">
        <f t="shared" si="19"/>
        <v>33000</v>
      </c>
      <c r="BU74" s="207">
        <f t="shared" si="19"/>
        <v>0</v>
      </c>
      <c r="BV74" s="207">
        <f t="shared" si="19"/>
        <v>0</v>
      </c>
      <c r="BW74" s="207"/>
      <c r="BX74" s="207">
        <f t="shared" si="19"/>
        <v>0</v>
      </c>
    </row>
    <row r="75" spans="1:76" ht="54.75" customHeight="1" outlineLevel="1">
      <c r="A75" s="434">
        <v>1</v>
      </c>
      <c r="B75" s="611" t="s">
        <v>2080</v>
      </c>
      <c r="C75" s="434" t="s">
        <v>1912</v>
      </c>
      <c r="D75" s="434" t="s">
        <v>2081</v>
      </c>
      <c r="E75" s="434" t="s">
        <v>49</v>
      </c>
      <c r="F75" s="434" t="s">
        <v>2079</v>
      </c>
      <c r="G75" s="434"/>
      <c r="H75" s="434"/>
      <c r="I75" s="420">
        <v>2023</v>
      </c>
      <c r="J75" s="420">
        <v>2023</v>
      </c>
      <c r="K75" s="434" t="s">
        <v>2082</v>
      </c>
      <c r="L75" s="434" t="s">
        <v>2083</v>
      </c>
      <c r="M75" s="133">
        <v>2500</v>
      </c>
      <c r="N75" s="133"/>
      <c r="O75" s="133"/>
      <c r="P75" s="133">
        <v>2500</v>
      </c>
      <c r="Q75" s="133"/>
      <c r="R75" s="133" t="s">
        <v>2079</v>
      </c>
      <c r="S75" s="133" t="s">
        <v>2079</v>
      </c>
      <c r="T75" s="133" t="s">
        <v>2081</v>
      </c>
      <c r="U75" s="133"/>
      <c r="V75" s="133"/>
      <c r="W75" s="133"/>
      <c r="X75" s="133"/>
      <c r="Y75" s="133">
        <f t="shared" si="5"/>
        <v>2500</v>
      </c>
      <c r="Z75" s="133"/>
      <c r="AA75" s="133"/>
      <c r="AB75" s="133">
        <f t="shared" si="6"/>
        <v>2500</v>
      </c>
      <c r="AC75" s="133">
        <v>2500</v>
      </c>
      <c r="AD75" s="133"/>
      <c r="AE75" s="133"/>
      <c r="AF75" s="133">
        <f t="shared" si="7"/>
        <v>2500</v>
      </c>
      <c r="AG75" s="133"/>
      <c r="AH75" s="133"/>
      <c r="AI75" s="133">
        <f t="shared" si="8"/>
        <v>2500</v>
      </c>
      <c r="AJ75" s="133">
        <v>2500</v>
      </c>
      <c r="AK75" s="133">
        <v>0</v>
      </c>
      <c r="AL75" s="133">
        <v>0</v>
      </c>
      <c r="AM75" s="133">
        <v>2382.9229999999998</v>
      </c>
      <c r="AN75" s="133"/>
      <c r="AO75" s="133"/>
      <c r="AP75" s="133">
        <v>2382.9229999999998</v>
      </c>
      <c r="AQ75" s="133">
        <v>2382.9229999999998</v>
      </c>
      <c r="AR75" s="133">
        <v>0</v>
      </c>
      <c r="AS75" s="133">
        <v>0</v>
      </c>
      <c r="AT75" s="133">
        <f t="shared" si="9"/>
        <v>0</v>
      </c>
      <c r="AU75" s="133"/>
      <c r="AV75" s="133"/>
      <c r="AW75" s="133">
        <f t="shared" si="10"/>
        <v>0</v>
      </c>
      <c r="AX75" s="133">
        <v>0</v>
      </c>
      <c r="AY75" s="133"/>
      <c r="AZ75" s="133"/>
      <c r="BA75" s="134">
        <v>0</v>
      </c>
      <c r="BB75" s="134"/>
      <c r="BC75" s="134"/>
      <c r="BD75" s="134">
        <v>0</v>
      </c>
      <c r="BE75" s="134">
        <v>0</v>
      </c>
      <c r="BF75" s="134"/>
      <c r="BG75" s="134"/>
      <c r="BH75" s="134"/>
      <c r="BI75" s="134"/>
      <c r="BJ75" s="134">
        <v>0</v>
      </c>
      <c r="BK75" s="134"/>
      <c r="BL75" s="134"/>
      <c r="BM75" s="134"/>
      <c r="BN75" s="134">
        <v>0</v>
      </c>
      <c r="BO75" s="134"/>
      <c r="BP75" s="134"/>
      <c r="BQ75" s="134"/>
      <c r="BR75" s="133"/>
      <c r="BS75" s="133"/>
      <c r="BT75" s="133"/>
      <c r="BU75" s="134"/>
      <c r="BV75" s="134"/>
      <c r="BW75" s="134"/>
      <c r="BX75" s="134"/>
    </row>
    <row r="76" spans="1:76" ht="59.25" customHeight="1" outlineLevel="1">
      <c r="A76" s="434">
        <v>2</v>
      </c>
      <c r="B76" s="611" t="s">
        <v>2084</v>
      </c>
      <c r="C76" s="434" t="s">
        <v>1912</v>
      </c>
      <c r="D76" s="434" t="s">
        <v>2081</v>
      </c>
      <c r="E76" s="434" t="s">
        <v>10</v>
      </c>
      <c r="F76" s="434" t="s">
        <v>2079</v>
      </c>
      <c r="G76" s="434"/>
      <c r="H76" s="434"/>
      <c r="I76" s="420" t="s">
        <v>2085</v>
      </c>
      <c r="J76" s="420">
        <v>2020</v>
      </c>
      <c r="K76" s="434" t="s">
        <v>2086</v>
      </c>
      <c r="L76" s="434" t="s">
        <v>2087</v>
      </c>
      <c r="M76" s="133">
        <v>123000</v>
      </c>
      <c r="N76" s="133"/>
      <c r="O76" s="133">
        <v>35000</v>
      </c>
      <c r="P76" s="133">
        <v>88000</v>
      </c>
      <c r="Q76" s="133" t="s">
        <v>2088</v>
      </c>
      <c r="R76" s="133" t="s">
        <v>2079</v>
      </c>
      <c r="S76" s="133" t="s">
        <v>2079</v>
      </c>
      <c r="T76" s="133" t="s">
        <v>2081</v>
      </c>
      <c r="U76" s="133">
        <v>10000</v>
      </c>
      <c r="V76" s="133"/>
      <c r="W76" s="133">
        <v>10000</v>
      </c>
      <c r="X76" s="133"/>
      <c r="Y76" s="133">
        <f t="shared" si="5"/>
        <v>88000</v>
      </c>
      <c r="Z76" s="133"/>
      <c r="AA76" s="133"/>
      <c r="AB76" s="133">
        <f t="shared" si="6"/>
        <v>88000</v>
      </c>
      <c r="AC76" s="133">
        <v>0</v>
      </c>
      <c r="AD76" s="133">
        <v>78973.660999999993</v>
      </c>
      <c r="AE76" s="133">
        <v>9026.3389999999999</v>
      </c>
      <c r="AF76" s="133">
        <f t="shared" si="7"/>
        <v>34817.785000000003</v>
      </c>
      <c r="AG76" s="133"/>
      <c r="AH76" s="133"/>
      <c r="AI76" s="133">
        <f t="shared" si="8"/>
        <v>34817.785000000003</v>
      </c>
      <c r="AJ76" s="133">
        <v>0</v>
      </c>
      <c r="AK76" s="133">
        <v>32450.446</v>
      </c>
      <c r="AL76" s="133">
        <v>2367.3389999999999</v>
      </c>
      <c r="AM76" s="133">
        <v>27817.8387</v>
      </c>
      <c r="AN76" s="133"/>
      <c r="AO76" s="133"/>
      <c r="AP76" s="133">
        <v>27817.2847</v>
      </c>
      <c r="AQ76" s="133">
        <v>0</v>
      </c>
      <c r="AR76" s="133">
        <v>25450.446</v>
      </c>
      <c r="AS76" s="133">
        <v>2366.8387000000002</v>
      </c>
      <c r="AT76" s="133">
        <f t="shared" si="9"/>
        <v>53182.214999999997</v>
      </c>
      <c r="AU76" s="133" t="s">
        <v>45</v>
      </c>
      <c r="AV76" s="133" t="s">
        <v>45</v>
      </c>
      <c r="AW76" s="133">
        <f t="shared" si="10"/>
        <v>53182.214999999997</v>
      </c>
      <c r="AX76" s="133">
        <v>0</v>
      </c>
      <c r="AY76" s="133">
        <v>46523.214999999997</v>
      </c>
      <c r="AZ76" s="133">
        <v>6659</v>
      </c>
      <c r="BA76" s="134">
        <v>3009.0610000000001</v>
      </c>
      <c r="BB76" s="134"/>
      <c r="BC76" s="134"/>
      <c r="BD76" s="134">
        <v>3009.0610000000001</v>
      </c>
      <c r="BE76" s="134">
        <v>0</v>
      </c>
      <c r="BF76" s="134"/>
      <c r="BG76" s="134"/>
      <c r="BH76" s="134"/>
      <c r="BI76" s="134">
        <v>3009.0610000000001</v>
      </c>
      <c r="BJ76" s="134">
        <v>7000</v>
      </c>
      <c r="BK76" s="134"/>
      <c r="BL76" s="134"/>
      <c r="BM76" s="134">
        <v>7000</v>
      </c>
      <c r="BN76" s="134">
        <v>7000</v>
      </c>
      <c r="BO76" s="134"/>
      <c r="BP76" s="134"/>
      <c r="BQ76" s="134">
        <v>7000</v>
      </c>
      <c r="BR76" s="133">
        <v>33000</v>
      </c>
      <c r="BS76" s="133"/>
      <c r="BT76" s="133">
        <v>33000</v>
      </c>
      <c r="BU76" s="134"/>
      <c r="BV76" s="134"/>
      <c r="BW76" s="134"/>
      <c r="BX76" s="134"/>
    </row>
    <row r="77" spans="1:76" ht="26.25" customHeight="1">
      <c r="A77" s="454" t="s">
        <v>59</v>
      </c>
      <c r="B77" s="454" t="s">
        <v>2089</v>
      </c>
      <c r="C77" s="454"/>
      <c r="D77" s="454"/>
      <c r="E77" s="454"/>
      <c r="F77" s="454"/>
      <c r="G77" s="454"/>
      <c r="H77" s="454"/>
      <c r="I77" s="418"/>
      <c r="J77" s="418"/>
      <c r="K77" s="454"/>
      <c r="L77" s="454"/>
      <c r="M77" s="207">
        <f>M78</f>
        <v>3723.6840000000002</v>
      </c>
      <c r="N77" s="207">
        <f t="shared" ref="N77:BX77" si="20">N78</f>
        <v>0</v>
      </c>
      <c r="O77" s="207">
        <f t="shared" si="20"/>
        <v>0</v>
      </c>
      <c r="P77" s="207">
        <f t="shared" si="20"/>
        <v>3700</v>
      </c>
      <c r="Q77" s="207">
        <f t="shared" si="20"/>
        <v>0</v>
      </c>
      <c r="R77" s="207">
        <f t="shared" si="20"/>
        <v>0</v>
      </c>
      <c r="S77" s="207">
        <f t="shared" si="20"/>
        <v>0</v>
      </c>
      <c r="T77" s="207">
        <f t="shared" si="20"/>
        <v>0</v>
      </c>
      <c r="U77" s="207">
        <f t="shared" si="20"/>
        <v>0</v>
      </c>
      <c r="V77" s="207">
        <f t="shared" si="20"/>
        <v>0</v>
      </c>
      <c r="W77" s="207">
        <f t="shared" si="20"/>
        <v>0</v>
      </c>
      <c r="X77" s="207">
        <f t="shared" si="20"/>
        <v>0</v>
      </c>
      <c r="Y77" s="207">
        <f t="shared" si="20"/>
        <v>3700</v>
      </c>
      <c r="Z77" s="207">
        <f t="shared" si="20"/>
        <v>0</v>
      </c>
      <c r="AA77" s="207">
        <f t="shared" si="20"/>
        <v>0</v>
      </c>
      <c r="AB77" s="207">
        <f t="shared" si="20"/>
        <v>3700</v>
      </c>
      <c r="AC77" s="207">
        <f t="shared" si="20"/>
        <v>1700</v>
      </c>
      <c r="AD77" s="207">
        <f t="shared" si="20"/>
        <v>0</v>
      </c>
      <c r="AE77" s="207">
        <f t="shared" si="20"/>
        <v>2000</v>
      </c>
      <c r="AF77" s="207">
        <f t="shared" si="20"/>
        <v>2760</v>
      </c>
      <c r="AG77" s="207">
        <f t="shared" si="20"/>
        <v>0</v>
      </c>
      <c r="AH77" s="207">
        <f t="shared" si="20"/>
        <v>0</v>
      </c>
      <c r="AI77" s="207">
        <f t="shared" si="20"/>
        <v>2760</v>
      </c>
      <c r="AJ77" s="207">
        <f t="shared" si="20"/>
        <v>760</v>
      </c>
      <c r="AK77" s="207">
        <f t="shared" si="20"/>
        <v>0</v>
      </c>
      <c r="AL77" s="207">
        <f t="shared" si="20"/>
        <v>2000</v>
      </c>
      <c r="AM77" s="207">
        <f t="shared" si="20"/>
        <v>2710.1635740000002</v>
      </c>
      <c r="AN77" s="207">
        <f t="shared" si="20"/>
        <v>0</v>
      </c>
      <c r="AO77" s="207">
        <f t="shared" si="20"/>
        <v>0</v>
      </c>
      <c r="AP77" s="207">
        <f t="shared" si="20"/>
        <v>2710.1635740000002</v>
      </c>
      <c r="AQ77" s="207">
        <f t="shared" si="20"/>
        <v>752.46657400000004</v>
      </c>
      <c r="AR77" s="207">
        <f t="shared" si="20"/>
        <v>0</v>
      </c>
      <c r="AS77" s="207">
        <f t="shared" si="20"/>
        <v>1957.6970000000001</v>
      </c>
      <c r="AT77" s="207">
        <f t="shared" si="20"/>
        <v>940</v>
      </c>
      <c r="AU77" s="207">
        <f t="shared" si="20"/>
        <v>0</v>
      </c>
      <c r="AV77" s="207">
        <f t="shared" si="20"/>
        <v>0</v>
      </c>
      <c r="AW77" s="207">
        <f t="shared" si="20"/>
        <v>940</v>
      </c>
      <c r="AX77" s="207">
        <f t="shared" si="20"/>
        <v>940</v>
      </c>
      <c r="AY77" s="207">
        <f t="shared" si="20"/>
        <v>0</v>
      </c>
      <c r="AZ77" s="207">
        <f t="shared" si="20"/>
        <v>0</v>
      </c>
      <c r="BA77" s="207">
        <f t="shared" si="20"/>
        <v>907.63199999999995</v>
      </c>
      <c r="BB77" s="207">
        <f t="shared" si="20"/>
        <v>0</v>
      </c>
      <c r="BC77" s="207">
        <f t="shared" si="20"/>
        <v>0</v>
      </c>
      <c r="BD77" s="207">
        <f t="shared" si="20"/>
        <v>907.63199999999995</v>
      </c>
      <c r="BE77" s="207">
        <f t="shared" si="20"/>
        <v>907.63199999999995</v>
      </c>
      <c r="BF77" s="207">
        <f t="shared" si="20"/>
        <v>907.63199999999995</v>
      </c>
      <c r="BG77" s="207">
        <f t="shared" si="20"/>
        <v>0</v>
      </c>
      <c r="BH77" s="207">
        <f t="shared" si="20"/>
        <v>0</v>
      </c>
      <c r="BI77" s="207">
        <f t="shared" si="20"/>
        <v>0</v>
      </c>
      <c r="BJ77" s="207">
        <f t="shared" si="20"/>
        <v>0</v>
      </c>
      <c r="BK77" s="207">
        <f t="shared" si="20"/>
        <v>0</v>
      </c>
      <c r="BL77" s="207">
        <f t="shared" si="20"/>
        <v>0</v>
      </c>
      <c r="BM77" s="207">
        <f t="shared" si="20"/>
        <v>0</v>
      </c>
      <c r="BN77" s="207">
        <f t="shared" si="20"/>
        <v>0</v>
      </c>
      <c r="BO77" s="207">
        <f t="shared" si="20"/>
        <v>0</v>
      </c>
      <c r="BP77" s="207">
        <f t="shared" si="20"/>
        <v>0</v>
      </c>
      <c r="BQ77" s="207">
        <f t="shared" si="20"/>
        <v>0</v>
      </c>
      <c r="BR77" s="207">
        <f t="shared" si="20"/>
        <v>0</v>
      </c>
      <c r="BS77" s="207">
        <f t="shared" si="20"/>
        <v>0</v>
      </c>
      <c r="BT77" s="207">
        <f t="shared" si="20"/>
        <v>0</v>
      </c>
      <c r="BU77" s="207">
        <f t="shared" si="20"/>
        <v>0</v>
      </c>
      <c r="BV77" s="207">
        <f t="shared" si="20"/>
        <v>0</v>
      </c>
      <c r="BW77" s="207"/>
      <c r="BX77" s="207">
        <f t="shared" si="20"/>
        <v>0</v>
      </c>
    </row>
    <row r="78" spans="1:76" ht="36" customHeight="1" outlineLevel="1">
      <c r="A78" s="553" t="s">
        <v>45</v>
      </c>
      <c r="B78" s="612" t="s">
        <v>51</v>
      </c>
      <c r="C78" s="454"/>
      <c r="D78" s="454"/>
      <c r="E78" s="454"/>
      <c r="F78" s="454"/>
      <c r="G78" s="454"/>
      <c r="H78" s="454"/>
      <c r="I78" s="418"/>
      <c r="J78" s="418"/>
      <c r="K78" s="454"/>
      <c r="L78" s="454"/>
      <c r="M78" s="207">
        <f>SUM(M79:M81)</f>
        <v>3723.6840000000002</v>
      </c>
      <c r="N78" s="207">
        <f t="shared" ref="N78:BX78" si="21">SUM(N79:N81)</f>
        <v>0</v>
      </c>
      <c r="O78" s="207">
        <f t="shared" si="21"/>
        <v>0</v>
      </c>
      <c r="P78" s="207">
        <f t="shared" si="21"/>
        <v>3700</v>
      </c>
      <c r="Q78" s="207">
        <f t="shared" si="21"/>
        <v>0</v>
      </c>
      <c r="R78" s="207">
        <f t="shared" si="21"/>
        <v>0</v>
      </c>
      <c r="S78" s="207">
        <f t="shared" si="21"/>
        <v>0</v>
      </c>
      <c r="T78" s="207">
        <f t="shared" si="21"/>
        <v>0</v>
      </c>
      <c r="U78" s="207">
        <f t="shared" si="21"/>
        <v>0</v>
      </c>
      <c r="V78" s="207">
        <f t="shared" si="21"/>
        <v>0</v>
      </c>
      <c r="W78" s="207">
        <f t="shared" si="21"/>
        <v>0</v>
      </c>
      <c r="X78" s="207">
        <f t="shared" si="21"/>
        <v>0</v>
      </c>
      <c r="Y78" s="207">
        <f t="shared" si="21"/>
        <v>3700</v>
      </c>
      <c r="Z78" s="207">
        <f t="shared" si="21"/>
        <v>0</v>
      </c>
      <c r="AA78" s="207">
        <f t="shared" si="21"/>
        <v>0</v>
      </c>
      <c r="AB78" s="207">
        <f t="shared" si="21"/>
        <v>3700</v>
      </c>
      <c r="AC78" s="207">
        <f t="shared" si="21"/>
        <v>1700</v>
      </c>
      <c r="AD78" s="207">
        <f t="shared" si="21"/>
        <v>0</v>
      </c>
      <c r="AE78" s="207">
        <f t="shared" si="21"/>
        <v>2000</v>
      </c>
      <c r="AF78" s="207">
        <f t="shared" si="21"/>
        <v>2760</v>
      </c>
      <c r="AG78" s="207">
        <f t="shared" si="21"/>
        <v>0</v>
      </c>
      <c r="AH78" s="207">
        <f t="shared" si="21"/>
        <v>0</v>
      </c>
      <c r="AI78" s="207">
        <f t="shared" si="21"/>
        <v>2760</v>
      </c>
      <c r="AJ78" s="207">
        <f t="shared" si="21"/>
        <v>760</v>
      </c>
      <c r="AK78" s="207">
        <f t="shared" si="21"/>
        <v>0</v>
      </c>
      <c r="AL78" s="207">
        <f t="shared" si="21"/>
        <v>2000</v>
      </c>
      <c r="AM78" s="207">
        <f t="shared" si="21"/>
        <v>2710.1635740000002</v>
      </c>
      <c r="AN78" s="207">
        <f t="shared" si="21"/>
        <v>0</v>
      </c>
      <c r="AO78" s="207">
        <f t="shared" si="21"/>
        <v>0</v>
      </c>
      <c r="AP78" s="207">
        <f t="shared" si="21"/>
        <v>2710.1635740000002</v>
      </c>
      <c r="AQ78" s="207">
        <f t="shared" si="21"/>
        <v>752.46657400000004</v>
      </c>
      <c r="AR78" s="207">
        <f t="shared" si="21"/>
        <v>0</v>
      </c>
      <c r="AS78" s="207">
        <f t="shared" si="21"/>
        <v>1957.6970000000001</v>
      </c>
      <c r="AT78" s="207">
        <f t="shared" si="21"/>
        <v>940</v>
      </c>
      <c r="AU78" s="207">
        <f t="shared" si="21"/>
        <v>0</v>
      </c>
      <c r="AV78" s="207">
        <f t="shared" si="21"/>
        <v>0</v>
      </c>
      <c r="AW78" s="207">
        <f t="shared" si="21"/>
        <v>940</v>
      </c>
      <c r="AX78" s="207">
        <f t="shared" si="21"/>
        <v>940</v>
      </c>
      <c r="AY78" s="207">
        <f t="shared" si="21"/>
        <v>0</v>
      </c>
      <c r="AZ78" s="207">
        <f t="shared" si="21"/>
        <v>0</v>
      </c>
      <c r="BA78" s="207">
        <f t="shared" si="21"/>
        <v>907.63199999999995</v>
      </c>
      <c r="BB78" s="207">
        <f t="shared" si="21"/>
        <v>0</v>
      </c>
      <c r="BC78" s="207">
        <f t="shared" si="21"/>
        <v>0</v>
      </c>
      <c r="BD78" s="207">
        <f t="shared" si="21"/>
        <v>907.63199999999995</v>
      </c>
      <c r="BE78" s="207">
        <f t="shared" si="21"/>
        <v>907.63199999999995</v>
      </c>
      <c r="BF78" s="207">
        <f t="shared" si="21"/>
        <v>907.63199999999995</v>
      </c>
      <c r="BG78" s="207">
        <f t="shared" si="21"/>
        <v>0</v>
      </c>
      <c r="BH78" s="207">
        <f t="shared" si="21"/>
        <v>0</v>
      </c>
      <c r="BI78" s="207">
        <f t="shared" si="21"/>
        <v>0</v>
      </c>
      <c r="BJ78" s="207">
        <f t="shared" si="21"/>
        <v>0</v>
      </c>
      <c r="BK78" s="207">
        <f t="shared" si="21"/>
        <v>0</v>
      </c>
      <c r="BL78" s="207">
        <f t="shared" si="21"/>
        <v>0</v>
      </c>
      <c r="BM78" s="207">
        <f t="shared" si="21"/>
        <v>0</v>
      </c>
      <c r="BN78" s="207">
        <f t="shared" si="21"/>
        <v>0</v>
      </c>
      <c r="BO78" s="207">
        <f t="shared" si="21"/>
        <v>0</v>
      </c>
      <c r="BP78" s="207">
        <f t="shared" si="21"/>
        <v>0</v>
      </c>
      <c r="BQ78" s="207">
        <f t="shared" si="21"/>
        <v>0</v>
      </c>
      <c r="BR78" s="207">
        <f t="shared" si="21"/>
        <v>0</v>
      </c>
      <c r="BS78" s="207">
        <f t="shared" si="21"/>
        <v>0</v>
      </c>
      <c r="BT78" s="207">
        <f t="shared" si="21"/>
        <v>0</v>
      </c>
      <c r="BU78" s="207">
        <f t="shared" si="21"/>
        <v>0</v>
      </c>
      <c r="BV78" s="207">
        <f t="shared" si="21"/>
        <v>0</v>
      </c>
      <c r="BW78" s="207"/>
      <c r="BX78" s="207">
        <f t="shared" si="21"/>
        <v>0</v>
      </c>
    </row>
    <row r="79" spans="1:76" ht="51.75" customHeight="1" outlineLevel="1">
      <c r="A79" s="434">
        <v>1</v>
      </c>
      <c r="B79" s="613" t="s">
        <v>2090</v>
      </c>
      <c r="C79" s="434" t="s">
        <v>1912</v>
      </c>
      <c r="D79" s="434" t="s">
        <v>2091</v>
      </c>
      <c r="E79" s="434" t="s">
        <v>49</v>
      </c>
      <c r="F79" s="434" t="s">
        <v>2089</v>
      </c>
      <c r="G79" s="454"/>
      <c r="H79" s="420"/>
      <c r="I79" s="420">
        <v>2024</v>
      </c>
      <c r="J79" s="420">
        <v>2024</v>
      </c>
      <c r="K79" s="434" t="s">
        <v>2092</v>
      </c>
      <c r="L79" s="434" t="s">
        <v>2093</v>
      </c>
      <c r="M79" s="133">
        <v>1250</v>
      </c>
      <c r="N79" s="133"/>
      <c r="O79" s="133"/>
      <c r="P79" s="133">
        <v>1250</v>
      </c>
      <c r="Q79" s="614"/>
      <c r="R79" s="614" t="s">
        <v>2089</v>
      </c>
      <c r="S79" s="614" t="s">
        <v>2089</v>
      </c>
      <c r="T79" s="614" t="s">
        <v>2091</v>
      </c>
      <c r="U79" s="133"/>
      <c r="V79" s="133"/>
      <c r="W79" s="133"/>
      <c r="X79" s="133"/>
      <c r="Y79" s="133">
        <f t="shared" si="5"/>
        <v>1250</v>
      </c>
      <c r="Z79" s="133"/>
      <c r="AA79" s="133"/>
      <c r="AB79" s="133">
        <f t="shared" si="6"/>
        <v>1250</v>
      </c>
      <c r="AC79" s="133">
        <v>1250</v>
      </c>
      <c r="AD79" s="133"/>
      <c r="AE79" s="133"/>
      <c r="AF79" s="133">
        <f t="shared" si="7"/>
        <v>310</v>
      </c>
      <c r="AG79" s="133"/>
      <c r="AH79" s="133"/>
      <c r="AI79" s="133">
        <f t="shared" si="8"/>
        <v>310</v>
      </c>
      <c r="AJ79" s="133">
        <v>310</v>
      </c>
      <c r="AK79" s="133">
        <v>0</v>
      </c>
      <c r="AL79" s="133">
        <v>0</v>
      </c>
      <c r="AM79" s="133">
        <v>310</v>
      </c>
      <c r="AN79" s="133"/>
      <c r="AO79" s="133"/>
      <c r="AP79" s="133">
        <v>310</v>
      </c>
      <c r="AQ79" s="133">
        <v>310</v>
      </c>
      <c r="AR79" s="133">
        <v>0</v>
      </c>
      <c r="AS79" s="133">
        <v>0</v>
      </c>
      <c r="AT79" s="133">
        <f t="shared" si="9"/>
        <v>940</v>
      </c>
      <c r="AU79" s="133"/>
      <c r="AV79" s="133"/>
      <c r="AW79" s="133">
        <f t="shared" si="10"/>
        <v>940</v>
      </c>
      <c r="AX79" s="133">
        <v>940</v>
      </c>
      <c r="AY79" s="133"/>
      <c r="AZ79" s="133"/>
      <c r="BA79" s="179">
        <v>907.63199999999995</v>
      </c>
      <c r="BB79" s="179"/>
      <c r="BC79" s="179"/>
      <c r="BD79" s="179">
        <v>907.63199999999995</v>
      </c>
      <c r="BE79" s="179">
        <v>907.63199999999995</v>
      </c>
      <c r="BF79" s="179">
        <v>907.63199999999995</v>
      </c>
      <c r="BG79" s="179"/>
      <c r="BH79" s="179"/>
      <c r="BI79" s="179"/>
      <c r="BJ79" s="179">
        <v>0</v>
      </c>
      <c r="BK79" s="179"/>
      <c r="BL79" s="179"/>
      <c r="BM79" s="179"/>
      <c r="BN79" s="179">
        <v>0</v>
      </c>
      <c r="BO79" s="179"/>
      <c r="BP79" s="179"/>
      <c r="BQ79" s="179"/>
      <c r="BR79" s="180"/>
      <c r="BS79" s="180"/>
      <c r="BT79" s="180"/>
      <c r="BU79" s="134"/>
      <c r="BV79" s="134"/>
      <c r="BW79" s="134"/>
      <c r="BX79" s="454"/>
    </row>
    <row r="80" spans="1:76" ht="46.15" outlineLevel="1">
      <c r="A80" s="434">
        <v>2</v>
      </c>
      <c r="B80" s="613" t="s">
        <v>2094</v>
      </c>
      <c r="C80" s="434" t="s">
        <v>2095</v>
      </c>
      <c r="D80" s="434" t="s">
        <v>2091</v>
      </c>
      <c r="E80" s="434" t="s">
        <v>49</v>
      </c>
      <c r="F80" s="434" t="s">
        <v>2089</v>
      </c>
      <c r="G80" s="454"/>
      <c r="H80" s="420"/>
      <c r="I80" s="420">
        <v>2024</v>
      </c>
      <c r="J80" s="420">
        <v>2024</v>
      </c>
      <c r="K80" s="434" t="s">
        <v>2096</v>
      </c>
      <c r="L80" s="434" t="s">
        <v>2097</v>
      </c>
      <c r="M80" s="133">
        <v>473.68400000000003</v>
      </c>
      <c r="N80" s="133"/>
      <c r="O80" s="133"/>
      <c r="P80" s="133">
        <v>450</v>
      </c>
      <c r="Q80" s="614"/>
      <c r="R80" s="614" t="s">
        <v>2089</v>
      </c>
      <c r="S80" s="614" t="s">
        <v>2089</v>
      </c>
      <c r="T80" s="614" t="s">
        <v>2091</v>
      </c>
      <c r="U80" s="133"/>
      <c r="V80" s="133"/>
      <c r="W80" s="133"/>
      <c r="X80" s="133"/>
      <c r="Y80" s="133">
        <f t="shared" si="5"/>
        <v>450</v>
      </c>
      <c r="Z80" s="133"/>
      <c r="AA80" s="133"/>
      <c r="AB80" s="133">
        <f t="shared" si="6"/>
        <v>450</v>
      </c>
      <c r="AC80" s="133">
        <v>450</v>
      </c>
      <c r="AD80" s="133"/>
      <c r="AE80" s="133"/>
      <c r="AF80" s="133">
        <f t="shared" si="7"/>
        <v>450</v>
      </c>
      <c r="AG80" s="133"/>
      <c r="AH80" s="133"/>
      <c r="AI80" s="133">
        <f t="shared" si="8"/>
        <v>450</v>
      </c>
      <c r="AJ80" s="133">
        <v>450</v>
      </c>
      <c r="AK80" s="133">
        <v>0</v>
      </c>
      <c r="AL80" s="133">
        <v>0</v>
      </c>
      <c r="AM80" s="133">
        <v>442.46657399999998</v>
      </c>
      <c r="AN80" s="133"/>
      <c r="AO80" s="133"/>
      <c r="AP80" s="133">
        <v>442.46657399999998</v>
      </c>
      <c r="AQ80" s="133">
        <v>442.46657399999998</v>
      </c>
      <c r="AR80" s="133">
        <v>0</v>
      </c>
      <c r="AS80" s="133">
        <v>0</v>
      </c>
      <c r="AT80" s="133">
        <f t="shared" si="9"/>
        <v>0</v>
      </c>
      <c r="AU80" s="133"/>
      <c r="AV80" s="133"/>
      <c r="AW80" s="133">
        <f t="shared" si="10"/>
        <v>0</v>
      </c>
      <c r="AX80" s="133">
        <v>0</v>
      </c>
      <c r="AY80" s="133"/>
      <c r="AZ80" s="133"/>
      <c r="BA80" s="179">
        <v>0</v>
      </c>
      <c r="BB80" s="179"/>
      <c r="BC80" s="179"/>
      <c r="BD80" s="179">
        <v>0</v>
      </c>
      <c r="BE80" s="179">
        <v>0</v>
      </c>
      <c r="BF80" s="179"/>
      <c r="BG80" s="179"/>
      <c r="BH80" s="179"/>
      <c r="BI80" s="179"/>
      <c r="BJ80" s="179">
        <v>0</v>
      </c>
      <c r="BK80" s="179"/>
      <c r="BL80" s="179"/>
      <c r="BM80" s="179"/>
      <c r="BN80" s="179">
        <v>0</v>
      </c>
      <c r="BO80" s="179"/>
      <c r="BP80" s="179"/>
      <c r="BQ80" s="179"/>
      <c r="BR80" s="180"/>
      <c r="BS80" s="180"/>
      <c r="BT80" s="180"/>
      <c r="BU80" s="134"/>
      <c r="BV80" s="134"/>
      <c r="BW80" s="134"/>
      <c r="BX80" s="454"/>
    </row>
    <row r="81" spans="1:988 1052:2038 2102:3013 3077:4063 4127:5113 5177:6088 6152:7138 7202:8188 8252:9163 9227:10213 10277:11263 11327:12238 12302:13288 13352:15313 15377:16363" ht="46.15" outlineLevel="1">
      <c r="A81" s="434">
        <v>3</v>
      </c>
      <c r="B81" s="613" t="s">
        <v>2098</v>
      </c>
      <c r="C81" s="434" t="s">
        <v>1912</v>
      </c>
      <c r="D81" s="434" t="s">
        <v>2091</v>
      </c>
      <c r="E81" s="434" t="s">
        <v>49</v>
      </c>
      <c r="F81" s="434" t="s">
        <v>2089</v>
      </c>
      <c r="G81" s="454"/>
      <c r="H81" s="420"/>
      <c r="I81" s="420" t="s">
        <v>76</v>
      </c>
      <c r="J81" s="420">
        <v>2022</v>
      </c>
      <c r="K81" s="434" t="s">
        <v>2099</v>
      </c>
      <c r="L81" s="434" t="s">
        <v>2100</v>
      </c>
      <c r="M81" s="133">
        <v>2000</v>
      </c>
      <c r="N81" s="133"/>
      <c r="O81" s="133"/>
      <c r="P81" s="133">
        <v>2000</v>
      </c>
      <c r="Q81" s="614"/>
      <c r="R81" s="614" t="s">
        <v>2089</v>
      </c>
      <c r="S81" s="614" t="s">
        <v>2089</v>
      </c>
      <c r="T81" s="614" t="s">
        <v>2091</v>
      </c>
      <c r="U81" s="133"/>
      <c r="V81" s="133"/>
      <c r="W81" s="133"/>
      <c r="X81" s="133"/>
      <c r="Y81" s="133">
        <f t="shared" si="5"/>
        <v>2000</v>
      </c>
      <c r="Z81" s="133"/>
      <c r="AA81" s="133"/>
      <c r="AB81" s="133">
        <f t="shared" si="6"/>
        <v>2000</v>
      </c>
      <c r="AC81" s="133">
        <v>0</v>
      </c>
      <c r="AD81" s="133"/>
      <c r="AE81" s="133">
        <v>2000</v>
      </c>
      <c r="AF81" s="133">
        <f t="shared" si="7"/>
        <v>2000</v>
      </c>
      <c r="AG81" s="133"/>
      <c r="AH81" s="133"/>
      <c r="AI81" s="133">
        <f t="shared" si="8"/>
        <v>2000</v>
      </c>
      <c r="AJ81" s="133">
        <v>0</v>
      </c>
      <c r="AK81" s="133">
        <v>0</v>
      </c>
      <c r="AL81" s="133">
        <v>2000</v>
      </c>
      <c r="AM81" s="133">
        <v>1957.6970000000001</v>
      </c>
      <c r="AN81" s="133"/>
      <c r="AO81" s="133"/>
      <c r="AP81" s="133">
        <v>1957.6970000000001</v>
      </c>
      <c r="AQ81" s="133">
        <v>0</v>
      </c>
      <c r="AR81" s="133">
        <v>0</v>
      </c>
      <c r="AS81" s="133">
        <v>1957.6970000000001</v>
      </c>
      <c r="AT81" s="133">
        <f t="shared" si="9"/>
        <v>0</v>
      </c>
      <c r="AU81" s="133"/>
      <c r="AV81" s="133"/>
      <c r="AW81" s="133">
        <f t="shared" si="10"/>
        <v>0</v>
      </c>
      <c r="AX81" s="133">
        <v>0</v>
      </c>
      <c r="AY81" s="133"/>
      <c r="AZ81" s="133"/>
      <c r="BA81" s="179">
        <v>0</v>
      </c>
      <c r="BB81" s="179"/>
      <c r="BC81" s="179"/>
      <c r="BD81" s="179">
        <v>0</v>
      </c>
      <c r="BE81" s="179">
        <v>0</v>
      </c>
      <c r="BF81" s="179"/>
      <c r="BG81" s="179"/>
      <c r="BH81" s="179"/>
      <c r="BI81" s="179"/>
      <c r="BJ81" s="179">
        <v>0</v>
      </c>
      <c r="BK81" s="179"/>
      <c r="BL81" s="179"/>
      <c r="BM81" s="179"/>
      <c r="BN81" s="179">
        <v>0</v>
      </c>
      <c r="BO81" s="179"/>
      <c r="BP81" s="179"/>
      <c r="BQ81" s="179"/>
      <c r="BR81" s="180"/>
      <c r="BS81" s="180"/>
      <c r="BT81" s="180"/>
      <c r="BU81" s="134"/>
      <c r="BV81" s="134"/>
      <c r="BW81" s="134"/>
      <c r="BX81" s="454"/>
    </row>
    <row r="82" spans="1:988 1052:2038 2102:3013 3077:4063 4127:5113 5177:6088 6152:7138 7202:8188 8252:9163 9227:10213 10277:11263 11327:12238 12302:13288 13352:15313 15377:16363" s="224" customFormat="1" ht="38.25" customHeight="1">
      <c r="A82" s="454" t="s">
        <v>60</v>
      </c>
      <c r="B82" s="454" t="s">
        <v>3636</v>
      </c>
      <c r="C82" s="454"/>
      <c r="D82" s="454"/>
      <c r="E82" s="454"/>
      <c r="F82" s="454"/>
      <c r="G82" s="454"/>
      <c r="H82" s="454"/>
      <c r="I82" s="418"/>
      <c r="J82" s="418"/>
      <c r="K82" s="454"/>
      <c r="L82" s="454"/>
      <c r="M82" s="207"/>
      <c r="N82" s="207"/>
      <c r="O82" s="207"/>
      <c r="P82" s="207"/>
      <c r="Q82" s="207"/>
      <c r="R82" s="207"/>
      <c r="S82" s="207"/>
      <c r="T82" s="207"/>
      <c r="U82" s="207"/>
      <c r="V82" s="207"/>
      <c r="W82" s="207"/>
      <c r="X82" s="207"/>
      <c r="Y82" s="207">
        <v>25502</v>
      </c>
      <c r="Z82" s="207">
        <v>0</v>
      </c>
      <c r="AA82" s="207">
        <v>0</v>
      </c>
      <c r="AB82" s="207">
        <v>25502</v>
      </c>
      <c r="AC82" s="207">
        <v>0</v>
      </c>
      <c r="AD82" s="207">
        <v>25502</v>
      </c>
      <c r="AE82" s="207">
        <v>0</v>
      </c>
      <c r="AF82" s="207">
        <v>12000</v>
      </c>
      <c r="AG82" s="207">
        <v>0</v>
      </c>
      <c r="AH82" s="207">
        <v>0</v>
      </c>
      <c r="AI82" s="207">
        <v>12000</v>
      </c>
      <c r="AJ82" s="207">
        <v>0</v>
      </c>
      <c r="AK82" s="207">
        <v>12000</v>
      </c>
      <c r="AL82" s="207">
        <v>0</v>
      </c>
      <c r="AM82" s="207">
        <v>0</v>
      </c>
      <c r="AN82" s="207">
        <v>0</v>
      </c>
      <c r="AO82" s="207">
        <v>0</v>
      </c>
      <c r="AP82" s="207">
        <v>0</v>
      </c>
      <c r="AQ82" s="207">
        <v>0</v>
      </c>
      <c r="AR82" s="207">
        <v>0</v>
      </c>
      <c r="AS82" s="207">
        <v>0</v>
      </c>
      <c r="AT82" s="207">
        <v>10211</v>
      </c>
      <c r="AU82" s="207">
        <v>0</v>
      </c>
      <c r="AV82" s="207">
        <v>0</v>
      </c>
      <c r="AW82" s="207">
        <v>10211</v>
      </c>
      <c r="AX82" s="207">
        <v>0</v>
      </c>
      <c r="AY82" s="207">
        <v>10211</v>
      </c>
      <c r="AZ82" s="207"/>
      <c r="BA82" s="207"/>
      <c r="BB82" s="207"/>
      <c r="BC82" s="207"/>
      <c r="BD82" s="207">
        <v>0</v>
      </c>
      <c r="BE82" s="207">
        <v>0</v>
      </c>
      <c r="BF82" s="207"/>
      <c r="BG82" s="207"/>
      <c r="BH82" s="207"/>
      <c r="BI82" s="207"/>
      <c r="BJ82" s="207"/>
      <c r="BK82" s="207"/>
      <c r="BL82" s="207"/>
      <c r="BM82" s="207"/>
      <c r="BN82" s="207"/>
      <c r="BO82" s="207"/>
      <c r="BP82" s="207"/>
      <c r="BQ82" s="207"/>
      <c r="BR82" s="207"/>
      <c r="BS82" s="207"/>
      <c r="BT82" s="207"/>
      <c r="BU82" s="207"/>
      <c r="BV82" s="207"/>
      <c r="BW82" s="207"/>
      <c r="BX82" s="207"/>
      <c r="BY82" s="225"/>
      <c r="BZ82" s="225"/>
      <c r="CA82" s="225"/>
      <c r="CB82" s="225"/>
      <c r="CC82" s="225"/>
      <c r="CD82" s="225"/>
      <c r="CE82" s="225"/>
      <c r="CF82" s="225"/>
      <c r="CG82" s="226"/>
      <c r="CH82" s="226"/>
      <c r="CI82" s="225"/>
      <c r="CJ82" s="225"/>
      <c r="EV82" s="225"/>
      <c r="EW82" s="225"/>
      <c r="EX82" s="225"/>
      <c r="EY82" s="225"/>
      <c r="EZ82" s="225"/>
      <c r="FA82" s="225"/>
      <c r="FB82" s="225"/>
      <c r="FC82" s="225"/>
      <c r="FD82" s="226"/>
      <c r="FE82" s="226"/>
      <c r="FF82" s="225"/>
      <c r="FG82" s="225"/>
      <c r="HS82" s="225"/>
      <c r="HT82" s="225"/>
      <c r="HU82" s="225"/>
      <c r="HV82" s="225"/>
      <c r="HW82" s="225"/>
      <c r="HX82" s="225"/>
      <c r="HY82" s="225"/>
      <c r="HZ82" s="225"/>
      <c r="IA82" s="226"/>
      <c r="IB82" s="226"/>
      <c r="IC82" s="225"/>
      <c r="ID82" s="225"/>
      <c r="KP82" s="225"/>
      <c r="KQ82" s="225"/>
      <c r="KR82" s="225"/>
      <c r="KS82" s="225"/>
      <c r="KT82" s="225"/>
      <c r="KU82" s="225"/>
      <c r="KV82" s="225"/>
      <c r="KW82" s="225"/>
      <c r="KX82" s="226"/>
      <c r="KY82" s="226"/>
      <c r="KZ82" s="225"/>
      <c r="LA82" s="225"/>
      <c r="NM82" s="225"/>
      <c r="NN82" s="225"/>
      <c r="NO82" s="225"/>
      <c r="NP82" s="225"/>
      <c r="NQ82" s="225"/>
      <c r="NR82" s="225"/>
      <c r="NS82" s="225"/>
      <c r="NT82" s="225"/>
      <c r="NU82" s="226"/>
      <c r="NV82" s="226"/>
      <c r="NW82" s="225"/>
      <c r="NX82" s="225"/>
      <c r="QJ82" s="225"/>
      <c r="QK82" s="225"/>
      <c r="QL82" s="225"/>
      <c r="QM82" s="225"/>
      <c r="QN82" s="225"/>
      <c r="QO82" s="225"/>
      <c r="QP82" s="225"/>
      <c r="QQ82" s="225"/>
      <c r="QR82" s="226"/>
      <c r="QS82" s="226"/>
      <c r="QT82" s="225"/>
      <c r="QU82" s="225"/>
      <c r="TG82" s="225"/>
      <c r="TH82" s="225"/>
      <c r="TI82" s="225"/>
      <c r="TJ82" s="225"/>
      <c r="TK82" s="225"/>
      <c r="TL82" s="225"/>
      <c r="TM82" s="225"/>
      <c r="TN82" s="225"/>
      <c r="TO82" s="226"/>
      <c r="TP82" s="226"/>
      <c r="TQ82" s="225"/>
      <c r="TR82" s="225"/>
      <c r="WD82" s="225"/>
      <c r="WE82" s="225"/>
      <c r="WF82" s="225"/>
      <c r="WG82" s="225"/>
      <c r="WH82" s="225"/>
      <c r="WI82" s="225"/>
      <c r="WJ82" s="225"/>
      <c r="WK82" s="225"/>
      <c r="WL82" s="226"/>
      <c r="WM82" s="226"/>
      <c r="WN82" s="225"/>
      <c r="WO82" s="225"/>
      <c r="ZA82" s="225"/>
      <c r="ZB82" s="225"/>
      <c r="ZC82" s="225"/>
      <c r="ZD82" s="225"/>
      <c r="ZE82" s="225"/>
      <c r="ZF82" s="225"/>
      <c r="ZG82" s="225"/>
      <c r="ZH82" s="225"/>
      <c r="ZI82" s="226"/>
      <c r="ZJ82" s="226"/>
      <c r="ZK82" s="225"/>
      <c r="ZL82" s="225"/>
      <c r="ABX82" s="225"/>
      <c r="ABY82" s="225"/>
      <c r="ABZ82" s="225"/>
      <c r="ACA82" s="225"/>
      <c r="ACB82" s="225"/>
      <c r="ACC82" s="225"/>
      <c r="ACD82" s="225"/>
      <c r="ACE82" s="225"/>
      <c r="ACF82" s="226"/>
      <c r="ACG82" s="226"/>
      <c r="ACH82" s="225"/>
      <c r="ACI82" s="225"/>
      <c r="AEU82" s="225"/>
      <c r="AEV82" s="225"/>
      <c r="AEW82" s="225"/>
      <c r="AEX82" s="225"/>
      <c r="AEY82" s="225"/>
      <c r="AEZ82" s="225"/>
      <c r="AFA82" s="225"/>
      <c r="AFB82" s="225"/>
      <c r="AFC82" s="226"/>
      <c r="AFD82" s="226"/>
      <c r="AFE82" s="225"/>
      <c r="AFF82" s="225"/>
      <c r="AHR82" s="225"/>
      <c r="AHS82" s="225"/>
      <c r="AHT82" s="225"/>
      <c r="AHU82" s="225"/>
      <c r="AHV82" s="225"/>
      <c r="AHW82" s="225"/>
      <c r="AHX82" s="225"/>
      <c r="AHY82" s="225"/>
      <c r="AHZ82" s="226"/>
      <c r="AIA82" s="226"/>
      <c r="AIB82" s="225"/>
      <c r="AIC82" s="225"/>
      <c r="AKO82" s="225"/>
      <c r="AKP82" s="225"/>
      <c r="AKQ82" s="225"/>
      <c r="AKR82" s="225"/>
      <c r="AKS82" s="225"/>
      <c r="AKT82" s="225"/>
      <c r="AKU82" s="225"/>
      <c r="AKV82" s="225"/>
      <c r="AKW82" s="226"/>
      <c r="AKX82" s="226"/>
      <c r="AKY82" s="225"/>
      <c r="AKZ82" s="225"/>
      <c r="ANL82" s="225"/>
      <c r="ANM82" s="225"/>
      <c r="ANN82" s="225"/>
      <c r="ANO82" s="225"/>
      <c r="ANP82" s="225"/>
      <c r="ANQ82" s="225"/>
      <c r="ANR82" s="225"/>
      <c r="ANS82" s="225"/>
      <c r="ANT82" s="226"/>
      <c r="ANU82" s="226"/>
      <c r="ANV82" s="225"/>
      <c r="ANW82" s="225"/>
      <c r="AQI82" s="225"/>
      <c r="AQJ82" s="225"/>
      <c r="AQK82" s="225"/>
      <c r="AQL82" s="225"/>
      <c r="AQM82" s="225"/>
      <c r="AQN82" s="225"/>
      <c r="AQO82" s="225"/>
      <c r="AQP82" s="225"/>
      <c r="AQQ82" s="226"/>
      <c r="AQR82" s="226"/>
      <c r="AQS82" s="225"/>
      <c r="AQT82" s="225"/>
      <c r="ATF82" s="225"/>
      <c r="ATG82" s="225"/>
      <c r="ATH82" s="225"/>
      <c r="ATI82" s="225"/>
      <c r="ATJ82" s="225"/>
      <c r="ATK82" s="225"/>
      <c r="ATL82" s="225"/>
      <c r="ATM82" s="225"/>
      <c r="ATN82" s="226"/>
      <c r="ATO82" s="226"/>
      <c r="ATP82" s="225"/>
      <c r="ATQ82" s="225"/>
      <c r="AWC82" s="225"/>
      <c r="AWD82" s="225"/>
      <c r="AWE82" s="225"/>
      <c r="AWF82" s="225"/>
      <c r="AWG82" s="225"/>
      <c r="AWH82" s="225"/>
      <c r="AWI82" s="225"/>
      <c r="AWJ82" s="225"/>
      <c r="AWK82" s="226"/>
      <c r="AWL82" s="226"/>
      <c r="AWM82" s="225"/>
      <c r="AWN82" s="225"/>
      <c r="AYZ82" s="225"/>
      <c r="AZA82" s="225"/>
      <c r="AZB82" s="225"/>
      <c r="AZC82" s="225"/>
      <c r="AZD82" s="225"/>
      <c r="AZE82" s="225"/>
      <c r="AZF82" s="225"/>
      <c r="AZG82" s="225"/>
      <c r="AZH82" s="226"/>
      <c r="AZI82" s="226"/>
      <c r="AZJ82" s="225"/>
      <c r="AZK82" s="225"/>
      <c r="BBW82" s="225"/>
      <c r="BBX82" s="225"/>
      <c r="BBY82" s="225"/>
      <c r="BBZ82" s="225"/>
      <c r="BCA82" s="225"/>
      <c r="BCB82" s="225"/>
      <c r="BCC82" s="225"/>
      <c r="BCD82" s="225"/>
      <c r="BCE82" s="226"/>
      <c r="BCF82" s="226"/>
      <c r="BCG82" s="225"/>
      <c r="BCH82" s="225"/>
      <c r="BET82" s="225"/>
      <c r="BEU82" s="225"/>
      <c r="BEV82" s="225"/>
      <c r="BEW82" s="225"/>
      <c r="BEX82" s="225"/>
      <c r="BEY82" s="225"/>
      <c r="BEZ82" s="225"/>
      <c r="BFA82" s="225"/>
      <c r="BFB82" s="226"/>
      <c r="BFC82" s="226"/>
      <c r="BFD82" s="225"/>
      <c r="BFE82" s="225"/>
      <c r="BHQ82" s="225"/>
      <c r="BHR82" s="225"/>
      <c r="BHS82" s="225"/>
      <c r="BHT82" s="225"/>
      <c r="BHU82" s="225"/>
      <c r="BHV82" s="225"/>
      <c r="BHW82" s="225"/>
      <c r="BHX82" s="225"/>
      <c r="BHY82" s="226"/>
      <c r="BHZ82" s="226"/>
      <c r="BIA82" s="225"/>
      <c r="BIB82" s="225"/>
      <c r="BKN82" s="225"/>
      <c r="BKO82" s="225"/>
      <c r="BKP82" s="225"/>
      <c r="BKQ82" s="225"/>
      <c r="BKR82" s="225"/>
      <c r="BKS82" s="225"/>
      <c r="BKT82" s="225"/>
      <c r="BKU82" s="225"/>
      <c r="BKV82" s="226"/>
      <c r="BKW82" s="226"/>
      <c r="BKX82" s="225"/>
      <c r="BKY82" s="225"/>
      <c r="BNK82" s="225"/>
      <c r="BNL82" s="225"/>
      <c r="BNM82" s="225"/>
      <c r="BNN82" s="225"/>
      <c r="BNO82" s="225"/>
      <c r="BNP82" s="225"/>
      <c r="BNQ82" s="225"/>
      <c r="BNR82" s="225"/>
      <c r="BNS82" s="226"/>
      <c r="BNT82" s="226"/>
      <c r="BNU82" s="225"/>
      <c r="BNV82" s="225"/>
      <c r="BQH82" s="225"/>
      <c r="BQI82" s="225"/>
      <c r="BQJ82" s="225"/>
      <c r="BQK82" s="225"/>
      <c r="BQL82" s="225"/>
      <c r="BQM82" s="225"/>
      <c r="BQN82" s="225"/>
      <c r="BQO82" s="225"/>
      <c r="BQP82" s="226"/>
      <c r="BQQ82" s="226"/>
      <c r="BQR82" s="225"/>
      <c r="BQS82" s="225"/>
      <c r="BTE82" s="225"/>
      <c r="BTF82" s="225"/>
      <c r="BTG82" s="225"/>
      <c r="BTH82" s="225"/>
      <c r="BTI82" s="225"/>
      <c r="BTJ82" s="225"/>
      <c r="BTK82" s="225"/>
      <c r="BTL82" s="225"/>
      <c r="BTM82" s="226"/>
      <c r="BTN82" s="226"/>
      <c r="BTO82" s="225"/>
      <c r="BTP82" s="225"/>
      <c r="BWB82" s="225"/>
      <c r="BWC82" s="225"/>
      <c r="BWD82" s="225"/>
      <c r="BWE82" s="225"/>
      <c r="BWF82" s="225"/>
      <c r="BWG82" s="225"/>
      <c r="BWH82" s="225"/>
      <c r="BWI82" s="225"/>
      <c r="BWJ82" s="226"/>
      <c r="BWK82" s="226"/>
      <c r="BWL82" s="225"/>
      <c r="BWM82" s="225"/>
      <c r="BYY82" s="225"/>
      <c r="BYZ82" s="225"/>
      <c r="BZA82" s="225"/>
      <c r="BZB82" s="225"/>
      <c r="BZC82" s="225"/>
      <c r="BZD82" s="225"/>
      <c r="BZE82" s="225"/>
      <c r="BZF82" s="225"/>
      <c r="BZG82" s="226"/>
      <c r="BZH82" s="226"/>
      <c r="BZI82" s="225"/>
      <c r="BZJ82" s="225"/>
      <c r="CBV82" s="225"/>
      <c r="CBW82" s="225"/>
      <c r="CBX82" s="225"/>
      <c r="CBY82" s="225"/>
      <c r="CBZ82" s="225"/>
      <c r="CCA82" s="225"/>
      <c r="CCB82" s="225"/>
      <c r="CCC82" s="225"/>
      <c r="CCD82" s="226"/>
      <c r="CCE82" s="226"/>
      <c r="CCF82" s="225"/>
      <c r="CCG82" s="225"/>
      <c r="CES82" s="225"/>
      <c r="CET82" s="225"/>
      <c r="CEU82" s="225"/>
      <c r="CEV82" s="225"/>
      <c r="CEW82" s="225"/>
      <c r="CEX82" s="225"/>
      <c r="CEY82" s="225"/>
      <c r="CEZ82" s="225"/>
      <c r="CFA82" s="226"/>
      <c r="CFB82" s="226"/>
      <c r="CFC82" s="225"/>
      <c r="CFD82" s="225"/>
      <c r="CHP82" s="225"/>
      <c r="CHQ82" s="225"/>
      <c r="CHR82" s="225"/>
      <c r="CHS82" s="225"/>
      <c r="CHT82" s="225"/>
      <c r="CHU82" s="225"/>
      <c r="CHV82" s="225"/>
      <c r="CHW82" s="225"/>
      <c r="CHX82" s="226"/>
      <c r="CHY82" s="226"/>
      <c r="CHZ82" s="225"/>
      <c r="CIA82" s="225"/>
      <c r="CKM82" s="225"/>
      <c r="CKN82" s="225"/>
      <c r="CKO82" s="225"/>
      <c r="CKP82" s="225"/>
      <c r="CKQ82" s="225"/>
      <c r="CKR82" s="225"/>
      <c r="CKS82" s="225"/>
      <c r="CKT82" s="225"/>
      <c r="CKU82" s="226"/>
      <c r="CKV82" s="226"/>
      <c r="CKW82" s="225"/>
      <c r="CKX82" s="225"/>
      <c r="CNJ82" s="225"/>
      <c r="CNK82" s="225"/>
      <c r="CNL82" s="225"/>
      <c r="CNM82" s="225"/>
      <c r="CNN82" s="225"/>
      <c r="CNO82" s="225"/>
      <c r="CNP82" s="225"/>
      <c r="CNQ82" s="225"/>
      <c r="CNR82" s="226"/>
      <c r="CNS82" s="226"/>
      <c r="CNT82" s="225"/>
      <c r="CNU82" s="225"/>
      <c r="CQG82" s="225"/>
      <c r="CQH82" s="225"/>
      <c r="CQI82" s="225"/>
      <c r="CQJ82" s="225"/>
      <c r="CQK82" s="225"/>
      <c r="CQL82" s="225"/>
      <c r="CQM82" s="225"/>
      <c r="CQN82" s="225"/>
      <c r="CQO82" s="226"/>
      <c r="CQP82" s="226"/>
      <c r="CQQ82" s="225"/>
      <c r="CQR82" s="225"/>
      <c r="CTD82" s="225"/>
      <c r="CTE82" s="225"/>
      <c r="CTF82" s="225"/>
      <c r="CTG82" s="225"/>
      <c r="CTH82" s="225"/>
      <c r="CTI82" s="225"/>
      <c r="CTJ82" s="225"/>
      <c r="CTK82" s="225"/>
      <c r="CTL82" s="226"/>
      <c r="CTM82" s="226"/>
      <c r="CTN82" s="225"/>
      <c r="CTO82" s="225"/>
      <c r="CWA82" s="225"/>
      <c r="CWB82" s="225"/>
      <c r="CWC82" s="225"/>
      <c r="CWD82" s="225"/>
      <c r="CWE82" s="225"/>
      <c r="CWF82" s="225"/>
      <c r="CWG82" s="225"/>
      <c r="CWH82" s="225"/>
      <c r="CWI82" s="226"/>
      <c r="CWJ82" s="226"/>
      <c r="CWK82" s="225"/>
      <c r="CWL82" s="225"/>
      <c r="CYX82" s="225"/>
      <c r="CYY82" s="225"/>
      <c r="CYZ82" s="225"/>
      <c r="CZA82" s="225"/>
      <c r="CZB82" s="225"/>
      <c r="CZC82" s="225"/>
      <c r="CZD82" s="225"/>
      <c r="CZE82" s="225"/>
      <c r="CZF82" s="226"/>
      <c r="CZG82" s="226"/>
      <c r="CZH82" s="225"/>
      <c r="CZI82" s="225"/>
      <c r="DBU82" s="225"/>
      <c r="DBV82" s="225"/>
      <c r="DBW82" s="225"/>
      <c r="DBX82" s="225"/>
      <c r="DBY82" s="225"/>
      <c r="DBZ82" s="225"/>
      <c r="DCA82" s="225"/>
      <c r="DCB82" s="225"/>
      <c r="DCC82" s="226"/>
      <c r="DCD82" s="226"/>
      <c r="DCE82" s="225"/>
      <c r="DCF82" s="225"/>
      <c r="DER82" s="225"/>
      <c r="DES82" s="225"/>
      <c r="DET82" s="225"/>
      <c r="DEU82" s="225"/>
      <c r="DEV82" s="225"/>
      <c r="DEW82" s="225"/>
      <c r="DEX82" s="225"/>
      <c r="DEY82" s="225"/>
      <c r="DEZ82" s="226"/>
      <c r="DFA82" s="226"/>
      <c r="DFB82" s="225"/>
      <c r="DFC82" s="225"/>
      <c r="DHO82" s="225"/>
      <c r="DHP82" s="225"/>
      <c r="DHQ82" s="225"/>
      <c r="DHR82" s="225"/>
      <c r="DHS82" s="225"/>
      <c r="DHT82" s="225"/>
      <c r="DHU82" s="225"/>
      <c r="DHV82" s="225"/>
      <c r="DHW82" s="226"/>
      <c r="DHX82" s="226"/>
      <c r="DHY82" s="225"/>
      <c r="DHZ82" s="225"/>
      <c r="DKL82" s="225"/>
      <c r="DKM82" s="225"/>
      <c r="DKN82" s="225"/>
      <c r="DKO82" s="225"/>
      <c r="DKP82" s="225"/>
      <c r="DKQ82" s="225"/>
      <c r="DKR82" s="225"/>
      <c r="DKS82" s="225"/>
      <c r="DKT82" s="226"/>
      <c r="DKU82" s="226"/>
      <c r="DKV82" s="225"/>
      <c r="DKW82" s="225"/>
      <c r="DNI82" s="225"/>
      <c r="DNJ82" s="225"/>
      <c r="DNK82" s="225"/>
      <c r="DNL82" s="225"/>
      <c r="DNM82" s="225"/>
      <c r="DNN82" s="225"/>
      <c r="DNO82" s="225"/>
      <c r="DNP82" s="225"/>
      <c r="DNQ82" s="226"/>
      <c r="DNR82" s="226"/>
      <c r="DNS82" s="225"/>
      <c r="DNT82" s="225"/>
      <c r="DQF82" s="225"/>
      <c r="DQG82" s="225"/>
      <c r="DQH82" s="225"/>
      <c r="DQI82" s="225"/>
      <c r="DQJ82" s="225"/>
      <c r="DQK82" s="225"/>
      <c r="DQL82" s="225"/>
      <c r="DQM82" s="225"/>
      <c r="DQN82" s="226"/>
      <c r="DQO82" s="226"/>
      <c r="DQP82" s="225"/>
      <c r="DQQ82" s="225"/>
      <c r="DTC82" s="225"/>
      <c r="DTD82" s="225"/>
      <c r="DTE82" s="225"/>
      <c r="DTF82" s="225"/>
      <c r="DTG82" s="225"/>
      <c r="DTH82" s="225"/>
      <c r="DTI82" s="225"/>
      <c r="DTJ82" s="225"/>
      <c r="DTK82" s="226"/>
      <c r="DTL82" s="226"/>
      <c r="DTM82" s="225"/>
      <c r="DTN82" s="225"/>
      <c r="DVZ82" s="225"/>
      <c r="DWA82" s="225"/>
      <c r="DWB82" s="225"/>
      <c r="DWC82" s="225"/>
      <c r="DWD82" s="225"/>
      <c r="DWE82" s="225"/>
      <c r="DWF82" s="225"/>
      <c r="DWG82" s="225"/>
      <c r="DWH82" s="226"/>
      <c r="DWI82" s="226"/>
      <c r="DWJ82" s="225"/>
      <c r="DWK82" s="225"/>
      <c r="DYW82" s="225"/>
      <c r="DYX82" s="225"/>
      <c r="DYY82" s="225"/>
      <c r="DYZ82" s="225"/>
      <c r="DZA82" s="225"/>
      <c r="DZB82" s="225"/>
      <c r="DZC82" s="225"/>
      <c r="DZD82" s="225"/>
      <c r="DZE82" s="226"/>
      <c r="DZF82" s="226"/>
      <c r="DZG82" s="225"/>
      <c r="DZH82" s="225"/>
      <c r="EBT82" s="225"/>
      <c r="EBU82" s="225"/>
      <c r="EBV82" s="225"/>
      <c r="EBW82" s="225"/>
      <c r="EBX82" s="225"/>
      <c r="EBY82" s="225"/>
      <c r="EBZ82" s="225"/>
      <c r="ECA82" s="225"/>
      <c r="ECB82" s="226"/>
      <c r="ECC82" s="226"/>
      <c r="ECD82" s="225"/>
      <c r="ECE82" s="225"/>
      <c r="EEQ82" s="225"/>
      <c r="EER82" s="225"/>
      <c r="EES82" s="225"/>
      <c r="EET82" s="225"/>
      <c r="EEU82" s="225"/>
      <c r="EEV82" s="225"/>
      <c r="EEW82" s="225"/>
      <c r="EEX82" s="225"/>
      <c r="EEY82" s="226"/>
      <c r="EEZ82" s="226"/>
      <c r="EFA82" s="225"/>
      <c r="EFB82" s="225"/>
      <c r="EHN82" s="225"/>
      <c r="EHO82" s="225"/>
      <c r="EHP82" s="225"/>
      <c r="EHQ82" s="225"/>
      <c r="EHR82" s="225"/>
      <c r="EHS82" s="225"/>
      <c r="EHT82" s="225"/>
      <c r="EHU82" s="225"/>
      <c r="EHV82" s="226"/>
      <c r="EHW82" s="226"/>
      <c r="EHX82" s="225"/>
      <c r="EHY82" s="225"/>
      <c r="EKK82" s="225"/>
      <c r="EKL82" s="225"/>
      <c r="EKM82" s="225"/>
      <c r="EKN82" s="225"/>
      <c r="EKO82" s="225"/>
      <c r="EKP82" s="225"/>
      <c r="EKQ82" s="225"/>
      <c r="EKR82" s="225"/>
      <c r="EKS82" s="226"/>
      <c r="EKT82" s="226"/>
      <c r="EKU82" s="225"/>
      <c r="EKV82" s="225"/>
      <c r="ENH82" s="225"/>
      <c r="ENI82" s="225"/>
      <c r="ENJ82" s="225"/>
      <c r="ENK82" s="225"/>
      <c r="ENL82" s="225"/>
      <c r="ENM82" s="225"/>
      <c r="ENN82" s="225"/>
      <c r="ENO82" s="225"/>
      <c r="ENP82" s="226"/>
      <c r="ENQ82" s="226"/>
      <c r="ENR82" s="225"/>
      <c r="ENS82" s="225"/>
      <c r="EQE82" s="225"/>
      <c r="EQF82" s="225"/>
      <c r="EQG82" s="225"/>
      <c r="EQH82" s="225"/>
      <c r="EQI82" s="225"/>
      <c r="EQJ82" s="225"/>
      <c r="EQK82" s="225"/>
      <c r="EQL82" s="225"/>
      <c r="EQM82" s="226"/>
      <c r="EQN82" s="226"/>
      <c r="EQO82" s="225"/>
      <c r="EQP82" s="225"/>
      <c r="ETB82" s="225"/>
      <c r="ETC82" s="225"/>
      <c r="ETD82" s="225"/>
      <c r="ETE82" s="225"/>
      <c r="ETF82" s="225"/>
      <c r="ETG82" s="225"/>
      <c r="ETH82" s="225"/>
      <c r="ETI82" s="225"/>
      <c r="ETJ82" s="226"/>
      <c r="ETK82" s="226"/>
      <c r="ETL82" s="225"/>
      <c r="ETM82" s="225"/>
      <c r="EVY82" s="225"/>
      <c r="EVZ82" s="225"/>
      <c r="EWA82" s="225"/>
      <c r="EWB82" s="225"/>
      <c r="EWC82" s="225"/>
      <c r="EWD82" s="225"/>
      <c r="EWE82" s="225"/>
      <c r="EWF82" s="225"/>
      <c r="EWG82" s="226"/>
      <c r="EWH82" s="226"/>
      <c r="EWI82" s="225"/>
      <c r="EWJ82" s="225"/>
      <c r="EYV82" s="225"/>
      <c r="EYW82" s="225"/>
      <c r="EYX82" s="225"/>
      <c r="EYY82" s="225"/>
      <c r="EYZ82" s="225"/>
      <c r="EZA82" s="225"/>
      <c r="EZB82" s="225"/>
      <c r="EZC82" s="225"/>
      <c r="EZD82" s="226"/>
      <c r="EZE82" s="226"/>
      <c r="EZF82" s="225"/>
      <c r="EZG82" s="225"/>
      <c r="FBS82" s="225"/>
      <c r="FBT82" s="225"/>
      <c r="FBU82" s="225"/>
      <c r="FBV82" s="225"/>
      <c r="FBW82" s="225"/>
      <c r="FBX82" s="225"/>
      <c r="FBY82" s="225"/>
      <c r="FBZ82" s="225"/>
      <c r="FCA82" s="226"/>
      <c r="FCB82" s="226"/>
      <c r="FCC82" s="225"/>
      <c r="FCD82" s="225"/>
      <c r="FEP82" s="225"/>
      <c r="FEQ82" s="225"/>
      <c r="FER82" s="225"/>
      <c r="FES82" s="225"/>
      <c r="FET82" s="225"/>
      <c r="FEU82" s="225"/>
      <c r="FEV82" s="225"/>
      <c r="FEW82" s="225"/>
      <c r="FEX82" s="226"/>
      <c r="FEY82" s="226"/>
      <c r="FEZ82" s="225"/>
      <c r="FFA82" s="225"/>
      <c r="FHM82" s="225"/>
      <c r="FHN82" s="225"/>
      <c r="FHO82" s="225"/>
      <c r="FHP82" s="225"/>
      <c r="FHQ82" s="225"/>
      <c r="FHR82" s="225"/>
      <c r="FHS82" s="225"/>
      <c r="FHT82" s="225"/>
      <c r="FHU82" s="226"/>
      <c r="FHV82" s="226"/>
      <c r="FHW82" s="225"/>
      <c r="FHX82" s="225"/>
      <c r="FKJ82" s="225"/>
      <c r="FKK82" s="225"/>
      <c r="FKL82" s="225"/>
      <c r="FKM82" s="225"/>
      <c r="FKN82" s="225"/>
      <c r="FKO82" s="225"/>
      <c r="FKP82" s="225"/>
      <c r="FKQ82" s="225"/>
      <c r="FKR82" s="226"/>
      <c r="FKS82" s="226"/>
      <c r="FKT82" s="225"/>
      <c r="FKU82" s="225"/>
      <c r="FNG82" s="225"/>
      <c r="FNH82" s="225"/>
      <c r="FNI82" s="225"/>
      <c r="FNJ82" s="225"/>
      <c r="FNK82" s="225"/>
      <c r="FNL82" s="225"/>
      <c r="FNM82" s="225"/>
      <c r="FNN82" s="225"/>
      <c r="FNO82" s="226"/>
      <c r="FNP82" s="226"/>
      <c r="FNQ82" s="225"/>
      <c r="FNR82" s="225"/>
      <c r="FQD82" s="225"/>
      <c r="FQE82" s="225"/>
      <c r="FQF82" s="225"/>
      <c r="FQG82" s="225"/>
      <c r="FQH82" s="225"/>
      <c r="FQI82" s="225"/>
      <c r="FQJ82" s="225"/>
      <c r="FQK82" s="225"/>
      <c r="FQL82" s="226"/>
      <c r="FQM82" s="226"/>
      <c r="FQN82" s="225"/>
      <c r="FQO82" s="225"/>
      <c r="FTA82" s="225"/>
      <c r="FTB82" s="225"/>
      <c r="FTC82" s="225"/>
      <c r="FTD82" s="225"/>
      <c r="FTE82" s="225"/>
      <c r="FTF82" s="225"/>
      <c r="FTG82" s="225"/>
      <c r="FTH82" s="225"/>
      <c r="FTI82" s="226"/>
      <c r="FTJ82" s="226"/>
      <c r="FTK82" s="225"/>
      <c r="FTL82" s="225"/>
      <c r="FVX82" s="225"/>
      <c r="FVY82" s="225"/>
      <c r="FVZ82" s="225"/>
      <c r="FWA82" s="225"/>
      <c r="FWB82" s="225"/>
      <c r="FWC82" s="225"/>
      <c r="FWD82" s="225"/>
      <c r="FWE82" s="225"/>
      <c r="FWF82" s="226"/>
      <c r="FWG82" s="226"/>
      <c r="FWH82" s="225"/>
      <c r="FWI82" s="225"/>
      <c r="FYU82" s="225"/>
      <c r="FYV82" s="225"/>
      <c r="FYW82" s="225"/>
      <c r="FYX82" s="225"/>
      <c r="FYY82" s="225"/>
      <c r="FYZ82" s="225"/>
      <c r="FZA82" s="225"/>
      <c r="FZB82" s="225"/>
      <c r="FZC82" s="226"/>
      <c r="FZD82" s="226"/>
      <c r="FZE82" s="225"/>
      <c r="FZF82" s="225"/>
      <c r="GBR82" s="225"/>
      <c r="GBS82" s="225"/>
      <c r="GBT82" s="225"/>
      <c r="GBU82" s="225"/>
      <c r="GBV82" s="225"/>
      <c r="GBW82" s="225"/>
      <c r="GBX82" s="225"/>
      <c r="GBY82" s="225"/>
      <c r="GBZ82" s="226"/>
      <c r="GCA82" s="226"/>
      <c r="GCB82" s="225"/>
      <c r="GCC82" s="225"/>
      <c r="GEO82" s="225"/>
      <c r="GEP82" s="225"/>
      <c r="GEQ82" s="225"/>
      <c r="GER82" s="225"/>
      <c r="GES82" s="225"/>
      <c r="GET82" s="225"/>
      <c r="GEU82" s="225"/>
      <c r="GEV82" s="225"/>
      <c r="GEW82" s="226"/>
      <c r="GEX82" s="226"/>
      <c r="GEY82" s="225"/>
      <c r="GEZ82" s="225"/>
      <c r="GHL82" s="225"/>
      <c r="GHM82" s="225"/>
      <c r="GHN82" s="225"/>
      <c r="GHO82" s="225"/>
      <c r="GHP82" s="225"/>
      <c r="GHQ82" s="225"/>
      <c r="GHR82" s="225"/>
      <c r="GHS82" s="225"/>
      <c r="GHT82" s="226"/>
      <c r="GHU82" s="226"/>
      <c r="GHV82" s="225"/>
      <c r="GHW82" s="225"/>
      <c r="GKI82" s="225"/>
      <c r="GKJ82" s="225"/>
      <c r="GKK82" s="225"/>
      <c r="GKL82" s="225"/>
      <c r="GKM82" s="225"/>
      <c r="GKN82" s="225"/>
      <c r="GKO82" s="225"/>
      <c r="GKP82" s="225"/>
      <c r="GKQ82" s="226"/>
      <c r="GKR82" s="226"/>
      <c r="GKS82" s="225"/>
      <c r="GKT82" s="225"/>
      <c r="GNF82" s="225"/>
      <c r="GNG82" s="225"/>
      <c r="GNH82" s="225"/>
      <c r="GNI82" s="225"/>
      <c r="GNJ82" s="225"/>
      <c r="GNK82" s="225"/>
      <c r="GNL82" s="225"/>
      <c r="GNM82" s="225"/>
      <c r="GNN82" s="226"/>
      <c r="GNO82" s="226"/>
      <c r="GNP82" s="225"/>
      <c r="GNQ82" s="225"/>
      <c r="GQC82" s="225"/>
      <c r="GQD82" s="225"/>
      <c r="GQE82" s="225"/>
      <c r="GQF82" s="225"/>
      <c r="GQG82" s="225"/>
      <c r="GQH82" s="225"/>
      <c r="GQI82" s="225"/>
      <c r="GQJ82" s="225"/>
      <c r="GQK82" s="226"/>
      <c r="GQL82" s="226"/>
      <c r="GQM82" s="225"/>
      <c r="GQN82" s="225"/>
      <c r="GSZ82" s="225"/>
      <c r="GTA82" s="225"/>
      <c r="GTB82" s="225"/>
      <c r="GTC82" s="225"/>
      <c r="GTD82" s="225"/>
      <c r="GTE82" s="225"/>
      <c r="GTF82" s="225"/>
      <c r="GTG82" s="225"/>
      <c r="GTH82" s="226"/>
      <c r="GTI82" s="226"/>
      <c r="GTJ82" s="225"/>
      <c r="GTK82" s="225"/>
      <c r="GVW82" s="225"/>
      <c r="GVX82" s="225"/>
      <c r="GVY82" s="225"/>
      <c r="GVZ82" s="225"/>
      <c r="GWA82" s="225"/>
      <c r="GWB82" s="225"/>
      <c r="GWC82" s="225"/>
      <c r="GWD82" s="225"/>
      <c r="GWE82" s="226"/>
      <c r="GWF82" s="226"/>
      <c r="GWG82" s="225"/>
      <c r="GWH82" s="225"/>
      <c r="GYT82" s="225"/>
      <c r="GYU82" s="225"/>
      <c r="GYV82" s="225"/>
      <c r="GYW82" s="225"/>
      <c r="GYX82" s="225"/>
      <c r="GYY82" s="225"/>
      <c r="GYZ82" s="225"/>
      <c r="GZA82" s="225"/>
      <c r="GZB82" s="226"/>
      <c r="GZC82" s="226"/>
      <c r="GZD82" s="225"/>
      <c r="GZE82" s="225"/>
      <c r="HBQ82" s="225"/>
      <c r="HBR82" s="225"/>
      <c r="HBS82" s="225"/>
      <c r="HBT82" s="225"/>
      <c r="HBU82" s="225"/>
      <c r="HBV82" s="225"/>
      <c r="HBW82" s="225"/>
      <c r="HBX82" s="225"/>
      <c r="HBY82" s="226"/>
      <c r="HBZ82" s="226"/>
      <c r="HCA82" s="225"/>
      <c r="HCB82" s="225"/>
      <c r="HEN82" s="225"/>
      <c r="HEO82" s="225"/>
      <c r="HEP82" s="225"/>
      <c r="HEQ82" s="225"/>
      <c r="HER82" s="225"/>
      <c r="HES82" s="225"/>
      <c r="HET82" s="225"/>
      <c r="HEU82" s="225"/>
      <c r="HEV82" s="226"/>
      <c r="HEW82" s="226"/>
      <c r="HEX82" s="225"/>
      <c r="HEY82" s="225"/>
      <c r="HHK82" s="225"/>
      <c r="HHL82" s="225"/>
      <c r="HHM82" s="225"/>
      <c r="HHN82" s="225"/>
      <c r="HHO82" s="225"/>
      <c r="HHP82" s="225"/>
      <c r="HHQ82" s="225"/>
      <c r="HHR82" s="225"/>
      <c r="HHS82" s="226"/>
      <c r="HHT82" s="226"/>
      <c r="HHU82" s="225"/>
      <c r="HHV82" s="225"/>
      <c r="HKH82" s="225"/>
      <c r="HKI82" s="225"/>
      <c r="HKJ82" s="225"/>
      <c r="HKK82" s="225"/>
      <c r="HKL82" s="225"/>
      <c r="HKM82" s="225"/>
      <c r="HKN82" s="225"/>
      <c r="HKO82" s="225"/>
      <c r="HKP82" s="226"/>
      <c r="HKQ82" s="226"/>
      <c r="HKR82" s="225"/>
      <c r="HKS82" s="225"/>
      <c r="HNE82" s="225"/>
      <c r="HNF82" s="225"/>
      <c r="HNG82" s="225"/>
      <c r="HNH82" s="225"/>
      <c r="HNI82" s="225"/>
      <c r="HNJ82" s="225"/>
      <c r="HNK82" s="225"/>
      <c r="HNL82" s="225"/>
      <c r="HNM82" s="226"/>
      <c r="HNN82" s="226"/>
      <c r="HNO82" s="225"/>
      <c r="HNP82" s="225"/>
      <c r="HQB82" s="225"/>
      <c r="HQC82" s="225"/>
      <c r="HQD82" s="225"/>
      <c r="HQE82" s="225"/>
      <c r="HQF82" s="225"/>
      <c r="HQG82" s="225"/>
      <c r="HQH82" s="225"/>
      <c r="HQI82" s="225"/>
      <c r="HQJ82" s="226"/>
      <c r="HQK82" s="226"/>
      <c r="HQL82" s="225"/>
      <c r="HQM82" s="225"/>
      <c r="HSY82" s="225"/>
      <c r="HSZ82" s="225"/>
      <c r="HTA82" s="225"/>
      <c r="HTB82" s="225"/>
      <c r="HTC82" s="225"/>
      <c r="HTD82" s="225"/>
      <c r="HTE82" s="225"/>
      <c r="HTF82" s="225"/>
      <c r="HTG82" s="226"/>
      <c r="HTH82" s="226"/>
      <c r="HTI82" s="225"/>
      <c r="HTJ82" s="225"/>
      <c r="HVV82" s="225"/>
      <c r="HVW82" s="225"/>
      <c r="HVX82" s="225"/>
      <c r="HVY82" s="225"/>
      <c r="HVZ82" s="225"/>
      <c r="HWA82" s="225"/>
      <c r="HWB82" s="225"/>
      <c r="HWC82" s="225"/>
      <c r="HWD82" s="226"/>
      <c r="HWE82" s="226"/>
      <c r="HWF82" s="225"/>
      <c r="HWG82" s="225"/>
      <c r="HYS82" s="225"/>
      <c r="HYT82" s="225"/>
      <c r="HYU82" s="225"/>
      <c r="HYV82" s="225"/>
      <c r="HYW82" s="225"/>
      <c r="HYX82" s="225"/>
      <c r="HYY82" s="225"/>
      <c r="HYZ82" s="225"/>
      <c r="HZA82" s="226"/>
      <c r="HZB82" s="226"/>
      <c r="HZC82" s="225"/>
      <c r="HZD82" s="225"/>
      <c r="IBP82" s="225"/>
      <c r="IBQ82" s="225"/>
      <c r="IBR82" s="225"/>
      <c r="IBS82" s="225"/>
      <c r="IBT82" s="225"/>
      <c r="IBU82" s="225"/>
      <c r="IBV82" s="225"/>
      <c r="IBW82" s="225"/>
      <c r="IBX82" s="226"/>
      <c r="IBY82" s="226"/>
      <c r="IBZ82" s="225"/>
      <c r="ICA82" s="225"/>
      <c r="IEM82" s="225"/>
      <c r="IEN82" s="225"/>
      <c r="IEO82" s="225"/>
      <c r="IEP82" s="225"/>
      <c r="IEQ82" s="225"/>
      <c r="IER82" s="225"/>
      <c r="IES82" s="225"/>
      <c r="IET82" s="225"/>
      <c r="IEU82" s="226"/>
      <c r="IEV82" s="226"/>
      <c r="IEW82" s="225"/>
      <c r="IEX82" s="225"/>
      <c r="IHJ82" s="225"/>
      <c r="IHK82" s="225"/>
      <c r="IHL82" s="225"/>
      <c r="IHM82" s="225"/>
      <c r="IHN82" s="225"/>
      <c r="IHO82" s="225"/>
      <c r="IHP82" s="225"/>
      <c r="IHQ82" s="225"/>
      <c r="IHR82" s="226"/>
      <c r="IHS82" s="226"/>
      <c r="IHT82" s="225"/>
      <c r="IHU82" s="225"/>
      <c r="IKG82" s="225"/>
      <c r="IKH82" s="225"/>
      <c r="IKI82" s="225"/>
      <c r="IKJ82" s="225"/>
      <c r="IKK82" s="225"/>
      <c r="IKL82" s="225"/>
      <c r="IKM82" s="225"/>
      <c r="IKN82" s="225"/>
      <c r="IKO82" s="226"/>
      <c r="IKP82" s="226"/>
      <c r="IKQ82" s="225"/>
      <c r="IKR82" s="225"/>
      <c r="IND82" s="225"/>
      <c r="INE82" s="225"/>
      <c r="INF82" s="225"/>
      <c r="ING82" s="225"/>
      <c r="INH82" s="225"/>
      <c r="INI82" s="225"/>
      <c r="INJ82" s="225"/>
      <c r="INK82" s="225"/>
      <c r="INL82" s="226"/>
      <c r="INM82" s="226"/>
      <c r="INN82" s="225"/>
      <c r="INO82" s="225"/>
      <c r="IQA82" s="225"/>
      <c r="IQB82" s="225"/>
      <c r="IQC82" s="225"/>
      <c r="IQD82" s="225"/>
      <c r="IQE82" s="225"/>
      <c r="IQF82" s="225"/>
      <c r="IQG82" s="225"/>
      <c r="IQH82" s="225"/>
      <c r="IQI82" s="226"/>
      <c r="IQJ82" s="226"/>
      <c r="IQK82" s="225"/>
      <c r="IQL82" s="225"/>
      <c r="ISX82" s="225"/>
      <c r="ISY82" s="225"/>
      <c r="ISZ82" s="225"/>
      <c r="ITA82" s="225"/>
      <c r="ITB82" s="225"/>
      <c r="ITC82" s="225"/>
      <c r="ITD82" s="225"/>
      <c r="ITE82" s="225"/>
      <c r="ITF82" s="226"/>
      <c r="ITG82" s="226"/>
      <c r="ITH82" s="225"/>
      <c r="ITI82" s="225"/>
      <c r="IVU82" s="225"/>
      <c r="IVV82" s="225"/>
      <c r="IVW82" s="225"/>
      <c r="IVX82" s="225"/>
      <c r="IVY82" s="225"/>
      <c r="IVZ82" s="225"/>
      <c r="IWA82" s="225"/>
      <c r="IWB82" s="225"/>
      <c r="IWC82" s="226"/>
      <c r="IWD82" s="226"/>
      <c r="IWE82" s="225"/>
      <c r="IWF82" s="225"/>
      <c r="IYR82" s="225"/>
      <c r="IYS82" s="225"/>
      <c r="IYT82" s="225"/>
      <c r="IYU82" s="225"/>
      <c r="IYV82" s="225"/>
      <c r="IYW82" s="225"/>
      <c r="IYX82" s="225"/>
      <c r="IYY82" s="225"/>
      <c r="IYZ82" s="226"/>
      <c r="IZA82" s="226"/>
      <c r="IZB82" s="225"/>
      <c r="IZC82" s="225"/>
      <c r="JBO82" s="225"/>
      <c r="JBP82" s="225"/>
      <c r="JBQ82" s="225"/>
      <c r="JBR82" s="225"/>
      <c r="JBS82" s="225"/>
      <c r="JBT82" s="225"/>
      <c r="JBU82" s="225"/>
      <c r="JBV82" s="225"/>
      <c r="JBW82" s="226"/>
      <c r="JBX82" s="226"/>
      <c r="JBY82" s="225"/>
      <c r="JBZ82" s="225"/>
      <c r="JEL82" s="225"/>
      <c r="JEM82" s="225"/>
      <c r="JEN82" s="225"/>
      <c r="JEO82" s="225"/>
      <c r="JEP82" s="225"/>
      <c r="JEQ82" s="225"/>
      <c r="JER82" s="225"/>
      <c r="JES82" s="225"/>
      <c r="JET82" s="226"/>
      <c r="JEU82" s="226"/>
      <c r="JEV82" s="225"/>
      <c r="JEW82" s="225"/>
      <c r="JHI82" s="225"/>
      <c r="JHJ82" s="225"/>
      <c r="JHK82" s="225"/>
      <c r="JHL82" s="225"/>
      <c r="JHM82" s="225"/>
      <c r="JHN82" s="225"/>
      <c r="JHO82" s="225"/>
      <c r="JHP82" s="225"/>
      <c r="JHQ82" s="226"/>
      <c r="JHR82" s="226"/>
      <c r="JHS82" s="225"/>
      <c r="JHT82" s="225"/>
      <c r="JKF82" s="225"/>
      <c r="JKG82" s="225"/>
      <c r="JKH82" s="225"/>
      <c r="JKI82" s="225"/>
      <c r="JKJ82" s="225"/>
      <c r="JKK82" s="225"/>
      <c r="JKL82" s="225"/>
      <c r="JKM82" s="225"/>
      <c r="JKN82" s="226"/>
      <c r="JKO82" s="226"/>
      <c r="JKP82" s="225"/>
      <c r="JKQ82" s="225"/>
      <c r="JNC82" s="225"/>
      <c r="JND82" s="225"/>
      <c r="JNE82" s="225"/>
      <c r="JNF82" s="225"/>
      <c r="JNG82" s="225"/>
      <c r="JNH82" s="225"/>
      <c r="JNI82" s="225"/>
      <c r="JNJ82" s="225"/>
      <c r="JNK82" s="226"/>
      <c r="JNL82" s="226"/>
      <c r="JNM82" s="225"/>
      <c r="JNN82" s="225"/>
      <c r="JPZ82" s="225"/>
      <c r="JQA82" s="225"/>
      <c r="JQB82" s="225"/>
      <c r="JQC82" s="225"/>
      <c r="JQD82" s="225"/>
      <c r="JQE82" s="225"/>
      <c r="JQF82" s="225"/>
      <c r="JQG82" s="225"/>
      <c r="JQH82" s="226"/>
      <c r="JQI82" s="226"/>
      <c r="JQJ82" s="225"/>
      <c r="JQK82" s="225"/>
      <c r="JSW82" s="225"/>
      <c r="JSX82" s="225"/>
      <c r="JSY82" s="225"/>
      <c r="JSZ82" s="225"/>
      <c r="JTA82" s="225"/>
      <c r="JTB82" s="225"/>
      <c r="JTC82" s="225"/>
      <c r="JTD82" s="225"/>
      <c r="JTE82" s="226"/>
      <c r="JTF82" s="226"/>
      <c r="JTG82" s="225"/>
      <c r="JTH82" s="225"/>
      <c r="JVT82" s="225"/>
      <c r="JVU82" s="225"/>
      <c r="JVV82" s="225"/>
      <c r="JVW82" s="225"/>
      <c r="JVX82" s="225"/>
      <c r="JVY82" s="225"/>
      <c r="JVZ82" s="225"/>
      <c r="JWA82" s="225"/>
      <c r="JWB82" s="226"/>
      <c r="JWC82" s="226"/>
      <c r="JWD82" s="225"/>
      <c r="JWE82" s="225"/>
      <c r="JYQ82" s="225"/>
      <c r="JYR82" s="225"/>
      <c r="JYS82" s="225"/>
      <c r="JYT82" s="225"/>
      <c r="JYU82" s="225"/>
      <c r="JYV82" s="225"/>
      <c r="JYW82" s="225"/>
      <c r="JYX82" s="225"/>
      <c r="JYY82" s="226"/>
      <c r="JYZ82" s="226"/>
      <c r="JZA82" s="225"/>
      <c r="JZB82" s="225"/>
      <c r="KBN82" s="225"/>
      <c r="KBO82" s="225"/>
      <c r="KBP82" s="225"/>
      <c r="KBQ82" s="225"/>
      <c r="KBR82" s="225"/>
      <c r="KBS82" s="225"/>
      <c r="KBT82" s="225"/>
      <c r="KBU82" s="225"/>
      <c r="KBV82" s="226"/>
      <c r="KBW82" s="226"/>
      <c r="KBX82" s="225"/>
      <c r="KBY82" s="225"/>
      <c r="KEK82" s="225"/>
      <c r="KEL82" s="225"/>
      <c r="KEM82" s="225"/>
      <c r="KEN82" s="225"/>
      <c r="KEO82" s="225"/>
      <c r="KEP82" s="225"/>
      <c r="KEQ82" s="225"/>
      <c r="KER82" s="225"/>
      <c r="KES82" s="226"/>
      <c r="KET82" s="226"/>
      <c r="KEU82" s="225"/>
      <c r="KEV82" s="225"/>
      <c r="KHH82" s="225"/>
      <c r="KHI82" s="225"/>
      <c r="KHJ82" s="225"/>
      <c r="KHK82" s="225"/>
      <c r="KHL82" s="225"/>
      <c r="KHM82" s="225"/>
      <c r="KHN82" s="225"/>
      <c r="KHO82" s="225"/>
      <c r="KHP82" s="226"/>
      <c r="KHQ82" s="226"/>
      <c r="KHR82" s="225"/>
      <c r="KHS82" s="225"/>
      <c r="KKE82" s="225"/>
      <c r="KKF82" s="225"/>
      <c r="KKG82" s="225"/>
      <c r="KKH82" s="225"/>
      <c r="KKI82" s="225"/>
      <c r="KKJ82" s="225"/>
      <c r="KKK82" s="225"/>
      <c r="KKL82" s="225"/>
      <c r="KKM82" s="226"/>
      <c r="KKN82" s="226"/>
      <c r="KKO82" s="225"/>
      <c r="KKP82" s="225"/>
      <c r="KNB82" s="225"/>
      <c r="KNC82" s="225"/>
      <c r="KND82" s="225"/>
      <c r="KNE82" s="225"/>
      <c r="KNF82" s="225"/>
      <c r="KNG82" s="225"/>
      <c r="KNH82" s="225"/>
      <c r="KNI82" s="225"/>
      <c r="KNJ82" s="226"/>
      <c r="KNK82" s="226"/>
      <c r="KNL82" s="225"/>
      <c r="KNM82" s="225"/>
      <c r="KPY82" s="225"/>
      <c r="KPZ82" s="225"/>
      <c r="KQA82" s="225"/>
      <c r="KQB82" s="225"/>
      <c r="KQC82" s="225"/>
      <c r="KQD82" s="225"/>
      <c r="KQE82" s="225"/>
      <c r="KQF82" s="225"/>
      <c r="KQG82" s="226"/>
      <c r="KQH82" s="226"/>
      <c r="KQI82" s="225"/>
      <c r="KQJ82" s="225"/>
      <c r="KSV82" s="225"/>
      <c r="KSW82" s="225"/>
      <c r="KSX82" s="225"/>
      <c r="KSY82" s="225"/>
      <c r="KSZ82" s="225"/>
      <c r="KTA82" s="225"/>
      <c r="KTB82" s="225"/>
      <c r="KTC82" s="225"/>
      <c r="KTD82" s="226"/>
      <c r="KTE82" s="226"/>
      <c r="KTF82" s="225"/>
      <c r="KTG82" s="225"/>
      <c r="KVS82" s="225"/>
      <c r="KVT82" s="225"/>
      <c r="KVU82" s="225"/>
      <c r="KVV82" s="225"/>
      <c r="KVW82" s="225"/>
      <c r="KVX82" s="225"/>
      <c r="KVY82" s="225"/>
      <c r="KVZ82" s="225"/>
      <c r="KWA82" s="226"/>
      <c r="KWB82" s="226"/>
      <c r="KWC82" s="225"/>
      <c r="KWD82" s="225"/>
      <c r="KYP82" s="225"/>
      <c r="KYQ82" s="225"/>
      <c r="KYR82" s="225"/>
      <c r="KYS82" s="225"/>
      <c r="KYT82" s="225"/>
      <c r="KYU82" s="225"/>
      <c r="KYV82" s="225"/>
      <c r="KYW82" s="225"/>
      <c r="KYX82" s="226"/>
      <c r="KYY82" s="226"/>
      <c r="KYZ82" s="225"/>
      <c r="KZA82" s="225"/>
      <c r="LBM82" s="225"/>
      <c r="LBN82" s="225"/>
      <c r="LBO82" s="225"/>
      <c r="LBP82" s="225"/>
      <c r="LBQ82" s="225"/>
      <c r="LBR82" s="225"/>
      <c r="LBS82" s="225"/>
      <c r="LBT82" s="225"/>
      <c r="LBU82" s="226"/>
      <c r="LBV82" s="226"/>
      <c r="LBW82" s="225"/>
      <c r="LBX82" s="225"/>
      <c r="LEJ82" s="225"/>
      <c r="LEK82" s="225"/>
      <c r="LEL82" s="225"/>
      <c r="LEM82" s="225"/>
      <c r="LEN82" s="225"/>
      <c r="LEO82" s="225"/>
      <c r="LEP82" s="225"/>
      <c r="LEQ82" s="225"/>
      <c r="LER82" s="226"/>
      <c r="LES82" s="226"/>
      <c r="LET82" s="225"/>
      <c r="LEU82" s="225"/>
      <c r="LHG82" s="225"/>
      <c r="LHH82" s="225"/>
      <c r="LHI82" s="225"/>
      <c r="LHJ82" s="225"/>
      <c r="LHK82" s="225"/>
      <c r="LHL82" s="225"/>
      <c r="LHM82" s="225"/>
      <c r="LHN82" s="225"/>
      <c r="LHO82" s="226"/>
      <c r="LHP82" s="226"/>
      <c r="LHQ82" s="225"/>
      <c r="LHR82" s="225"/>
      <c r="LKD82" s="225"/>
      <c r="LKE82" s="225"/>
      <c r="LKF82" s="225"/>
      <c r="LKG82" s="225"/>
      <c r="LKH82" s="225"/>
      <c r="LKI82" s="225"/>
      <c r="LKJ82" s="225"/>
      <c r="LKK82" s="225"/>
      <c r="LKL82" s="226"/>
      <c r="LKM82" s="226"/>
      <c r="LKN82" s="225"/>
      <c r="LKO82" s="225"/>
      <c r="LNA82" s="225"/>
      <c r="LNB82" s="225"/>
      <c r="LNC82" s="225"/>
      <c r="LND82" s="225"/>
      <c r="LNE82" s="225"/>
      <c r="LNF82" s="225"/>
      <c r="LNG82" s="225"/>
      <c r="LNH82" s="225"/>
      <c r="LNI82" s="226"/>
      <c r="LNJ82" s="226"/>
      <c r="LNK82" s="225"/>
      <c r="LNL82" s="225"/>
      <c r="LPX82" s="225"/>
      <c r="LPY82" s="225"/>
      <c r="LPZ82" s="225"/>
      <c r="LQA82" s="225"/>
      <c r="LQB82" s="225"/>
      <c r="LQC82" s="225"/>
      <c r="LQD82" s="225"/>
      <c r="LQE82" s="225"/>
      <c r="LQF82" s="226"/>
      <c r="LQG82" s="226"/>
      <c r="LQH82" s="225"/>
      <c r="LQI82" s="225"/>
      <c r="LSU82" s="225"/>
      <c r="LSV82" s="225"/>
      <c r="LSW82" s="225"/>
      <c r="LSX82" s="225"/>
      <c r="LSY82" s="225"/>
      <c r="LSZ82" s="225"/>
      <c r="LTA82" s="225"/>
      <c r="LTB82" s="225"/>
      <c r="LTC82" s="226"/>
      <c r="LTD82" s="226"/>
      <c r="LTE82" s="225"/>
      <c r="LTF82" s="225"/>
      <c r="LVR82" s="225"/>
      <c r="LVS82" s="225"/>
      <c r="LVT82" s="225"/>
      <c r="LVU82" s="225"/>
      <c r="LVV82" s="225"/>
      <c r="LVW82" s="225"/>
      <c r="LVX82" s="225"/>
      <c r="LVY82" s="225"/>
      <c r="LVZ82" s="226"/>
      <c r="LWA82" s="226"/>
      <c r="LWB82" s="225"/>
      <c r="LWC82" s="225"/>
      <c r="LYO82" s="225"/>
      <c r="LYP82" s="225"/>
      <c r="LYQ82" s="225"/>
      <c r="LYR82" s="225"/>
      <c r="LYS82" s="225"/>
      <c r="LYT82" s="225"/>
      <c r="LYU82" s="225"/>
      <c r="LYV82" s="225"/>
      <c r="LYW82" s="226"/>
      <c r="LYX82" s="226"/>
      <c r="LYY82" s="225"/>
      <c r="LYZ82" s="225"/>
      <c r="MBL82" s="225"/>
      <c r="MBM82" s="225"/>
      <c r="MBN82" s="225"/>
      <c r="MBO82" s="225"/>
      <c r="MBP82" s="225"/>
      <c r="MBQ82" s="225"/>
      <c r="MBR82" s="225"/>
      <c r="MBS82" s="225"/>
      <c r="MBT82" s="226"/>
      <c r="MBU82" s="226"/>
      <c r="MBV82" s="225"/>
      <c r="MBW82" s="225"/>
      <c r="MEI82" s="225"/>
      <c r="MEJ82" s="225"/>
      <c r="MEK82" s="225"/>
      <c r="MEL82" s="225"/>
      <c r="MEM82" s="225"/>
      <c r="MEN82" s="225"/>
      <c r="MEO82" s="225"/>
      <c r="MEP82" s="225"/>
      <c r="MEQ82" s="226"/>
      <c r="MER82" s="226"/>
      <c r="MES82" s="225"/>
      <c r="MET82" s="225"/>
      <c r="MHF82" s="225"/>
      <c r="MHG82" s="225"/>
      <c r="MHH82" s="225"/>
      <c r="MHI82" s="225"/>
      <c r="MHJ82" s="225"/>
      <c r="MHK82" s="225"/>
      <c r="MHL82" s="225"/>
      <c r="MHM82" s="225"/>
      <c r="MHN82" s="226"/>
      <c r="MHO82" s="226"/>
      <c r="MHP82" s="225"/>
      <c r="MHQ82" s="225"/>
      <c r="MKC82" s="225"/>
      <c r="MKD82" s="225"/>
      <c r="MKE82" s="225"/>
      <c r="MKF82" s="225"/>
      <c r="MKG82" s="225"/>
      <c r="MKH82" s="225"/>
      <c r="MKI82" s="225"/>
      <c r="MKJ82" s="225"/>
      <c r="MKK82" s="226"/>
      <c r="MKL82" s="226"/>
      <c r="MKM82" s="225"/>
      <c r="MKN82" s="225"/>
      <c r="MMZ82" s="225"/>
      <c r="MNA82" s="225"/>
      <c r="MNB82" s="225"/>
      <c r="MNC82" s="225"/>
      <c r="MND82" s="225"/>
      <c r="MNE82" s="225"/>
      <c r="MNF82" s="225"/>
      <c r="MNG82" s="225"/>
      <c r="MNH82" s="226"/>
      <c r="MNI82" s="226"/>
      <c r="MNJ82" s="225"/>
      <c r="MNK82" s="225"/>
      <c r="MPW82" s="225"/>
      <c r="MPX82" s="225"/>
      <c r="MPY82" s="225"/>
      <c r="MPZ82" s="225"/>
      <c r="MQA82" s="225"/>
      <c r="MQB82" s="225"/>
      <c r="MQC82" s="225"/>
      <c r="MQD82" s="225"/>
      <c r="MQE82" s="226"/>
      <c r="MQF82" s="226"/>
      <c r="MQG82" s="225"/>
      <c r="MQH82" s="225"/>
      <c r="MST82" s="225"/>
      <c r="MSU82" s="225"/>
      <c r="MSV82" s="225"/>
      <c r="MSW82" s="225"/>
      <c r="MSX82" s="225"/>
      <c r="MSY82" s="225"/>
      <c r="MSZ82" s="225"/>
      <c r="MTA82" s="225"/>
      <c r="MTB82" s="226"/>
      <c r="MTC82" s="226"/>
      <c r="MTD82" s="225"/>
      <c r="MTE82" s="225"/>
      <c r="MVQ82" s="225"/>
      <c r="MVR82" s="225"/>
      <c r="MVS82" s="225"/>
      <c r="MVT82" s="225"/>
      <c r="MVU82" s="225"/>
      <c r="MVV82" s="225"/>
      <c r="MVW82" s="225"/>
      <c r="MVX82" s="225"/>
      <c r="MVY82" s="226"/>
      <c r="MVZ82" s="226"/>
      <c r="MWA82" s="225"/>
      <c r="MWB82" s="225"/>
      <c r="MYN82" s="225"/>
      <c r="MYO82" s="225"/>
      <c r="MYP82" s="225"/>
      <c r="MYQ82" s="225"/>
      <c r="MYR82" s="225"/>
      <c r="MYS82" s="225"/>
      <c r="MYT82" s="225"/>
      <c r="MYU82" s="225"/>
      <c r="MYV82" s="226"/>
      <c r="MYW82" s="226"/>
      <c r="MYX82" s="225"/>
      <c r="MYY82" s="225"/>
      <c r="NBK82" s="225"/>
      <c r="NBL82" s="225"/>
      <c r="NBM82" s="225"/>
      <c r="NBN82" s="225"/>
      <c r="NBO82" s="225"/>
      <c r="NBP82" s="225"/>
      <c r="NBQ82" s="225"/>
      <c r="NBR82" s="225"/>
      <c r="NBS82" s="226"/>
      <c r="NBT82" s="226"/>
      <c r="NBU82" s="225"/>
      <c r="NBV82" s="225"/>
      <c r="NEH82" s="225"/>
      <c r="NEI82" s="225"/>
      <c r="NEJ82" s="225"/>
      <c r="NEK82" s="225"/>
      <c r="NEL82" s="225"/>
      <c r="NEM82" s="225"/>
      <c r="NEN82" s="225"/>
      <c r="NEO82" s="225"/>
      <c r="NEP82" s="226"/>
      <c r="NEQ82" s="226"/>
      <c r="NER82" s="225"/>
      <c r="NES82" s="225"/>
      <c r="NHE82" s="225"/>
      <c r="NHF82" s="225"/>
      <c r="NHG82" s="225"/>
      <c r="NHH82" s="225"/>
      <c r="NHI82" s="225"/>
      <c r="NHJ82" s="225"/>
      <c r="NHK82" s="225"/>
      <c r="NHL82" s="225"/>
      <c r="NHM82" s="226"/>
      <c r="NHN82" s="226"/>
      <c r="NHO82" s="225"/>
      <c r="NHP82" s="225"/>
      <c r="NKB82" s="225"/>
      <c r="NKC82" s="225"/>
      <c r="NKD82" s="225"/>
      <c r="NKE82" s="225"/>
      <c r="NKF82" s="225"/>
      <c r="NKG82" s="225"/>
      <c r="NKH82" s="225"/>
      <c r="NKI82" s="225"/>
      <c r="NKJ82" s="226"/>
      <c r="NKK82" s="226"/>
      <c r="NKL82" s="225"/>
      <c r="NKM82" s="225"/>
      <c r="NMY82" s="225"/>
      <c r="NMZ82" s="225"/>
      <c r="NNA82" s="225"/>
      <c r="NNB82" s="225"/>
      <c r="NNC82" s="225"/>
      <c r="NND82" s="225"/>
      <c r="NNE82" s="225"/>
      <c r="NNF82" s="225"/>
      <c r="NNG82" s="226"/>
      <c r="NNH82" s="226"/>
      <c r="NNI82" s="225"/>
      <c r="NNJ82" s="225"/>
      <c r="NPV82" s="225"/>
      <c r="NPW82" s="225"/>
      <c r="NPX82" s="225"/>
      <c r="NPY82" s="225"/>
      <c r="NPZ82" s="225"/>
      <c r="NQA82" s="225"/>
      <c r="NQB82" s="225"/>
      <c r="NQC82" s="225"/>
      <c r="NQD82" s="226"/>
      <c r="NQE82" s="226"/>
      <c r="NQF82" s="225"/>
      <c r="NQG82" s="225"/>
      <c r="NSS82" s="225"/>
      <c r="NST82" s="225"/>
      <c r="NSU82" s="225"/>
      <c r="NSV82" s="225"/>
      <c r="NSW82" s="225"/>
      <c r="NSX82" s="225"/>
      <c r="NSY82" s="225"/>
      <c r="NSZ82" s="225"/>
      <c r="NTA82" s="226"/>
      <c r="NTB82" s="226"/>
      <c r="NTC82" s="225"/>
      <c r="NTD82" s="225"/>
      <c r="NVP82" s="225"/>
      <c r="NVQ82" s="225"/>
      <c r="NVR82" s="225"/>
      <c r="NVS82" s="225"/>
      <c r="NVT82" s="225"/>
      <c r="NVU82" s="225"/>
      <c r="NVV82" s="225"/>
      <c r="NVW82" s="225"/>
      <c r="NVX82" s="226"/>
      <c r="NVY82" s="226"/>
      <c r="NVZ82" s="225"/>
      <c r="NWA82" s="225"/>
      <c r="NYM82" s="225"/>
      <c r="NYN82" s="225"/>
      <c r="NYO82" s="225"/>
      <c r="NYP82" s="225"/>
      <c r="NYQ82" s="225"/>
      <c r="NYR82" s="225"/>
      <c r="NYS82" s="225"/>
      <c r="NYT82" s="225"/>
      <c r="NYU82" s="226"/>
      <c r="NYV82" s="226"/>
      <c r="NYW82" s="225"/>
      <c r="NYX82" s="225"/>
      <c r="OBJ82" s="225"/>
      <c r="OBK82" s="225"/>
      <c r="OBL82" s="225"/>
      <c r="OBM82" s="225"/>
      <c r="OBN82" s="225"/>
      <c r="OBO82" s="225"/>
      <c r="OBP82" s="225"/>
      <c r="OBQ82" s="225"/>
      <c r="OBR82" s="226"/>
      <c r="OBS82" s="226"/>
      <c r="OBT82" s="225"/>
      <c r="OBU82" s="225"/>
      <c r="OEG82" s="225"/>
      <c r="OEH82" s="225"/>
      <c r="OEI82" s="225"/>
      <c r="OEJ82" s="225"/>
      <c r="OEK82" s="225"/>
      <c r="OEL82" s="225"/>
      <c r="OEM82" s="225"/>
      <c r="OEN82" s="225"/>
      <c r="OEO82" s="226"/>
      <c r="OEP82" s="226"/>
      <c r="OEQ82" s="225"/>
      <c r="OER82" s="225"/>
      <c r="OHD82" s="225"/>
      <c r="OHE82" s="225"/>
      <c r="OHF82" s="225"/>
      <c r="OHG82" s="225"/>
      <c r="OHH82" s="225"/>
      <c r="OHI82" s="225"/>
      <c r="OHJ82" s="225"/>
      <c r="OHK82" s="225"/>
      <c r="OHL82" s="226"/>
      <c r="OHM82" s="226"/>
      <c r="OHN82" s="225"/>
      <c r="OHO82" s="225"/>
      <c r="OKA82" s="225"/>
      <c r="OKB82" s="225"/>
      <c r="OKC82" s="225"/>
      <c r="OKD82" s="225"/>
      <c r="OKE82" s="225"/>
      <c r="OKF82" s="225"/>
      <c r="OKG82" s="225"/>
      <c r="OKH82" s="225"/>
      <c r="OKI82" s="226"/>
      <c r="OKJ82" s="226"/>
      <c r="OKK82" s="225"/>
      <c r="OKL82" s="225"/>
      <c r="OMX82" s="225"/>
      <c r="OMY82" s="225"/>
      <c r="OMZ82" s="225"/>
      <c r="ONA82" s="225"/>
      <c r="ONB82" s="225"/>
      <c r="ONC82" s="225"/>
      <c r="OND82" s="225"/>
      <c r="ONE82" s="225"/>
      <c r="ONF82" s="226"/>
      <c r="ONG82" s="226"/>
      <c r="ONH82" s="225"/>
      <c r="ONI82" s="225"/>
      <c r="OPU82" s="225"/>
      <c r="OPV82" s="225"/>
      <c r="OPW82" s="225"/>
      <c r="OPX82" s="225"/>
      <c r="OPY82" s="225"/>
      <c r="OPZ82" s="225"/>
      <c r="OQA82" s="225"/>
      <c r="OQB82" s="225"/>
      <c r="OQC82" s="226"/>
      <c r="OQD82" s="226"/>
      <c r="OQE82" s="225"/>
      <c r="OQF82" s="225"/>
      <c r="OSR82" s="225"/>
      <c r="OSS82" s="225"/>
      <c r="OST82" s="225"/>
      <c r="OSU82" s="225"/>
      <c r="OSV82" s="225"/>
      <c r="OSW82" s="225"/>
      <c r="OSX82" s="225"/>
      <c r="OSY82" s="225"/>
      <c r="OSZ82" s="226"/>
      <c r="OTA82" s="226"/>
      <c r="OTB82" s="225"/>
      <c r="OTC82" s="225"/>
      <c r="OVO82" s="225"/>
      <c r="OVP82" s="225"/>
      <c r="OVQ82" s="225"/>
      <c r="OVR82" s="225"/>
      <c r="OVS82" s="225"/>
      <c r="OVT82" s="225"/>
      <c r="OVU82" s="225"/>
      <c r="OVV82" s="225"/>
      <c r="OVW82" s="226"/>
      <c r="OVX82" s="226"/>
      <c r="OVY82" s="225"/>
      <c r="OVZ82" s="225"/>
      <c r="OYL82" s="225"/>
      <c r="OYM82" s="225"/>
      <c r="OYN82" s="225"/>
      <c r="OYO82" s="225"/>
      <c r="OYP82" s="225"/>
      <c r="OYQ82" s="225"/>
      <c r="OYR82" s="225"/>
      <c r="OYS82" s="225"/>
      <c r="OYT82" s="226"/>
      <c r="OYU82" s="226"/>
      <c r="OYV82" s="225"/>
      <c r="OYW82" s="225"/>
      <c r="PBI82" s="225"/>
      <c r="PBJ82" s="225"/>
      <c r="PBK82" s="225"/>
      <c r="PBL82" s="225"/>
      <c r="PBM82" s="225"/>
      <c r="PBN82" s="225"/>
      <c r="PBO82" s="225"/>
      <c r="PBP82" s="225"/>
      <c r="PBQ82" s="226"/>
      <c r="PBR82" s="226"/>
      <c r="PBS82" s="225"/>
      <c r="PBT82" s="225"/>
      <c r="PEF82" s="225"/>
      <c r="PEG82" s="225"/>
      <c r="PEH82" s="225"/>
      <c r="PEI82" s="225"/>
      <c r="PEJ82" s="225"/>
      <c r="PEK82" s="225"/>
      <c r="PEL82" s="225"/>
      <c r="PEM82" s="225"/>
      <c r="PEN82" s="226"/>
      <c r="PEO82" s="226"/>
      <c r="PEP82" s="225"/>
      <c r="PEQ82" s="225"/>
      <c r="PHC82" s="225"/>
      <c r="PHD82" s="225"/>
      <c r="PHE82" s="225"/>
      <c r="PHF82" s="225"/>
      <c r="PHG82" s="225"/>
      <c r="PHH82" s="225"/>
      <c r="PHI82" s="225"/>
      <c r="PHJ82" s="225"/>
      <c r="PHK82" s="226"/>
      <c r="PHL82" s="226"/>
      <c r="PHM82" s="225"/>
      <c r="PHN82" s="225"/>
      <c r="PJZ82" s="225"/>
      <c r="PKA82" s="225"/>
      <c r="PKB82" s="225"/>
      <c r="PKC82" s="225"/>
      <c r="PKD82" s="225"/>
      <c r="PKE82" s="225"/>
      <c r="PKF82" s="225"/>
      <c r="PKG82" s="225"/>
      <c r="PKH82" s="226"/>
      <c r="PKI82" s="226"/>
      <c r="PKJ82" s="225"/>
      <c r="PKK82" s="225"/>
      <c r="PMW82" s="225"/>
      <c r="PMX82" s="225"/>
      <c r="PMY82" s="225"/>
      <c r="PMZ82" s="225"/>
      <c r="PNA82" s="225"/>
      <c r="PNB82" s="225"/>
      <c r="PNC82" s="225"/>
      <c r="PND82" s="225"/>
      <c r="PNE82" s="226"/>
      <c r="PNF82" s="226"/>
      <c r="PNG82" s="225"/>
      <c r="PNH82" s="225"/>
      <c r="PPT82" s="225"/>
      <c r="PPU82" s="225"/>
      <c r="PPV82" s="225"/>
      <c r="PPW82" s="225"/>
      <c r="PPX82" s="225"/>
      <c r="PPY82" s="225"/>
      <c r="PPZ82" s="225"/>
      <c r="PQA82" s="225"/>
      <c r="PQB82" s="226"/>
      <c r="PQC82" s="226"/>
      <c r="PQD82" s="225"/>
      <c r="PQE82" s="225"/>
      <c r="PSQ82" s="225"/>
      <c r="PSR82" s="225"/>
      <c r="PSS82" s="225"/>
      <c r="PST82" s="225"/>
      <c r="PSU82" s="225"/>
      <c r="PSV82" s="225"/>
      <c r="PSW82" s="225"/>
      <c r="PSX82" s="225"/>
      <c r="PSY82" s="226"/>
      <c r="PSZ82" s="226"/>
      <c r="PTA82" s="225"/>
      <c r="PTB82" s="225"/>
      <c r="PVN82" s="225"/>
      <c r="PVO82" s="225"/>
      <c r="PVP82" s="225"/>
      <c r="PVQ82" s="225"/>
      <c r="PVR82" s="225"/>
      <c r="PVS82" s="225"/>
      <c r="PVT82" s="225"/>
      <c r="PVU82" s="225"/>
      <c r="PVV82" s="226"/>
      <c r="PVW82" s="226"/>
      <c r="PVX82" s="225"/>
      <c r="PVY82" s="225"/>
      <c r="PYK82" s="225"/>
      <c r="PYL82" s="225"/>
      <c r="PYM82" s="225"/>
      <c r="PYN82" s="225"/>
      <c r="PYO82" s="225"/>
      <c r="PYP82" s="225"/>
      <c r="PYQ82" s="225"/>
      <c r="PYR82" s="225"/>
      <c r="PYS82" s="226"/>
      <c r="PYT82" s="226"/>
      <c r="PYU82" s="225"/>
      <c r="PYV82" s="225"/>
      <c r="QBH82" s="225"/>
      <c r="QBI82" s="225"/>
      <c r="QBJ82" s="225"/>
      <c r="QBK82" s="225"/>
      <c r="QBL82" s="225"/>
      <c r="QBM82" s="225"/>
      <c r="QBN82" s="225"/>
      <c r="QBO82" s="225"/>
      <c r="QBP82" s="226"/>
      <c r="QBQ82" s="226"/>
      <c r="QBR82" s="225"/>
      <c r="QBS82" s="225"/>
      <c r="QEE82" s="225"/>
      <c r="QEF82" s="225"/>
      <c r="QEG82" s="225"/>
      <c r="QEH82" s="225"/>
      <c r="QEI82" s="225"/>
      <c r="QEJ82" s="225"/>
      <c r="QEK82" s="225"/>
      <c r="QEL82" s="225"/>
      <c r="QEM82" s="226"/>
      <c r="QEN82" s="226"/>
      <c r="QEO82" s="225"/>
      <c r="QEP82" s="225"/>
      <c r="QHB82" s="225"/>
      <c r="QHC82" s="225"/>
      <c r="QHD82" s="225"/>
      <c r="QHE82" s="225"/>
      <c r="QHF82" s="225"/>
      <c r="QHG82" s="225"/>
      <c r="QHH82" s="225"/>
      <c r="QHI82" s="225"/>
      <c r="QHJ82" s="226"/>
      <c r="QHK82" s="226"/>
      <c r="QHL82" s="225"/>
      <c r="QHM82" s="225"/>
      <c r="QJY82" s="225"/>
      <c r="QJZ82" s="225"/>
      <c r="QKA82" s="225"/>
      <c r="QKB82" s="225"/>
      <c r="QKC82" s="225"/>
      <c r="QKD82" s="225"/>
      <c r="QKE82" s="225"/>
      <c r="QKF82" s="225"/>
      <c r="QKG82" s="226"/>
      <c r="QKH82" s="226"/>
      <c r="QKI82" s="225"/>
      <c r="QKJ82" s="225"/>
      <c r="QMV82" s="225"/>
      <c r="QMW82" s="225"/>
      <c r="QMX82" s="225"/>
      <c r="QMY82" s="225"/>
      <c r="QMZ82" s="225"/>
      <c r="QNA82" s="225"/>
      <c r="QNB82" s="225"/>
      <c r="QNC82" s="225"/>
      <c r="QND82" s="226"/>
      <c r="QNE82" s="226"/>
      <c r="QNF82" s="225"/>
      <c r="QNG82" s="225"/>
      <c r="QPS82" s="225"/>
      <c r="QPT82" s="225"/>
      <c r="QPU82" s="225"/>
      <c r="QPV82" s="225"/>
      <c r="QPW82" s="225"/>
      <c r="QPX82" s="225"/>
      <c r="QPY82" s="225"/>
      <c r="QPZ82" s="225"/>
      <c r="QQA82" s="226"/>
      <c r="QQB82" s="226"/>
      <c r="QQC82" s="225"/>
      <c r="QQD82" s="225"/>
      <c r="QSP82" s="225"/>
      <c r="QSQ82" s="225"/>
      <c r="QSR82" s="225"/>
      <c r="QSS82" s="225"/>
      <c r="QST82" s="225"/>
      <c r="QSU82" s="225"/>
      <c r="QSV82" s="225"/>
      <c r="QSW82" s="225"/>
      <c r="QSX82" s="226"/>
      <c r="QSY82" s="226"/>
      <c r="QSZ82" s="225"/>
      <c r="QTA82" s="225"/>
      <c r="QVM82" s="225"/>
      <c r="QVN82" s="225"/>
      <c r="QVO82" s="225"/>
      <c r="QVP82" s="225"/>
      <c r="QVQ82" s="225"/>
      <c r="QVR82" s="225"/>
      <c r="QVS82" s="225"/>
      <c r="QVT82" s="225"/>
      <c r="QVU82" s="226"/>
      <c r="QVV82" s="226"/>
      <c r="QVW82" s="225"/>
      <c r="QVX82" s="225"/>
      <c r="QYJ82" s="225"/>
      <c r="QYK82" s="225"/>
      <c r="QYL82" s="225"/>
      <c r="QYM82" s="225"/>
      <c r="QYN82" s="225"/>
      <c r="QYO82" s="225"/>
      <c r="QYP82" s="225"/>
      <c r="QYQ82" s="225"/>
      <c r="QYR82" s="226"/>
      <c r="QYS82" s="226"/>
      <c r="QYT82" s="225"/>
      <c r="QYU82" s="225"/>
      <c r="RBG82" s="225"/>
      <c r="RBH82" s="225"/>
      <c r="RBI82" s="225"/>
      <c r="RBJ82" s="225"/>
      <c r="RBK82" s="225"/>
      <c r="RBL82" s="225"/>
      <c r="RBM82" s="225"/>
      <c r="RBN82" s="225"/>
      <c r="RBO82" s="226"/>
      <c r="RBP82" s="226"/>
      <c r="RBQ82" s="225"/>
      <c r="RBR82" s="225"/>
      <c r="RED82" s="225"/>
      <c r="REE82" s="225"/>
      <c r="REF82" s="225"/>
      <c r="REG82" s="225"/>
      <c r="REH82" s="225"/>
      <c r="REI82" s="225"/>
      <c r="REJ82" s="225"/>
      <c r="REK82" s="225"/>
      <c r="REL82" s="226"/>
      <c r="REM82" s="226"/>
      <c r="REN82" s="225"/>
      <c r="REO82" s="225"/>
      <c r="RHA82" s="225"/>
      <c r="RHB82" s="225"/>
      <c r="RHC82" s="225"/>
      <c r="RHD82" s="225"/>
      <c r="RHE82" s="225"/>
      <c r="RHF82" s="225"/>
      <c r="RHG82" s="225"/>
      <c r="RHH82" s="225"/>
      <c r="RHI82" s="226"/>
      <c r="RHJ82" s="226"/>
      <c r="RHK82" s="225"/>
      <c r="RHL82" s="225"/>
      <c r="RJX82" s="225"/>
      <c r="RJY82" s="225"/>
      <c r="RJZ82" s="225"/>
      <c r="RKA82" s="225"/>
      <c r="RKB82" s="225"/>
      <c r="RKC82" s="225"/>
      <c r="RKD82" s="225"/>
      <c r="RKE82" s="225"/>
      <c r="RKF82" s="226"/>
      <c r="RKG82" s="226"/>
      <c r="RKH82" s="225"/>
      <c r="RKI82" s="225"/>
      <c r="RMU82" s="225"/>
      <c r="RMV82" s="225"/>
      <c r="RMW82" s="225"/>
      <c r="RMX82" s="225"/>
      <c r="RMY82" s="225"/>
      <c r="RMZ82" s="225"/>
      <c r="RNA82" s="225"/>
      <c r="RNB82" s="225"/>
      <c r="RNC82" s="226"/>
      <c r="RND82" s="226"/>
      <c r="RNE82" s="225"/>
      <c r="RNF82" s="225"/>
      <c r="RPR82" s="225"/>
      <c r="RPS82" s="225"/>
      <c r="RPT82" s="225"/>
      <c r="RPU82" s="225"/>
      <c r="RPV82" s="225"/>
      <c r="RPW82" s="225"/>
      <c r="RPX82" s="225"/>
      <c r="RPY82" s="225"/>
      <c r="RPZ82" s="226"/>
      <c r="RQA82" s="226"/>
      <c r="RQB82" s="225"/>
      <c r="RQC82" s="225"/>
      <c r="RSO82" s="225"/>
      <c r="RSP82" s="225"/>
      <c r="RSQ82" s="225"/>
      <c r="RSR82" s="225"/>
      <c r="RSS82" s="225"/>
      <c r="RST82" s="225"/>
      <c r="RSU82" s="225"/>
      <c r="RSV82" s="225"/>
      <c r="RSW82" s="226"/>
      <c r="RSX82" s="226"/>
      <c r="RSY82" s="225"/>
      <c r="RSZ82" s="225"/>
      <c r="RVL82" s="225"/>
      <c r="RVM82" s="225"/>
      <c r="RVN82" s="225"/>
      <c r="RVO82" s="225"/>
      <c r="RVP82" s="225"/>
      <c r="RVQ82" s="225"/>
      <c r="RVR82" s="225"/>
      <c r="RVS82" s="225"/>
      <c r="RVT82" s="226"/>
      <c r="RVU82" s="226"/>
      <c r="RVV82" s="225"/>
      <c r="RVW82" s="225"/>
      <c r="RYI82" s="225"/>
      <c r="RYJ82" s="225"/>
      <c r="RYK82" s="225"/>
      <c r="RYL82" s="225"/>
      <c r="RYM82" s="225"/>
      <c r="RYN82" s="225"/>
      <c r="RYO82" s="225"/>
      <c r="RYP82" s="225"/>
      <c r="RYQ82" s="226"/>
      <c r="RYR82" s="226"/>
      <c r="RYS82" s="225"/>
      <c r="RYT82" s="225"/>
      <c r="SBF82" s="225"/>
      <c r="SBG82" s="225"/>
      <c r="SBH82" s="225"/>
      <c r="SBI82" s="225"/>
      <c r="SBJ82" s="225"/>
      <c r="SBK82" s="225"/>
      <c r="SBL82" s="225"/>
      <c r="SBM82" s="225"/>
      <c r="SBN82" s="226"/>
      <c r="SBO82" s="226"/>
      <c r="SBP82" s="225"/>
      <c r="SBQ82" s="225"/>
      <c r="SEC82" s="225"/>
      <c r="SED82" s="225"/>
      <c r="SEE82" s="225"/>
      <c r="SEF82" s="225"/>
      <c r="SEG82" s="225"/>
      <c r="SEH82" s="225"/>
      <c r="SEI82" s="225"/>
      <c r="SEJ82" s="225"/>
      <c r="SEK82" s="226"/>
      <c r="SEL82" s="226"/>
      <c r="SEM82" s="225"/>
      <c r="SEN82" s="225"/>
      <c r="SGZ82" s="225"/>
      <c r="SHA82" s="225"/>
      <c r="SHB82" s="225"/>
      <c r="SHC82" s="225"/>
      <c r="SHD82" s="225"/>
      <c r="SHE82" s="225"/>
      <c r="SHF82" s="225"/>
      <c r="SHG82" s="225"/>
      <c r="SHH82" s="226"/>
      <c r="SHI82" s="226"/>
      <c r="SHJ82" s="225"/>
      <c r="SHK82" s="225"/>
      <c r="SJW82" s="225"/>
      <c r="SJX82" s="225"/>
      <c r="SJY82" s="225"/>
      <c r="SJZ82" s="225"/>
      <c r="SKA82" s="225"/>
      <c r="SKB82" s="225"/>
      <c r="SKC82" s="225"/>
      <c r="SKD82" s="225"/>
      <c r="SKE82" s="226"/>
      <c r="SKF82" s="226"/>
      <c r="SKG82" s="225"/>
      <c r="SKH82" s="225"/>
      <c r="SMT82" s="225"/>
      <c r="SMU82" s="225"/>
      <c r="SMV82" s="225"/>
      <c r="SMW82" s="225"/>
      <c r="SMX82" s="225"/>
      <c r="SMY82" s="225"/>
      <c r="SMZ82" s="225"/>
      <c r="SNA82" s="225"/>
      <c r="SNB82" s="226"/>
      <c r="SNC82" s="226"/>
      <c r="SND82" s="225"/>
      <c r="SNE82" s="225"/>
      <c r="SPQ82" s="225"/>
      <c r="SPR82" s="225"/>
      <c r="SPS82" s="225"/>
      <c r="SPT82" s="225"/>
      <c r="SPU82" s="225"/>
      <c r="SPV82" s="225"/>
      <c r="SPW82" s="225"/>
      <c r="SPX82" s="225"/>
      <c r="SPY82" s="226"/>
      <c r="SPZ82" s="226"/>
      <c r="SQA82" s="225"/>
      <c r="SQB82" s="225"/>
      <c r="SSN82" s="225"/>
      <c r="SSO82" s="225"/>
      <c r="SSP82" s="225"/>
      <c r="SSQ82" s="225"/>
      <c r="SSR82" s="225"/>
      <c r="SSS82" s="225"/>
      <c r="SST82" s="225"/>
      <c r="SSU82" s="225"/>
      <c r="SSV82" s="226"/>
      <c r="SSW82" s="226"/>
      <c r="SSX82" s="225"/>
      <c r="SSY82" s="225"/>
      <c r="SVK82" s="225"/>
      <c r="SVL82" s="225"/>
      <c r="SVM82" s="225"/>
      <c r="SVN82" s="225"/>
      <c r="SVO82" s="225"/>
      <c r="SVP82" s="225"/>
      <c r="SVQ82" s="225"/>
      <c r="SVR82" s="225"/>
      <c r="SVS82" s="226"/>
      <c r="SVT82" s="226"/>
      <c r="SVU82" s="225"/>
      <c r="SVV82" s="225"/>
      <c r="SYH82" s="225"/>
      <c r="SYI82" s="225"/>
      <c r="SYJ82" s="225"/>
      <c r="SYK82" s="225"/>
      <c r="SYL82" s="225"/>
      <c r="SYM82" s="225"/>
      <c r="SYN82" s="225"/>
      <c r="SYO82" s="225"/>
      <c r="SYP82" s="226"/>
      <c r="SYQ82" s="226"/>
      <c r="SYR82" s="225"/>
      <c r="SYS82" s="225"/>
      <c r="TBE82" s="225"/>
      <c r="TBF82" s="225"/>
      <c r="TBG82" s="225"/>
      <c r="TBH82" s="225"/>
      <c r="TBI82" s="225"/>
      <c r="TBJ82" s="225"/>
      <c r="TBK82" s="225"/>
      <c r="TBL82" s="225"/>
      <c r="TBM82" s="226"/>
      <c r="TBN82" s="226"/>
      <c r="TBO82" s="225"/>
      <c r="TBP82" s="225"/>
      <c r="TEB82" s="225"/>
      <c r="TEC82" s="225"/>
      <c r="TED82" s="225"/>
      <c r="TEE82" s="225"/>
      <c r="TEF82" s="225"/>
      <c r="TEG82" s="225"/>
      <c r="TEH82" s="225"/>
      <c r="TEI82" s="225"/>
      <c r="TEJ82" s="226"/>
      <c r="TEK82" s="226"/>
      <c r="TEL82" s="225"/>
      <c r="TEM82" s="225"/>
      <c r="TGY82" s="225"/>
      <c r="TGZ82" s="225"/>
      <c r="THA82" s="225"/>
      <c r="THB82" s="225"/>
      <c r="THC82" s="225"/>
      <c r="THD82" s="225"/>
      <c r="THE82" s="225"/>
      <c r="THF82" s="225"/>
      <c r="THG82" s="226"/>
      <c r="THH82" s="226"/>
      <c r="THI82" s="225"/>
      <c r="THJ82" s="225"/>
      <c r="TJV82" s="225"/>
      <c r="TJW82" s="225"/>
      <c r="TJX82" s="225"/>
      <c r="TJY82" s="225"/>
      <c r="TJZ82" s="225"/>
      <c r="TKA82" s="225"/>
      <c r="TKB82" s="225"/>
      <c r="TKC82" s="225"/>
      <c r="TKD82" s="226"/>
      <c r="TKE82" s="226"/>
      <c r="TKF82" s="225"/>
      <c r="TKG82" s="225"/>
      <c r="TMS82" s="225"/>
      <c r="TMT82" s="225"/>
      <c r="TMU82" s="225"/>
      <c r="TMV82" s="225"/>
      <c r="TMW82" s="225"/>
      <c r="TMX82" s="225"/>
      <c r="TMY82" s="225"/>
      <c r="TMZ82" s="225"/>
      <c r="TNA82" s="226"/>
      <c r="TNB82" s="226"/>
      <c r="TNC82" s="225"/>
      <c r="TND82" s="225"/>
      <c r="TPP82" s="225"/>
      <c r="TPQ82" s="225"/>
      <c r="TPR82" s="225"/>
      <c r="TPS82" s="225"/>
      <c r="TPT82" s="225"/>
      <c r="TPU82" s="225"/>
      <c r="TPV82" s="225"/>
      <c r="TPW82" s="225"/>
      <c r="TPX82" s="226"/>
      <c r="TPY82" s="226"/>
      <c r="TPZ82" s="225"/>
      <c r="TQA82" s="225"/>
      <c r="TSM82" s="225"/>
      <c r="TSN82" s="225"/>
      <c r="TSO82" s="225"/>
      <c r="TSP82" s="225"/>
      <c r="TSQ82" s="225"/>
      <c r="TSR82" s="225"/>
      <c r="TSS82" s="225"/>
      <c r="TST82" s="225"/>
      <c r="TSU82" s="226"/>
      <c r="TSV82" s="226"/>
      <c r="TSW82" s="225"/>
      <c r="TSX82" s="225"/>
      <c r="TVJ82" s="225"/>
      <c r="TVK82" s="225"/>
      <c r="TVL82" s="225"/>
      <c r="TVM82" s="225"/>
      <c r="TVN82" s="225"/>
      <c r="TVO82" s="225"/>
      <c r="TVP82" s="225"/>
      <c r="TVQ82" s="225"/>
      <c r="TVR82" s="226"/>
      <c r="TVS82" s="226"/>
      <c r="TVT82" s="225"/>
      <c r="TVU82" s="225"/>
      <c r="TYG82" s="225"/>
      <c r="TYH82" s="225"/>
      <c r="TYI82" s="225"/>
      <c r="TYJ82" s="225"/>
      <c r="TYK82" s="225"/>
      <c r="TYL82" s="225"/>
      <c r="TYM82" s="225"/>
      <c r="TYN82" s="225"/>
      <c r="TYO82" s="226"/>
      <c r="TYP82" s="226"/>
      <c r="TYQ82" s="225"/>
      <c r="TYR82" s="225"/>
      <c r="UBD82" s="225"/>
      <c r="UBE82" s="225"/>
      <c r="UBF82" s="225"/>
      <c r="UBG82" s="225"/>
      <c r="UBH82" s="225"/>
      <c r="UBI82" s="225"/>
      <c r="UBJ82" s="225"/>
      <c r="UBK82" s="225"/>
      <c r="UBL82" s="226"/>
      <c r="UBM82" s="226"/>
      <c r="UBN82" s="225"/>
      <c r="UBO82" s="225"/>
      <c r="UEA82" s="225"/>
      <c r="UEB82" s="225"/>
      <c r="UEC82" s="225"/>
      <c r="UED82" s="225"/>
      <c r="UEE82" s="225"/>
      <c r="UEF82" s="225"/>
      <c r="UEG82" s="225"/>
      <c r="UEH82" s="225"/>
      <c r="UEI82" s="226"/>
      <c r="UEJ82" s="226"/>
      <c r="UEK82" s="225"/>
      <c r="UEL82" s="225"/>
      <c r="UGX82" s="225"/>
      <c r="UGY82" s="225"/>
      <c r="UGZ82" s="225"/>
      <c r="UHA82" s="225"/>
      <c r="UHB82" s="225"/>
      <c r="UHC82" s="225"/>
      <c r="UHD82" s="225"/>
      <c r="UHE82" s="225"/>
      <c r="UHF82" s="226"/>
      <c r="UHG82" s="226"/>
      <c r="UHH82" s="225"/>
      <c r="UHI82" s="225"/>
      <c r="UJU82" s="225"/>
      <c r="UJV82" s="225"/>
      <c r="UJW82" s="225"/>
      <c r="UJX82" s="225"/>
      <c r="UJY82" s="225"/>
      <c r="UJZ82" s="225"/>
      <c r="UKA82" s="225"/>
      <c r="UKB82" s="225"/>
      <c r="UKC82" s="226"/>
      <c r="UKD82" s="226"/>
      <c r="UKE82" s="225"/>
      <c r="UKF82" s="225"/>
      <c r="UMR82" s="225"/>
      <c r="UMS82" s="225"/>
      <c r="UMT82" s="225"/>
      <c r="UMU82" s="225"/>
      <c r="UMV82" s="225"/>
      <c r="UMW82" s="225"/>
      <c r="UMX82" s="225"/>
      <c r="UMY82" s="225"/>
      <c r="UMZ82" s="226"/>
      <c r="UNA82" s="226"/>
      <c r="UNB82" s="225"/>
      <c r="UNC82" s="225"/>
      <c r="UPO82" s="225"/>
      <c r="UPP82" s="225"/>
      <c r="UPQ82" s="225"/>
      <c r="UPR82" s="225"/>
      <c r="UPS82" s="225"/>
      <c r="UPT82" s="225"/>
      <c r="UPU82" s="225"/>
      <c r="UPV82" s="225"/>
      <c r="UPW82" s="226"/>
      <c r="UPX82" s="226"/>
      <c r="UPY82" s="225"/>
      <c r="UPZ82" s="225"/>
      <c r="USL82" s="225"/>
      <c r="USM82" s="225"/>
      <c r="USN82" s="225"/>
      <c r="USO82" s="225"/>
      <c r="USP82" s="225"/>
      <c r="USQ82" s="225"/>
      <c r="USR82" s="225"/>
      <c r="USS82" s="225"/>
      <c r="UST82" s="226"/>
      <c r="USU82" s="226"/>
      <c r="USV82" s="225"/>
      <c r="USW82" s="225"/>
      <c r="UVI82" s="225"/>
      <c r="UVJ82" s="225"/>
      <c r="UVK82" s="225"/>
      <c r="UVL82" s="225"/>
      <c r="UVM82" s="225"/>
      <c r="UVN82" s="225"/>
      <c r="UVO82" s="225"/>
      <c r="UVP82" s="225"/>
      <c r="UVQ82" s="226"/>
      <c r="UVR82" s="226"/>
      <c r="UVS82" s="225"/>
      <c r="UVT82" s="225"/>
      <c r="UYF82" s="225"/>
      <c r="UYG82" s="225"/>
      <c r="UYH82" s="225"/>
      <c r="UYI82" s="225"/>
      <c r="UYJ82" s="225"/>
      <c r="UYK82" s="225"/>
      <c r="UYL82" s="225"/>
      <c r="UYM82" s="225"/>
      <c r="UYN82" s="226"/>
      <c r="UYO82" s="226"/>
      <c r="UYP82" s="225"/>
      <c r="UYQ82" s="225"/>
      <c r="VBC82" s="225"/>
      <c r="VBD82" s="225"/>
      <c r="VBE82" s="225"/>
      <c r="VBF82" s="225"/>
      <c r="VBG82" s="225"/>
      <c r="VBH82" s="225"/>
      <c r="VBI82" s="225"/>
      <c r="VBJ82" s="225"/>
      <c r="VBK82" s="226"/>
      <c r="VBL82" s="226"/>
      <c r="VBM82" s="225"/>
      <c r="VBN82" s="225"/>
      <c r="VDZ82" s="225"/>
      <c r="VEA82" s="225"/>
      <c r="VEB82" s="225"/>
      <c r="VEC82" s="225"/>
      <c r="VED82" s="225"/>
      <c r="VEE82" s="225"/>
      <c r="VEF82" s="225"/>
      <c r="VEG82" s="225"/>
      <c r="VEH82" s="226"/>
      <c r="VEI82" s="226"/>
      <c r="VEJ82" s="225"/>
      <c r="VEK82" s="225"/>
      <c r="VGW82" s="225"/>
      <c r="VGX82" s="225"/>
      <c r="VGY82" s="225"/>
      <c r="VGZ82" s="225"/>
      <c r="VHA82" s="225"/>
      <c r="VHB82" s="225"/>
      <c r="VHC82" s="225"/>
      <c r="VHD82" s="225"/>
      <c r="VHE82" s="226"/>
      <c r="VHF82" s="226"/>
      <c r="VHG82" s="225"/>
      <c r="VHH82" s="225"/>
      <c r="VJT82" s="225"/>
      <c r="VJU82" s="225"/>
      <c r="VJV82" s="225"/>
      <c r="VJW82" s="225"/>
      <c r="VJX82" s="225"/>
      <c r="VJY82" s="225"/>
      <c r="VJZ82" s="225"/>
      <c r="VKA82" s="225"/>
      <c r="VKB82" s="226"/>
      <c r="VKC82" s="226"/>
      <c r="VKD82" s="225"/>
      <c r="VKE82" s="225"/>
      <c r="VMQ82" s="225"/>
      <c r="VMR82" s="225"/>
      <c r="VMS82" s="225"/>
      <c r="VMT82" s="225"/>
      <c r="VMU82" s="225"/>
      <c r="VMV82" s="225"/>
      <c r="VMW82" s="225"/>
      <c r="VMX82" s="225"/>
      <c r="VMY82" s="226"/>
      <c r="VMZ82" s="226"/>
      <c r="VNA82" s="225"/>
      <c r="VNB82" s="225"/>
      <c r="VPN82" s="225"/>
      <c r="VPO82" s="225"/>
      <c r="VPP82" s="225"/>
      <c r="VPQ82" s="225"/>
      <c r="VPR82" s="225"/>
      <c r="VPS82" s="225"/>
      <c r="VPT82" s="225"/>
      <c r="VPU82" s="225"/>
      <c r="VPV82" s="226"/>
      <c r="VPW82" s="226"/>
      <c r="VPX82" s="225"/>
      <c r="VPY82" s="225"/>
      <c r="VSK82" s="225"/>
      <c r="VSL82" s="225"/>
      <c r="VSM82" s="225"/>
      <c r="VSN82" s="225"/>
      <c r="VSO82" s="225"/>
      <c r="VSP82" s="225"/>
      <c r="VSQ82" s="225"/>
      <c r="VSR82" s="225"/>
      <c r="VSS82" s="226"/>
      <c r="VST82" s="226"/>
      <c r="VSU82" s="225"/>
      <c r="VSV82" s="225"/>
      <c r="VVH82" s="225"/>
      <c r="VVI82" s="225"/>
      <c r="VVJ82" s="225"/>
      <c r="VVK82" s="225"/>
      <c r="VVL82" s="225"/>
      <c r="VVM82" s="225"/>
      <c r="VVN82" s="225"/>
      <c r="VVO82" s="225"/>
      <c r="VVP82" s="226"/>
      <c r="VVQ82" s="226"/>
      <c r="VVR82" s="225"/>
      <c r="VVS82" s="225"/>
      <c r="VYE82" s="225"/>
      <c r="VYF82" s="225"/>
      <c r="VYG82" s="225"/>
      <c r="VYH82" s="225"/>
      <c r="VYI82" s="225"/>
      <c r="VYJ82" s="225"/>
      <c r="VYK82" s="225"/>
      <c r="VYL82" s="225"/>
      <c r="VYM82" s="226"/>
      <c r="VYN82" s="226"/>
      <c r="VYO82" s="225"/>
      <c r="VYP82" s="225"/>
      <c r="WBB82" s="225"/>
      <c r="WBC82" s="225"/>
      <c r="WBD82" s="225"/>
      <c r="WBE82" s="225"/>
      <c r="WBF82" s="225"/>
      <c r="WBG82" s="225"/>
      <c r="WBH82" s="225"/>
      <c r="WBI82" s="225"/>
      <c r="WBJ82" s="226"/>
      <c r="WBK82" s="226"/>
      <c r="WBL82" s="225"/>
      <c r="WBM82" s="225"/>
      <c r="WDY82" s="225"/>
      <c r="WDZ82" s="225"/>
      <c r="WEA82" s="225"/>
      <c r="WEB82" s="225"/>
      <c r="WEC82" s="225"/>
      <c r="WED82" s="225"/>
      <c r="WEE82" s="225"/>
      <c r="WEF82" s="225"/>
      <c r="WEG82" s="226"/>
      <c r="WEH82" s="226"/>
      <c r="WEI82" s="225"/>
      <c r="WEJ82" s="225"/>
      <c r="WGV82" s="225"/>
      <c r="WGW82" s="225"/>
      <c r="WGX82" s="225"/>
      <c r="WGY82" s="225"/>
      <c r="WGZ82" s="225"/>
      <c r="WHA82" s="225"/>
      <c r="WHB82" s="225"/>
      <c r="WHC82" s="225"/>
      <c r="WHD82" s="226"/>
      <c r="WHE82" s="226"/>
      <c r="WHF82" s="225"/>
      <c r="WHG82" s="225"/>
      <c r="WJS82" s="225"/>
      <c r="WJT82" s="225"/>
      <c r="WJU82" s="225"/>
      <c r="WJV82" s="225"/>
      <c r="WJW82" s="225"/>
      <c r="WJX82" s="225"/>
      <c r="WJY82" s="225"/>
      <c r="WJZ82" s="225"/>
      <c r="WKA82" s="226"/>
      <c r="WKB82" s="226"/>
      <c r="WKC82" s="225"/>
      <c r="WKD82" s="225"/>
      <c r="WMP82" s="225"/>
      <c r="WMQ82" s="225"/>
      <c r="WMR82" s="225"/>
      <c r="WMS82" s="225"/>
      <c r="WMT82" s="225"/>
      <c r="WMU82" s="225"/>
      <c r="WMV82" s="225"/>
      <c r="WMW82" s="225"/>
      <c r="WMX82" s="226"/>
      <c r="WMY82" s="226"/>
      <c r="WMZ82" s="225"/>
      <c r="WNA82" s="225"/>
      <c r="WPM82" s="225"/>
      <c r="WPN82" s="225"/>
      <c r="WPO82" s="225"/>
      <c r="WPP82" s="225"/>
      <c r="WPQ82" s="225"/>
      <c r="WPR82" s="225"/>
      <c r="WPS82" s="225"/>
      <c r="WPT82" s="225"/>
      <c r="WPU82" s="226"/>
      <c r="WPV82" s="226"/>
      <c r="WPW82" s="225"/>
      <c r="WPX82" s="225"/>
      <c r="WSJ82" s="225"/>
      <c r="WSK82" s="225"/>
      <c r="WSL82" s="225"/>
      <c r="WSM82" s="225"/>
      <c r="WSN82" s="225"/>
      <c r="WSO82" s="225"/>
      <c r="WSP82" s="225"/>
      <c r="WSQ82" s="225"/>
      <c r="WSR82" s="226"/>
      <c r="WSS82" s="226"/>
      <c r="WST82" s="225"/>
      <c r="WSU82" s="225"/>
      <c r="WVG82" s="225"/>
      <c r="WVH82" s="225"/>
      <c r="WVI82" s="225"/>
      <c r="WVJ82" s="225"/>
      <c r="WVK82" s="225"/>
      <c r="WVL82" s="225"/>
      <c r="WVM82" s="225"/>
      <c r="WVN82" s="225"/>
      <c r="WVO82" s="226"/>
      <c r="WVP82" s="226"/>
      <c r="WVQ82" s="225"/>
      <c r="WVR82" s="225"/>
      <c r="WYD82" s="225"/>
      <c r="WYE82" s="225"/>
      <c r="WYF82" s="225"/>
      <c r="WYG82" s="225"/>
      <c r="WYH82" s="225"/>
      <c r="WYI82" s="225"/>
      <c r="WYJ82" s="225"/>
      <c r="WYK82" s="225"/>
      <c r="WYL82" s="226"/>
      <c r="WYM82" s="226"/>
      <c r="WYN82" s="225"/>
      <c r="WYO82" s="225"/>
      <c r="XBA82" s="225"/>
      <c r="XBB82" s="225"/>
      <c r="XBC82" s="225"/>
      <c r="XBD82" s="225"/>
      <c r="XBE82" s="225"/>
      <c r="XBF82" s="225"/>
      <c r="XBG82" s="225"/>
      <c r="XBH82" s="225"/>
      <c r="XBI82" s="226"/>
      <c r="XBJ82" s="226"/>
      <c r="XBK82" s="225"/>
      <c r="XBL82" s="225"/>
      <c r="XDX82" s="225"/>
      <c r="XDY82" s="225"/>
      <c r="XDZ82" s="225"/>
      <c r="XEA82" s="225"/>
      <c r="XEB82" s="225"/>
      <c r="XEC82" s="225"/>
      <c r="XED82" s="225"/>
      <c r="XEE82" s="225"/>
      <c r="XEF82" s="226"/>
      <c r="XEG82" s="226"/>
      <c r="XEH82" s="225"/>
      <c r="XEI82" s="225"/>
    </row>
    <row r="83" spans="1:988 1052:2038 2102:3013 3077:4063 4127:5113 5177:6088 6152:7138 7202:8188 8252:9163 9227:10213 10277:11263 11327:12238 12302:13288 13352:15313 15377:16363" ht="69.75" customHeight="1">
      <c r="A83" s="615" t="s">
        <v>49</v>
      </c>
      <c r="B83" s="615" t="s">
        <v>3638</v>
      </c>
      <c r="C83" s="615"/>
      <c r="D83" s="615"/>
      <c r="E83" s="615"/>
      <c r="F83" s="615"/>
      <c r="G83" s="615"/>
      <c r="H83" s="615"/>
      <c r="I83" s="616"/>
      <c r="J83" s="616"/>
      <c r="K83" s="615"/>
      <c r="L83" s="615"/>
      <c r="M83" s="617">
        <v>36469.449999999997</v>
      </c>
      <c r="N83" s="617">
        <v>32117</v>
      </c>
      <c r="O83" s="617">
        <v>0</v>
      </c>
      <c r="P83" s="617">
        <v>861.45</v>
      </c>
      <c r="Q83" s="617" t="e">
        <v>#VALUE!</v>
      </c>
      <c r="R83" s="617" t="e">
        <v>#VALUE!</v>
      </c>
      <c r="S83" s="617" t="e">
        <v>#VALUE!</v>
      </c>
      <c r="T83" s="617" t="e">
        <v>#VALUE!</v>
      </c>
      <c r="U83" s="617">
        <v>0</v>
      </c>
      <c r="V83" s="617">
        <v>0</v>
      </c>
      <c r="W83" s="617">
        <v>0</v>
      </c>
      <c r="X83" s="617">
        <v>0</v>
      </c>
      <c r="Y83" s="617">
        <v>861.45</v>
      </c>
      <c r="Z83" s="617">
        <v>0</v>
      </c>
      <c r="AA83" s="617">
        <v>0</v>
      </c>
      <c r="AB83" s="617">
        <v>1122.9000000000001</v>
      </c>
      <c r="AC83" s="617">
        <v>0</v>
      </c>
      <c r="AD83" s="617">
        <v>0</v>
      </c>
      <c r="AE83" s="617">
        <v>861.45</v>
      </c>
      <c r="AF83" s="617">
        <v>400</v>
      </c>
      <c r="AG83" s="617"/>
      <c r="AH83" s="617">
        <v>0</v>
      </c>
      <c r="AI83" s="617">
        <v>400</v>
      </c>
      <c r="AJ83" s="617">
        <v>0</v>
      </c>
      <c r="AK83" s="617">
        <v>0</v>
      </c>
      <c r="AL83" s="617">
        <v>400</v>
      </c>
      <c r="AM83" s="617">
        <v>400</v>
      </c>
      <c r="AN83" s="617"/>
      <c r="AO83" s="617">
        <v>261.45</v>
      </c>
      <c r="AP83" s="617">
        <v>661.45</v>
      </c>
      <c r="AQ83" s="617">
        <v>0</v>
      </c>
      <c r="AR83" s="617">
        <v>0</v>
      </c>
      <c r="AS83" s="617">
        <v>400</v>
      </c>
      <c r="AT83" s="617">
        <v>200</v>
      </c>
      <c r="AU83" s="617">
        <v>0</v>
      </c>
      <c r="AV83" s="617">
        <v>0</v>
      </c>
      <c r="AW83" s="617">
        <v>200</v>
      </c>
      <c r="AX83" s="617">
        <v>0</v>
      </c>
      <c r="AY83" s="617">
        <v>0</v>
      </c>
      <c r="AZ83" s="617">
        <v>200</v>
      </c>
      <c r="BA83" s="617">
        <v>0</v>
      </c>
      <c r="BB83" s="617">
        <v>0</v>
      </c>
      <c r="BC83" s="617">
        <v>0</v>
      </c>
      <c r="BD83" s="617">
        <v>0</v>
      </c>
      <c r="BE83" s="617">
        <v>0</v>
      </c>
      <c r="BF83" s="617">
        <v>0</v>
      </c>
      <c r="BG83" s="617">
        <v>0</v>
      </c>
      <c r="BH83" s="617">
        <v>0</v>
      </c>
      <c r="BI83" s="617">
        <v>0</v>
      </c>
      <c r="BJ83" s="617">
        <v>0</v>
      </c>
      <c r="BK83" s="617">
        <v>0</v>
      </c>
      <c r="BL83" s="617">
        <v>0</v>
      </c>
      <c r="BM83" s="617">
        <v>0</v>
      </c>
      <c r="BN83" s="617">
        <v>0</v>
      </c>
      <c r="BO83" s="617">
        <v>0</v>
      </c>
      <c r="BP83" s="617">
        <v>0</v>
      </c>
      <c r="BQ83" s="617">
        <v>0</v>
      </c>
      <c r="BR83" s="617">
        <v>3.05</v>
      </c>
      <c r="BS83" s="617">
        <v>0</v>
      </c>
      <c r="BT83" s="617">
        <v>0</v>
      </c>
      <c r="BU83" s="617">
        <v>3.05</v>
      </c>
      <c r="BV83" s="617">
        <v>2.4</v>
      </c>
      <c r="BW83" s="618">
        <v>3.05</v>
      </c>
      <c r="BX83" s="617" t="s">
        <v>519</v>
      </c>
    </row>
    <row r="84" spans="1:988 1052:2038 2102:3013 3077:4063 4127:5113 5177:6088 6152:7138 7202:8188 8252:9163 9227:10213 10277:11263 11327:12238 12302:13288 13352:15313 15377:16363" ht="38.25" customHeight="1">
      <c r="A84" s="841" t="s">
        <v>3687</v>
      </c>
      <c r="B84" s="802"/>
      <c r="C84" s="802"/>
      <c r="D84" s="802"/>
      <c r="E84" s="802"/>
      <c r="F84" s="802"/>
      <c r="G84" s="802"/>
      <c r="H84" s="802"/>
      <c r="I84" s="802"/>
      <c r="J84" s="802"/>
      <c r="K84" s="802"/>
      <c r="L84" s="802"/>
      <c r="M84" s="802"/>
      <c r="N84" s="802"/>
      <c r="O84" s="802"/>
      <c r="P84" s="802"/>
      <c r="Q84" s="802"/>
      <c r="R84" s="802"/>
      <c r="S84" s="802"/>
      <c r="T84" s="802"/>
      <c r="U84" s="802"/>
      <c r="V84" s="802"/>
      <c r="W84" s="802"/>
      <c r="X84" s="802"/>
      <c r="Y84" s="802"/>
      <c r="Z84" s="802"/>
      <c r="AA84" s="802"/>
      <c r="AB84" s="802"/>
      <c r="AC84" s="802"/>
      <c r="AD84" s="802"/>
      <c r="AE84" s="802"/>
      <c r="AF84" s="802"/>
      <c r="AG84" s="802"/>
      <c r="AH84" s="802"/>
      <c r="AI84" s="802"/>
      <c r="AJ84" s="802"/>
      <c r="AK84" s="802"/>
      <c r="AL84" s="802"/>
      <c r="AM84" s="802"/>
      <c r="AN84" s="802"/>
      <c r="AO84" s="802"/>
      <c r="AP84" s="802"/>
      <c r="AQ84" s="802"/>
      <c r="AR84" s="802"/>
      <c r="AS84" s="802"/>
      <c r="AT84" s="802"/>
      <c r="AU84" s="802"/>
      <c r="AV84" s="802"/>
      <c r="AW84" s="802"/>
      <c r="AX84" s="802"/>
      <c r="AY84" s="802"/>
      <c r="AZ84" s="802"/>
      <c r="BA84" s="802"/>
      <c r="BB84" s="802"/>
      <c r="BC84" s="802"/>
      <c r="BD84" s="802"/>
      <c r="BE84" s="802"/>
      <c r="BF84" s="802"/>
      <c r="BG84" s="802"/>
      <c r="BH84" s="802"/>
      <c r="BI84" s="802"/>
      <c r="BJ84" s="802"/>
      <c r="BK84" s="802"/>
      <c r="BL84" s="802"/>
      <c r="BM84" s="802"/>
      <c r="BN84" s="802"/>
      <c r="BO84" s="802"/>
      <c r="BP84" s="802"/>
      <c r="BQ84" s="802"/>
      <c r="BR84" s="802"/>
      <c r="BS84" s="802"/>
      <c r="BT84" s="802"/>
      <c r="BU84" s="802"/>
      <c r="BV84" s="802"/>
      <c r="BW84" s="802"/>
      <c r="BX84" s="802"/>
    </row>
  </sheetData>
  <mergeCells count="109">
    <mergeCell ref="BW6:BW12"/>
    <mergeCell ref="A1:BX1"/>
    <mergeCell ref="A2:BX2"/>
    <mergeCell ref="A3:BX3"/>
    <mergeCell ref="A4:BX4"/>
    <mergeCell ref="AX5:BX5"/>
    <mergeCell ref="A6:A12"/>
    <mergeCell ref="B6:B12"/>
    <mergeCell ref="C6:C12"/>
    <mergeCell ref="D6:D12"/>
    <mergeCell ref="E6:E12"/>
    <mergeCell ref="F6:F12"/>
    <mergeCell ref="G6:G12"/>
    <mergeCell ref="H6:H12"/>
    <mergeCell ref="I6:I12"/>
    <mergeCell ref="J6:J12"/>
    <mergeCell ref="L6:P6"/>
    <mergeCell ref="L7:L12"/>
    <mergeCell ref="M7:M12"/>
    <mergeCell ref="N7:P7"/>
    <mergeCell ref="AF6:AS6"/>
    <mergeCell ref="AT6:BI6"/>
    <mergeCell ref="BJ6:BQ6"/>
    <mergeCell ref="BR6:BU6"/>
    <mergeCell ref="BV6:BV12"/>
    <mergeCell ref="BX6:BX12"/>
    <mergeCell ref="AF7:AF12"/>
    <mergeCell ref="AH7:AL7"/>
    <mergeCell ref="AM7:AS7"/>
    <mergeCell ref="AT7:AT12"/>
    <mergeCell ref="AU7:AZ7"/>
    <mergeCell ref="BA7:BI7"/>
    <mergeCell ref="BJ7:BM7"/>
    <mergeCell ref="BN7:BQ7"/>
    <mergeCell ref="BR7:BU7"/>
    <mergeCell ref="AN8:AS8"/>
    <mergeCell ref="AU8:AZ8"/>
    <mergeCell ref="BA8:BA12"/>
    <mergeCell ref="AU9:AU12"/>
    <mergeCell ref="AV9:AV12"/>
    <mergeCell ref="AW9:AW12"/>
    <mergeCell ref="AX9:AX12"/>
    <mergeCell ref="AG8:AL8"/>
    <mergeCell ref="AM8:AM12"/>
    <mergeCell ref="AG9:AG12"/>
    <mergeCell ref="AH9:AH12"/>
    <mergeCell ref="AI9:AI12"/>
    <mergeCell ref="AJ9:AJ12"/>
    <mergeCell ref="Y6:AE6"/>
    <mergeCell ref="U7:U12"/>
    <mergeCell ref="V7:X7"/>
    <mergeCell ref="Y7:Y12"/>
    <mergeCell ref="Z7:AE7"/>
    <mergeCell ref="N9:N12"/>
    <mergeCell ref="O9:O12"/>
    <mergeCell ref="P9:P12"/>
    <mergeCell ref="AC9:AC12"/>
    <mergeCell ref="AD9:AD12"/>
    <mergeCell ref="AE9:AE12"/>
    <mergeCell ref="Z8:Z12"/>
    <mergeCell ref="AA8:AA12"/>
    <mergeCell ref="AB8:AB12"/>
    <mergeCell ref="AC8:AE8"/>
    <mergeCell ref="K8:K12"/>
    <mergeCell ref="N8:P8"/>
    <mergeCell ref="V8:V12"/>
    <mergeCell ref="W8:W12"/>
    <mergeCell ref="X8:X12"/>
    <mergeCell ref="Q6:Q12"/>
    <mergeCell ref="R6:R12"/>
    <mergeCell ref="S6:S12"/>
    <mergeCell ref="T6:T12"/>
    <mergeCell ref="U6:X6"/>
    <mergeCell ref="AN9:AN12"/>
    <mergeCell ref="AO9:AO12"/>
    <mergeCell ref="AP9:AP12"/>
    <mergeCell ref="AQ9:AS9"/>
    <mergeCell ref="BN8:BN12"/>
    <mergeCell ref="BO8:BQ8"/>
    <mergeCell ref="BR8:BR12"/>
    <mergeCell ref="BC9:BC12"/>
    <mergeCell ref="BD9:BD12"/>
    <mergeCell ref="BE9:BI9"/>
    <mergeCell ref="AZ9:AZ12"/>
    <mergeCell ref="BB9:BB12"/>
    <mergeCell ref="AK9:AK12"/>
    <mergeCell ref="AL9:AL12"/>
    <mergeCell ref="BS8:BU8"/>
    <mergeCell ref="BB8:BI8"/>
    <mergeCell ref="BJ8:BJ12"/>
    <mergeCell ref="BK8:BM8"/>
    <mergeCell ref="A84:BX84"/>
    <mergeCell ref="BS9:BS12"/>
    <mergeCell ref="BT9:BT12"/>
    <mergeCell ref="BU9:BU12"/>
    <mergeCell ref="AQ10:AQ12"/>
    <mergeCell ref="AR10:AR12"/>
    <mergeCell ref="AS10:AS12"/>
    <mergeCell ref="BE10:BE12"/>
    <mergeCell ref="BF10:BG10"/>
    <mergeCell ref="BH10:BH12"/>
    <mergeCell ref="BI10:BI12"/>
    <mergeCell ref="BK9:BK12"/>
    <mergeCell ref="BL9:BL12"/>
    <mergeCell ref="BM9:BM12"/>
    <mergeCell ref="BO9:BO12"/>
    <mergeCell ref="BP9:BP12"/>
    <mergeCell ref="BQ9:BQ12"/>
    <mergeCell ref="AY9:AY12"/>
  </mergeCells>
  <printOptions horizontalCentered="1"/>
  <pageMargins left="0.19685039370078741" right="0.15748031496062992" top="0.51181102362204722" bottom="0.43307086614173229" header="0.31496062992125984" footer="0.27559055118110237"/>
  <pageSetup paperSize="9" scale="50" fitToHeight="0" orientation="landscape" r:id="rId1"/>
  <headerFooter>
    <oddHeader>&amp;R&amp;"Times New Roman,Bold Italic"&amp;12Sa Thầy</oddHeader>
    <oddFooter>&amp;R&amp;P/&amp;N</oddFooter>
  </headerFooter>
  <rowBreaks count="2" manualBreakCount="2">
    <brk id="43" max="75" man="1"/>
    <brk id="59" max="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1"/>
  <sheetViews>
    <sheetView showGridLines="0" zoomScale="70" zoomScaleNormal="70" zoomScaleSheetLayoutView="55" workbookViewId="0">
      <selection activeCell="CC17" sqref="A1:CC153"/>
    </sheetView>
  </sheetViews>
  <sheetFormatPr defaultColWidth="9" defaultRowHeight="14.25" outlineLevelRow="1"/>
  <cols>
    <col min="1" max="1" width="6.73046875" customWidth="1"/>
    <col min="2" max="2" width="52.73046875" customWidth="1"/>
    <col min="3" max="3" width="14.73046875" customWidth="1"/>
    <col min="4" max="4" width="16.59765625" customWidth="1"/>
    <col min="5" max="5" width="10.73046875" customWidth="1"/>
    <col min="6" max="6" width="11.265625" hidden="1" customWidth="1"/>
    <col min="7" max="7" width="14.73046875" customWidth="1"/>
    <col min="8" max="8" width="10.3984375" hidden="1" customWidth="1"/>
    <col min="9" max="9" width="10.73046875" style="66" customWidth="1"/>
    <col min="10" max="10" width="9.59765625" hidden="1" customWidth="1"/>
    <col min="11" max="11" width="17.1328125" hidden="1" customWidth="1"/>
    <col min="12" max="12" width="11.73046875" style="66" customWidth="1"/>
    <col min="13" max="13" width="13.73046875" customWidth="1"/>
    <col min="14" max="14" width="10.59765625" hidden="1" customWidth="1"/>
    <col min="15" max="15" width="14.59765625" hidden="1" customWidth="1"/>
    <col min="16" max="16" width="13.86328125" customWidth="1"/>
    <col min="17" max="17" width="13.86328125" hidden="1" customWidth="1"/>
    <col min="18" max="18" width="10.86328125" hidden="1" customWidth="1"/>
    <col min="19" max="19" width="12.1328125" customWidth="1"/>
    <col min="20" max="20" width="9.3984375" hidden="1" customWidth="1"/>
    <col min="21" max="21" width="6.73046875" hidden="1" customWidth="1"/>
    <col min="22" max="22" width="13.3984375" customWidth="1"/>
    <col min="23" max="23" width="14.59765625" customWidth="1"/>
    <col min="24" max="26" width="11.265625" hidden="1" customWidth="1"/>
    <col min="27" max="27" width="12.86328125" customWidth="1"/>
    <col min="28" max="28" width="14" customWidth="1"/>
    <col min="29" max="29" width="12.3984375" customWidth="1"/>
    <col min="30" max="30" width="10.1328125" hidden="1" customWidth="1"/>
    <col min="31" max="31" width="9.3984375" hidden="1" customWidth="1"/>
    <col min="32" max="32" width="8.73046875" hidden="1" customWidth="1"/>
    <col min="33" max="33" width="10.1328125" hidden="1" customWidth="1"/>
    <col min="34" max="34" width="12.265625" hidden="1" customWidth="1"/>
    <col min="35" max="35" width="8.73046875" hidden="1" customWidth="1"/>
    <col min="36" max="37" width="9.73046875" hidden="1" customWidth="1"/>
    <col min="38" max="38" width="11" hidden="1" customWidth="1"/>
    <col min="39" max="39" width="9.59765625" hidden="1" customWidth="1"/>
    <col min="40" max="40" width="8.1328125" hidden="1" customWidth="1"/>
    <col min="41" max="41" width="9.73046875" hidden="1" customWidth="1"/>
    <col min="42" max="42" width="13.1328125" hidden="1" customWidth="1"/>
    <col min="43" max="43" width="14" hidden="1" customWidth="1"/>
    <col min="44" max="44" width="10" hidden="1" customWidth="1"/>
    <col min="45" max="45" width="9.59765625" hidden="1" customWidth="1"/>
    <col min="46" max="46" width="11.73046875" customWidth="1"/>
    <col min="47" max="47" width="9.1328125" hidden="1" customWidth="1"/>
    <col min="48" max="48" width="8.265625" hidden="1" customWidth="1"/>
    <col min="49" max="49" width="10" hidden="1" customWidth="1"/>
    <col min="50" max="52" width="11.73046875" customWidth="1"/>
    <col min="53" max="53" width="11.59765625" hidden="1" customWidth="1"/>
    <col min="54" max="54" width="9.3984375" hidden="1" customWidth="1"/>
    <col min="55" max="55" width="10.265625" hidden="1" customWidth="1"/>
    <col min="56" max="56" width="8.265625" hidden="1" customWidth="1"/>
    <col min="57" max="57" width="12.59765625" hidden="1" customWidth="1"/>
    <col min="58" max="58" width="11.3984375" hidden="1" customWidth="1"/>
    <col min="59" max="59" width="8.265625" hidden="1" customWidth="1"/>
    <col min="60" max="60" width="8.1328125" hidden="1" customWidth="1"/>
    <col min="61" max="67" width="11.1328125" hidden="1" customWidth="1"/>
    <col min="68" max="73" width="9.3984375" hidden="1" customWidth="1"/>
    <col min="74" max="74" width="15.1328125" hidden="1" customWidth="1"/>
    <col min="75" max="75" width="19.3984375" style="26" customWidth="1"/>
    <col min="76" max="76" width="8" hidden="1" customWidth="1"/>
    <col min="77" max="77" width="10.3984375" hidden="1" customWidth="1"/>
    <col min="78" max="78" width="3" hidden="1" customWidth="1"/>
    <col min="79" max="80" width="9" hidden="1" customWidth="1"/>
    <col min="81" max="81" width="25.86328125" style="31" hidden="1" customWidth="1"/>
    <col min="82" max="82" width="16.265625" hidden="1" customWidth="1"/>
    <col min="83" max="84" width="9" hidden="1" customWidth="1"/>
    <col min="254" max="254" width="6" customWidth="1"/>
    <col min="255" max="255" width="29.86328125" customWidth="1"/>
    <col min="256" max="256" width="11.3984375" customWidth="1"/>
    <col min="257" max="257" width="13.73046875" customWidth="1"/>
    <col min="258" max="258" width="11.265625" customWidth="1"/>
    <col min="259" max="259" width="10.3984375" customWidth="1"/>
    <col min="260" max="260" width="9.265625" customWidth="1"/>
    <col min="261" max="261" width="9.59765625" customWidth="1"/>
    <col min="262" max="262" width="17.1328125" bestFit="1" customWidth="1"/>
    <col min="263" max="263" width="14.86328125" customWidth="1"/>
    <col min="264" max="264" width="9.59765625" bestFit="1" customWidth="1"/>
    <col min="265" max="265" width="10.59765625" customWidth="1"/>
    <col min="266" max="266" width="11.73046875" customWidth="1"/>
    <col min="267" max="267" width="10.265625" customWidth="1"/>
    <col min="268" max="268" width="13.86328125" customWidth="1"/>
    <col min="269" max="269" width="10.3984375" customWidth="1"/>
    <col min="270" max="270" width="10.86328125" customWidth="1"/>
    <col min="271" max="271" width="13.86328125" customWidth="1"/>
    <col min="272" max="272" width="10.59765625" customWidth="1"/>
    <col min="273" max="273" width="9.3984375" customWidth="1"/>
    <col min="274" max="274" width="6.73046875" customWidth="1"/>
    <col min="275" max="275" width="9.1328125" customWidth="1"/>
    <col min="276" max="283" width="11.265625" customWidth="1"/>
    <col min="284" max="299" width="0" hidden="1" customWidth="1"/>
    <col min="300" max="300" width="12.73046875" customWidth="1"/>
    <col min="301" max="301" width="9.1328125" customWidth="1"/>
    <col min="302" max="302" width="8.265625" customWidth="1"/>
    <col min="303" max="303" width="8.73046875" customWidth="1"/>
    <col min="304" max="304" width="10.59765625" customWidth="1"/>
    <col min="305" max="307" width="8.73046875" customWidth="1"/>
    <col min="308" max="328" width="0" hidden="1" customWidth="1"/>
    <col min="329" max="333" width="15.265625" customWidth="1"/>
    <col min="510" max="510" width="6" customWidth="1"/>
    <col min="511" max="511" width="29.86328125" customWidth="1"/>
    <col min="512" max="512" width="11.3984375" customWidth="1"/>
    <col min="513" max="513" width="13.73046875" customWidth="1"/>
    <col min="514" max="514" width="11.265625" customWidth="1"/>
    <col min="515" max="515" width="10.3984375" customWidth="1"/>
    <col min="516" max="516" width="9.265625" customWidth="1"/>
    <col min="517" max="517" width="9.59765625" customWidth="1"/>
    <col min="518" max="518" width="17.1328125" bestFit="1" customWidth="1"/>
    <col min="519" max="519" width="14.86328125" customWidth="1"/>
    <col min="520" max="520" width="9.59765625" bestFit="1" customWidth="1"/>
    <col min="521" max="521" width="10.59765625" customWidth="1"/>
    <col min="522" max="522" width="11.73046875" customWidth="1"/>
    <col min="523" max="523" width="10.265625" customWidth="1"/>
    <col min="524" max="524" width="13.86328125" customWidth="1"/>
    <col min="525" max="525" width="10.3984375" customWidth="1"/>
    <col min="526" max="526" width="10.86328125" customWidth="1"/>
    <col min="527" max="527" width="13.86328125" customWidth="1"/>
    <col min="528" max="528" width="10.59765625" customWidth="1"/>
    <col min="529" max="529" width="9.3984375" customWidth="1"/>
    <col min="530" max="530" width="6.73046875" customWidth="1"/>
    <col min="531" max="531" width="9.1328125" customWidth="1"/>
    <col min="532" max="539" width="11.265625" customWidth="1"/>
    <col min="540" max="555" width="0" hidden="1" customWidth="1"/>
    <col min="556" max="556" width="12.73046875" customWidth="1"/>
    <col min="557" max="557" width="9.1328125" customWidth="1"/>
    <col min="558" max="558" width="8.265625" customWidth="1"/>
    <col min="559" max="559" width="8.73046875" customWidth="1"/>
    <col min="560" max="560" width="10.59765625" customWidth="1"/>
    <col min="561" max="563" width="8.73046875" customWidth="1"/>
    <col min="564" max="584" width="0" hidden="1" customWidth="1"/>
    <col min="585" max="589" width="15.265625" customWidth="1"/>
    <col min="766" max="766" width="6" customWidth="1"/>
    <col min="767" max="767" width="29.86328125" customWidth="1"/>
    <col min="768" max="768" width="11.3984375" customWidth="1"/>
    <col min="769" max="769" width="13.73046875" customWidth="1"/>
    <col min="770" max="770" width="11.265625" customWidth="1"/>
    <col min="771" max="771" width="10.3984375" customWidth="1"/>
    <col min="772" max="772" width="9.265625" customWidth="1"/>
    <col min="773" max="773" width="9.59765625" customWidth="1"/>
    <col min="774" max="774" width="17.1328125" bestFit="1" customWidth="1"/>
    <col min="775" max="775" width="14.86328125" customWidth="1"/>
    <col min="776" max="776" width="9.59765625" bestFit="1" customWidth="1"/>
    <col min="777" max="777" width="10.59765625" customWidth="1"/>
    <col min="778" max="778" width="11.73046875" customWidth="1"/>
    <col min="779" max="779" width="10.265625" customWidth="1"/>
    <col min="780" max="780" width="13.86328125" customWidth="1"/>
    <col min="781" max="781" width="10.3984375" customWidth="1"/>
    <col min="782" max="782" width="10.86328125" customWidth="1"/>
    <col min="783" max="783" width="13.86328125" customWidth="1"/>
    <col min="784" max="784" width="10.59765625" customWidth="1"/>
    <col min="785" max="785" width="9.3984375" customWidth="1"/>
    <col min="786" max="786" width="6.73046875" customWidth="1"/>
    <col min="787" max="787" width="9.1328125" customWidth="1"/>
    <col min="788" max="795" width="11.265625" customWidth="1"/>
    <col min="796" max="811" width="0" hidden="1" customWidth="1"/>
    <col min="812" max="812" width="12.73046875" customWidth="1"/>
    <col min="813" max="813" width="9.1328125" customWidth="1"/>
    <col min="814" max="814" width="8.265625" customWidth="1"/>
    <col min="815" max="815" width="8.73046875" customWidth="1"/>
    <col min="816" max="816" width="10.59765625" customWidth="1"/>
    <col min="817" max="819" width="8.73046875" customWidth="1"/>
    <col min="820" max="840" width="0" hidden="1" customWidth="1"/>
    <col min="841" max="845" width="15.265625" customWidth="1"/>
    <col min="1022" max="1022" width="6" customWidth="1"/>
    <col min="1023" max="1023" width="29.86328125" customWidth="1"/>
    <col min="1024" max="1024" width="11.3984375" customWidth="1"/>
    <col min="1025" max="1025" width="13.73046875" customWidth="1"/>
    <col min="1026" max="1026" width="11.265625" customWidth="1"/>
    <col min="1027" max="1027" width="10.3984375" customWidth="1"/>
    <col min="1028" max="1028" width="9.265625" customWidth="1"/>
    <col min="1029" max="1029" width="9.59765625" customWidth="1"/>
    <col min="1030" max="1030" width="17.1328125" bestFit="1" customWidth="1"/>
    <col min="1031" max="1031" width="14.86328125" customWidth="1"/>
    <col min="1032" max="1032" width="9.59765625" bestFit="1" customWidth="1"/>
    <col min="1033" max="1033" width="10.59765625" customWidth="1"/>
    <col min="1034" max="1034" width="11.73046875" customWidth="1"/>
    <col min="1035" max="1035" width="10.265625" customWidth="1"/>
    <col min="1036" max="1036" width="13.86328125" customWidth="1"/>
    <col min="1037" max="1037" width="10.3984375" customWidth="1"/>
    <col min="1038" max="1038" width="10.86328125" customWidth="1"/>
    <col min="1039" max="1039" width="13.86328125" customWidth="1"/>
    <col min="1040" max="1040" width="10.59765625" customWidth="1"/>
    <col min="1041" max="1041" width="9.3984375" customWidth="1"/>
    <col min="1042" max="1042" width="6.73046875" customWidth="1"/>
    <col min="1043" max="1043" width="9.1328125" customWidth="1"/>
    <col min="1044" max="1051" width="11.265625" customWidth="1"/>
    <col min="1052" max="1067" width="0" hidden="1" customWidth="1"/>
    <col min="1068" max="1068" width="12.73046875" customWidth="1"/>
    <col min="1069" max="1069" width="9.1328125" customWidth="1"/>
    <col min="1070" max="1070" width="8.265625" customWidth="1"/>
    <col min="1071" max="1071" width="8.73046875" customWidth="1"/>
    <col min="1072" max="1072" width="10.59765625" customWidth="1"/>
    <col min="1073" max="1075" width="8.73046875" customWidth="1"/>
    <col min="1076" max="1096" width="0" hidden="1" customWidth="1"/>
    <col min="1097" max="1101" width="15.265625" customWidth="1"/>
    <col min="1278" max="1278" width="6" customWidth="1"/>
    <col min="1279" max="1279" width="29.86328125" customWidth="1"/>
    <col min="1280" max="1280" width="11.3984375" customWidth="1"/>
    <col min="1281" max="1281" width="13.73046875" customWidth="1"/>
    <col min="1282" max="1282" width="11.265625" customWidth="1"/>
    <col min="1283" max="1283" width="10.3984375" customWidth="1"/>
    <col min="1284" max="1284" width="9.265625" customWidth="1"/>
    <col min="1285" max="1285" width="9.59765625" customWidth="1"/>
    <col min="1286" max="1286" width="17.1328125" bestFit="1" customWidth="1"/>
    <col min="1287" max="1287" width="14.86328125" customWidth="1"/>
    <col min="1288" max="1288" width="9.59765625" bestFit="1" customWidth="1"/>
    <col min="1289" max="1289" width="10.59765625" customWidth="1"/>
    <col min="1290" max="1290" width="11.73046875" customWidth="1"/>
    <col min="1291" max="1291" width="10.265625" customWidth="1"/>
    <col min="1292" max="1292" width="13.86328125" customWidth="1"/>
    <col min="1293" max="1293" width="10.3984375" customWidth="1"/>
    <col min="1294" max="1294" width="10.86328125" customWidth="1"/>
    <col min="1295" max="1295" width="13.86328125" customWidth="1"/>
    <col min="1296" max="1296" width="10.59765625" customWidth="1"/>
    <col min="1297" max="1297" width="9.3984375" customWidth="1"/>
    <col min="1298" max="1298" width="6.73046875" customWidth="1"/>
    <col min="1299" max="1299" width="9.1328125" customWidth="1"/>
    <col min="1300" max="1307" width="11.265625" customWidth="1"/>
    <col min="1308" max="1323" width="0" hidden="1" customWidth="1"/>
    <col min="1324" max="1324" width="12.73046875" customWidth="1"/>
    <col min="1325" max="1325" width="9.1328125" customWidth="1"/>
    <col min="1326" max="1326" width="8.265625" customWidth="1"/>
    <col min="1327" max="1327" width="8.73046875" customWidth="1"/>
    <col min="1328" max="1328" width="10.59765625" customWidth="1"/>
    <col min="1329" max="1331" width="8.73046875" customWidth="1"/>
    <col min="1332" max="1352" width="0" hidden="1" customWidth="1"/>
    <col min="1353" max="1357" width="15.265625" customWidth="1"/>
    <col min="1534" max="1534" width="6" customWidth="1"/>
    <col min="1535" max="1535" width="29.86328125" customWidth="1"/>
    <col min="1536" max="1536" width="11.3984375" customWidth="1"/>
    <col min="1537" max="1537" width="13.73046875" customWidth="1"/>
    <col min="1538" max="1538" width="11.265625" customWidth="1"/>
    <col min="1539" max="1539" width="10.3984375" customWidth="1"/>
    <col min="1540" max="1540" width="9.265625" customWidth="1"/>
    <col min="1541" max="1541" width="9.59765625" customWidth="1"/>
    <col min="1542" max="1542" width="17.1328125" bestFit="1" customWidth="1"/>
    <col min="1543" max="1543" width="14.86328125" customWidth="1"/>
    <col min="1544" max="1544" width="9.59765625" bestFit="1" customWidth="1"/>
    <col min="1545" max="1545" width="10.59765625" customWidth="1"/>
    <col min="1546" max="1546" width="11.73046875" customWidth="1"/>
    <col min="1547" max="1547" width="10.265625" customWidth="1"/>
    <col min="1548" max="1548" width="13.86328125" customWidth="1"/>
    <col min="1549" max="1549" width="10.3984375" customWidth="1"/>
    <col min="1550" max="1550" width="10.86328125" customWidth="1"/>
    <col min="1551" max="1551" width="13.86328125" customWidth="1"/>
    <col min="1552" max="1552" width="10.59765625" customWidth="1"/>
    <col min="1553" max="1553" width="9.3984375" customWidth="1"/>
    <col min="1554" max="1554" width="6.73046875" customWidth="1"/>
    <col min="1555" max="1555" width="9.1328125" customWidth="1"/>
    <col min="1556" max="1563" width="11.265625" customWidth="1"/>
    <col min="1564" max="1579" width="0" hidden="1" customWidth="1"/>
    <col min="1580" max="1580" width="12.73046875" customWidth="1"/>
    <col min="1581" max="1581" width="9.1328125" customWidth="1"/>
    <col min="1582" max="1582" width="8.265625" customWidth="1"/>
    <col min="1583" max="1583" width="8.73046875" customWidth="1"/>
    <col min="1584" max="1584" width="10.59765625" customWidth="1"/>
    <col min="1585" max="1587" width="8.73046875" customWidth="1"/>
    <col min="1588" max="1608" width="0" hidden="1" customWidth="1"/>
    <col min="1609" max="1613" width="15.265625" customWidth="1"/>
    <col min="1790" max="1790" width="6" customWidth="1"/>
    <col min="1791" max="1791" width="29.86328125" customWidth="1"/>
    <col min="1792" max="1792" width="11.3984375" customWidth="1"/>
    <col min="1793" max="1793" width="13.73046875" customWidth="1"/>
    <col min="1794" max="1794" width="11.265625" customWidth="1"/>
    <col min="1795" max="1795" width="10.3984375" customWidth="1"/>
    <col min="1796" max="1796" width="9.265625" customWidth="1"/>
    <col min="1797" max="1797" width="9.59765625" customWidth="1"/>
    <col min="1798" max="1798" width="17.1328125" bestFit="1" customWidth="1"/>
    <col min="1799" max="1799" width="14.86328125" customWidth="1"/>
    <col min="1800" max="1800" width="9.59765625" bestFit="1" customWidth="1"/>
    <col min="1801" max="1801" width="10.59765625" customWidth="1"/>
    <col min="1802" max="1802" width="11.73046875" customWidth="1"/>
    <col min="1803" max="1803" width="10.265625" customWidth="1"/>
    <col min="1804" max="1804" width="13.86328125" customWidth="1"/>
    <col min="1805" max="1805" width="10.3984375" customWidth="1"/>
    <col min="1806" max="1806" width="10.86328125" customWidth="1"/>
    <col min="1807" max="1807" width="13.86328125" customWidth="1"/>
    <col min="1808" max="1808" width="10.59765625" customWidth="1"/>
    <col min="1809" max="1809" width="9.3984375" customWidth="1"/>
    <col min="1810" max="1810" width="6.73046875" customWidth="1"/>
    <col min="1811" max="1811" width="9.1328125" customWidth="1"/>
    <col min="1812" max="1819" width="11.265625" customWidth="1"/>
    <col min="1820" max="1835" width="0" hidden="1" customWidth="1"/>
    <col min="1836" max="1836" width="12.73046875" customWidth="1"/>
    <col min="1837" max="1837" width="9.1328125" customWidth="1"/>
    <col min="1838" max="1838" width="8.265625" customWidth="1"/>
    <col min="1839" max="1839" width="8.73046875" customWidth="1"/>
    <col min="1840" max="1840" width="10.59765625" customWidth="1"/>
    <col min="1841" max="1843" width="8.73046875" customWidth="1"/>
    <col min="1844" max="1864" width="0" hidden="1" customWidth="1"/>
    <col min="1865" max="1869" width="15.265625" customWidth="1"/>
    <col min="2046" max="2046" width="6" customWidth="1"/>
    <col min="2047" max="2047" width="29.86328125" customWidth="1"/>
    <col min="2048" max="2048" width="11.3984375" customWidth="1"/>
    <col min="2049" max="2049" width="13.73046875" customWidth="1"/>
    <col min="2050" max="2050" width="11.265625" customWidth="1"/>
    <col min="2051" max="2051" width="10.3984375" customWidth="1"/>
    <col min="2052" max="2052" width="9.265625" customWidth="1"/>
    <col min="2053" max="2053" width="9.59765625" customWidth="1"/>
    <col min="2054" max="2054" width="17.1328125" bestFit="1" customWidth="1"/>
    <col min="2055" max="2055" width="14.86328125" customWidth="1"/>
    <col min="2056" max="2056" width="9.59765625" bestFit="1" customWidth="1"/>
    <col min="2057" max="2057" width="10.59765625" customWidth="1"/>
    <col min="2058" max="2058" width="11.73046875" customWidth="1"/>
    <col min="2059" max="2059" width="10.265625" customWidth="1"/>
    <col min="2060" max="2060" width="13.86328125" customWidth="1"/>
    <col min="2061" max="2061" width="10.3984375" customWidth="1"/>
    <col min="2062" max="2062" width="10.86328125" customWidth="1"/>
    <col min="2063" max="2063" width="13.86328125" customWidth="1"/>
    <col min="2064" max="2064" width="10.59765625" customWidth="1"/>
    <col min="2065" max="2065" width="9.3984375" customWidth="1"/>
    <col min="2066" max="2066" width="6.73046875" customWidth="1"/>
    <col min="2067" max="2067" width="9.1328125" customWidth="1"/>
    <col min="2068" max="2075" width="11.265625" customWidth="1"/>
    <col min="2076" max="2091" width="0" hidden="1" customWidth="1"/>
    <col min="2092" max="2092" width="12.73046875" customWidth="1"/>
    <col min="2093" max="2093" width="9.1328125" customWidth="1"/>
    <col min="2094" max="2094" width="8.265625" customWidth="1"/>
    <col min="2095" max="2095" width="8.73046875" customWidth="1"/>
    <col min="2096" max="2096" width="10.59765625" customWidth="1"/>
    <col min="2097" max="2099" width="8.73046875" customWidth="1"/>
    <col min="2100" max="2120" width="0" hidden="1" customWidth="1"/>
    <col min="2121" max="2125" width="15.265625" customWidth="1"/>
    <col min="2302" max="2302" width="6" customWidth="1"/>
    <col min="2303" max="2303" width="29.86328125" customWidth="1"/>
    <col min="2304" max="2304" width="11.3984375" customWidth="1"/>
    <col min="2305" max="2305" width="13.73046875" customWidth="1"/>
    <col min="2306" max="2306" width="11.265625" customWidth="1"/>
    <col min="2307" max="2307" width="10.3984375" customWidth="1"/>
    <col min="2308" max="2308" width="9.265625" customWidth="1"/>
    <col min="2309" max="2309" width="9.59765625" customWidth="1"/>
    <col min="2310" max="2310" width="17.1328125" bestFit="1" customWidth="1"/>
    <col min="2311" max="2311" width="14.86328125" customWidth="1"/>
    <col min="2312" max="2312" width="9.59765625" bestFit="1" customWidth="1"/>
    <col min="2313" max="2313" width="10.59765625" customWidth="1"/>
    <col min="2314" max="2314" width="11.73046875" customWidth="1"/>
    <col min="2315" max="2315" width="10.265625" customWidth="1"/>
    <col min="2316" max="2316" width="13.86328125" customWidth="1"/>
    <col min="2317" max="2317" width="10.3984375" customWidth="1"/>
    <col min="2318" max="2318" width="10.86328125" customWidth="1"/>
    <col min="2319" max="2319" width="13.86328125" customWidth="1"/>
    <col min="2320" max="2320" width="10.59765625" customWidth="1"/>
    <col min="2321" max="2321" width="9.3984375" customWidth="1"/>
    <col min="2322" max="2322" width="6.73046875" customWidth="1"/>
    <col min="2323" max="2323" width="9.1328125" customWidth="1"/>
    <col min="2324" max="2331" width="11.265625" customWidth="1"/>
    <col min="2332" max="2347" width="0" hidden="1" customWidth="1"/>
    <col min="2348" max="2348" width="12.73046875" customWidth="1"/>
    <col min="2349" max="2349" width="9.1328125" customWidth="1"/>
    <col min="2350" max="2350" width="8.265625" customWidth="1"/>
    <col min="2351" max="2351" width="8.73046875" customWidth="1"/>
    <col min="2352" max="2352" width="10.59765625" customWidth="1"/>
    <col min="2353" max="2355" width="8.73046875" customWidth="1"/>
    <col min="2356" max="2376" width="0" hidden="1" customWidth="1"/>
    <col min="2377" max="2381" width="15.265625" customWidth="1"/>
    <col min="2558" max="2558" width="6" customWidth="1"/>
    <col min="2559" max="2559" width="29.86328125" customWidth="1"/>
    <col min="2560" max="2560" width="11.3984375" customWidth="1"/>
    <col min="2561" max="2561" width="13.73046875" customWidth="1"/>
    <col min="2562" max="2562" width="11.265625" customWidth="1"/>
    <col min="2563" max="2563" width="10.3984375" customWidth="1"/>
    <col min="2564" max="2564" width="9.265625" customWidth="1"/>
    <col min="2565" max="2565" width="9.59765625" customWidth="1"/>
    <col min="2566" max="2566" width="17.1328125" bestFit="1" customWidth="1"/>
    <col min="2567" max="2567" width="14.86328125" customWidth="1"/>
    <col min="2568" max="2568" width="9.59765625" bestFit="1" customWidth="1"/>
    <col min="2569" max="2569" width="10.59765625" customWidth="1"/>
    <col min="2570" max="2570" width="11.73046875" customWidth="1"/>
    <col min="2571" max="2571" width="10.265625" customWidth="1"/>
    <col min="2572" max="2572" width="13.86328125" customWidth="1"/>
    <col min="2573" max="2573" width="10.3984375" customWidth="1"/>
    <col min="2574" max="2574" width="10.86328125" customWidth="1"/>
    <col min="2575" max="2575" width="13.86328125" customWidth="1"/>
    <col min="2576" max="2576" width="10.59765625" customWidth="1"/>
    <col min="2577" max="2577" width="9.3984375" customWidth="1"/>
    <col min="2578" max="2578" width="6.73046875" customWidth="1"/>
    <col min="2579" max="2579" width="9.1328125" customWidth="1"/>
    <col min="2580" max="2587" width="11.265625" customWidth="1"/>
    <col min="2588" max="2603" width="0" hidden="1" customWidth="1"/>
    <col min="2604" max="2604" width="12.73046875" customWidth="1"/>
    <col min="2605" max="2605" width="9.1328125" customWidth="1"/>
    <col min="2606" max="2606" width="8.265625" customWidth="1"/>
    <col min="2607" max="2607" width="8.73046875" customWidth="1"/>
    <col min="2608" max="2608" width="10.59765625" customWidth="1"/>
    <col min="2609" max="2611" width="8.73046875" customWidth="1"/>
    <col min="2612" max="2632" width="0" hidden="1" customWidth="1"/>
    <col min="2633" max="2637" width="15.265625" customWidth="1"/>
    <col min="2814" max="2814" width="6" customWidth="1"/>
    <col min="2815" max="2815" width="29.86328125" customWidth="1"/>
    <col min="2816" max="2816" width="11.3984375" customWidth="1"/>
    <col min="2817" max="2817" width="13.73046875" customWidth="1"/>
    <col min="2818" max="2818" width="11.265625" customWidth="1"/>
    <col min="2819" max="2819" width="10.3984375" customWidth="1"/>
    <col min="2820" max="2820" width="9.265625" customWidth="1"/>
    <col min="2821" max="2821" width="9.59765625" customWidth="1"/>
    <col min="2822" max="2822" width="17.1328125" bestFit="1" customWidth="1"/>
    <col min="2823" max="2823" width="14.86328125" customWidth="1"/>
    <col min="2824" max="2824" width="9.59765625" bestFit="1" customWidth="1"/>
    <col min="2825" max="2825" width="10.59765625" customWidth="1"/>
    <col min="2826" max="2826" width="11.73046875" customWidth="1"/>
    <col min="2827" max="2827" width="10.265625" customWidth="1"/>
    <col min="2828" max="2828" width="13.86328125" customWidth="1"/>
    <col min="2829" max="2829" width="10.3984375" customWidth="1"/>
    <col min="2830" max="2830" width="10.86328125" customWidth="1"/>
    <col min="2831" max="2831" width="13.86328125" customWidth="1"/>
    <col min="2832" max="2832" width="10.59765625" customWidth="1"/>
    <col min="2833" max="2833" width="9.3984375" customWidth="1"/>
    <col min="2834" max="2834" width="6.73046875" customWidth="1"/>
    <col min="2835" max="2835" width="9.1328125" customWidth="1"/>
    <col min="2836" max="2843" width="11.265625" customWidth="1"/>
    <col min="2844" max="2859" width="0" hidden="1" customWidth="1"/>
    <col min="2860" max="2860" width="12.73046875" customWidth="1"/>
    <col min="2861" max="2861" width="9.1328125" customWidth="1"/>
    <col min="2862" max="2862" width="8.265625" customWidth="1"/>
    <col min="2863" max="2863" width="8.73046875" customWidth="1"/>
    <col min="2864" max="2864" width="10.59765625" customWidth="1"/>
    <col min="2865" max="2867" width="8.73046875" customWidth="1"/>
    <col min="2868" max="2888" width="0" hidden="1" customWidth="1"/>
    <col min="2889" max="2893" width="15.265625" customWidth="1"/>
    <col min="3070" max="3070" width="6" customWidth="1"/>
    <col min="3071" max="3071" width="29.86328125" customWidth="1"/>
    <col min="3072" max="3072" width="11.3984375" customWidth="1"/>
    <col min="3073" max="3073" width="13.73046875" customWidth="1"/>
    <col min="3074" max="3074" width="11.265625" customWidth="1"/>
    <col min="3075" max="3075" width="10.3984375" customWidth="1"/>
    <col min="3076" max="3076" width="9.265625" customWidth="1"/>
    <col min="3077" max="3077" width="9.59765625" customWidth="1"/>
    <col min="3078" max="3078" width="17.1328125" bestFit="1" customWidth="1"/>
    <col min="3079" max="3079" width="14.86328125" customWidth="1"/>
    <col min="3080" max="3080" width="9.59765625" bestFit="1" customWidth="1"/>
    <col min="3081" max="3081" width="10.59765625" customWidth="1"/>
    <col min="3082" max="3082" width="11.73046875" customWidth="1"/>
    <col min="3083" max="3083" width="10.265625" customWidth="1"/>
    <col min="3084" max="3084" width="13.86328125" customWidth="1"/>
    <col min="3085" max="3085" width="10.3984375" customWidth="1"/>
    <col min="3086" max="3086" width="10.86328125" customWidth="1"/>
    <col min="3087" max="3087" width="13.86328125" customWidth="1"/>
    <col min="3088" max="3088" width="10.59765625" customWidth="1"/>
    <col min="3089" max="3089" width="9.3984375" customWidth="1"/>
    <col min="3090" max="3090" width="6.73046875" customWidth="1"/>
    <col min="3091" max="3091" width="9.1328125" customWidth="1"/>
    <col min="3092" max="3099" width="11.265625" customWidth="1"/>
    <col min="3100" max="3115" width="0" hidden="1" customWidth="1"/>
    <col min="3116" max="3116" width="12.73046875" customWidth="1"/>
    <col min="3117" max="3117" width="9.1328125" customWidth="1"/>
    <col min="3118" max="3118" width="8.265625" customWidth="1"/>
    <col min="3119" max="3119" width="8.73046875" customWidth="1"/>
    <col min="3120" max="3120" width="10.59765625" customWidth="1"/>
    <col min="3121" max="3123" width="8.73046875" customWidth="1"/>
    <col min="3124" max="3144" width="0" hidden="1" customWidth="1"/>
    <col min="3145" max="3149" width="15.265625" customWidth="1"/>
    <col min="3326" max="3326" width="6" customWidth="1"/>
    <col min="3327" max="3327" width="29.86328125" customWidth="1"/>
    <col min="3328" max="3328" width="11.3984375" customWidth="1"/>
    <col min="3329" max="3329" width="13.73046875" customWidth="1"/>
    <col min="3330" max="3330" width="11.265625" customWidth="1"/>
    <col min="3331" max="3331" width="10.3984375" customWidth="1"/>
    <col min="3332" max="3332" width="9.265625" customWidth="1"/>
    <col min="3333" max="3333" width="9.59765625" customWidth="1"/>
    <col min="3334" max="3334" width="17.1328125" bestFit="1" customWidth="1"/>
    <col min="3335" max="3335" width="14.86328125" customWidth="1"/>
    <col min="3336" max="3336" width="9.59765625" bestFit="1" customWidth="1"/>
    <col min="3337" max="3337" width="10.59765625" customWidth="1"/>
    <col min="3338" max="3338" width="11.73046875" customWidth="1"/>
    <col min="3339" max="3339" width="10.265625" customWidth="1"/>
    <col min="3340" max="3340" width="13.86328125" customWidth="1"/>
    <col min="3341" max="3341" width="10.3984375" customWidth="1"/>
    <col min="3342" max="3342" width="10.86328125" customWidth="1"/>
    <col min="3343" max="3343" width="13.86328125" customWidth="1"/>
    <col min="3344" max="3344" width="10.59765625" customWidth="1"/>
    <col min="3345" max="3345" width="9.3984375" customWidth="1"/>
    <col min="3346" max="3346" width="6.73046875" customWidth="1"/>
    <col min="3347" max="3347" width="9.1328125" customWidth="1"/>
    <col min="3348" max="3355" width="11.265625" customWidth="1"/>
    <col min="3356" max="3371" width="0" hidden="1" customWidth="1"/>
    <col min="3372" max="3372" width="12.73046875" customWidth="1"/>
    <col min="3373" max="3373" width="9.1328125" customWidth="1"/>
    <col min="3374" max="3374" width="8.265625" customWidth="1"/>
    <col min="3375" max="3375" width="8.73046875" customWidth="1"/>
    <col min="3376" max="3376" width="10.59765625" customWidth="1"/>
    <col min="3377" max="3379" width="8.73046875" customWidth="1"/>
    <col min="3380" max="3400" width="0" hidden="1" customWidth="1"/>
    <col min="3401" max="3405" width="15.265625" customWidth="1"/>
    <col min="3582" max="3582" width="6" customWidth="1"/>
    <col min="3583" max="3583" width="29.86328125" customWidth="1"/>
    <col min="3584" max="3584" width="11.3984375" customWidth="1"/>
    <col min="3585" max="3585" width="13.73046875" customWidth="1"/>
    <col min="3586" max="3586" width="11.265625" customWidth="1"/>
    <col min="3587" max="3587" width="10.3984375" customWidth="1"/>
    <col min="3588" max="3588" width="9.265625" customWidth="1"/>
    <col min="3589" max="3589" width="9.59765625" customWidth="1"/>
    <col min="3590" max="3590" width="17.1328125" bestFit="1" customWidth="1"/>
    <col min="3591" max="3591" width="14.86328125" customWidth="1"/>
    <col min="3592" max="3592" width="9.59765625" bestFit="1" customWidth="1"/>
    <col min="3593" max="3593" width="10.59765625" customWidth="1"/>
    <col min="3594" max="3594" width="11.73046875" customWidth="1"/>
    <col min="3595" max="3595" width="10.265625" customWidth="1"/>
    <col min="3596" max="3596" width="13.86328125" customWidth="1"/>
    <col min="3597" max="3597" width="10.3984375" customWidth="1"/>
    <col min="3598" max="3598" width="10.86328125" customWidth="1"/>
    <col min="3599" max="3599" width="13.86328125" customWidth="1"/>
    <col min="3600" max="3600" width="10.59765625" customWidth="1"/>
    <col min="3601" max="3601" width="9.3984375" customWidth="1"/>
    <col min="3602" max="3602" width="6.73046875" customWidth="1"/>
    <col min="3603" max="3603" width="9.1328125" customWidth="1"/>
    <col min="3604" max="3611" width="11.265625" customWidth="1"/>
    <col min="3612" max="3627" width="0" hidden="1" customWidth="1"/>
    <col min="3628" max="3628" width="12.73046875" customWidth="1"/>
    <col min="3629" max="3629" width="9.1328125" customWidth="1"/>
    <col min="3630" max="3630" width="8.265625" customWidth="1"/>
    <col min="3631" max="3631" width="8.73046875" customWidth="1"/>
    <col min="3632" max="3632" width="10.59765625" customWidth="1"/>
    <col min="3633" max="3635" width="8.73046875" customWidth="1"/>
    <col min="3636" max="3656" width="0" hidden="1" customWidth="1"/>
    <col min="3657" max="3661" width="15.265625" customWidth="1"/>
    <col min="3838" max="3838" width="6" customWidth="1"/>
    <col min="3839" max="3839" width="29.86328125" customWidth="1"/>
    <col min="3840" max="3840" width="11.3984375" customWidth="1"/>
    <col min="3841" max="3841" width="13.73046875" customWidth="1"/>
    <col min="3842" max="3842" width="11.265625" customWidth="1"/>
    <col min="3843" max="3843" width="10.3984375" customWidth="1"/>
    <col min="3844" max="3844" width="9.265625" customWidth="1"/>
    <col min="3845" max="3845" width="9.59765625" customWidth="1"/>
    <col min="3846" max="3846" width="17.1328125" bestFit="1" customWidth="1"/>
    <col min="3847" max="3847" width="14.86328125" customWidth="1"/>
    <col min="3848" max="3848" width="9.59765625" bestFit="1" customWidth="1"/>
    <col min="3849" max="3849" width="10.59765625" customWidth="1"/>
    <col min="3850" max="3850" width="11.73046875" customWidth="1"/>
    <col min="3851" max="3851" width="10.265625" customWidth="1"/>
    <col min="3852" max="3852" width="13.86328125" customWidth="1"/>
    <col min="3853" max="3853" width="10.3984375" customWidth="1"/>
    <col min="3854" max="3854" width="10.86328125" customWidth="1"/>
    <col min="3855" max="3855" width="13.86328125" customWidth="1"/>
    <col min="3856" max="3856" width="10.59765625" customWidth="1"/>
    <col min="3857" max="3857" width="9.3984375" customWidth="1"/>
    <col min="3858" max="3858" width="6.73046875" customWidth="1"/>
    <col min="3859" max="3859" width="9.1328125" customWidth="1"/>
    <col min="3860" max="3867" width="11.265625" customWidth="1"/>
    <col min="3868" max="3883" width="0" hidden="1" customWidth="1"/>
    <col min="3884" max="3884" width="12.73046875" customWidth="1"/>
    <col min="3885" max="3885" width="9.1328125" customWidth="1"/>
    <col min="3886" max="3886" width="8.265625" customWidth="1"/>
    <col min="3887" max="3887" width="8.73046875" customWidth="1"/>
    <col min="3888" max="3888" width="10.59765625" customWidth="1"/>
    <col min="3889" max="3891" width="8.73046875" customWidth="1"/>
    <col min="3892" max="3912" width="0" hidden="1" customWidth="1"/>
    <col min="3913" max="3917" width="15.265625" customWidth="1"/>
    <col min="4094" max="4094" width="6" customWidth="1"/>
    <col min="4095" max="4095" width="29.86328125" customWidth="1"/>
    <col min="4096" max="4096" width="11.3984375" customWidth="1"/>
    <col min="4097" max="4097" width="13.73046875" customWidth="1"/>
    <col min="4098" max="4098" width="11.265625" customWidth="1"/>
    <col min="4099" max="4099" width="10.3984375" customWidth="1"/>
    <col min="4100" max="4100" width="9.265625" customWidth="1"/>
    <col min="4101" max="4101" width="9.59765625" customWidth="1"/>
    <col min="4102" max="4102" width="17.1328125" bestFit="1" customWidth="1"/>
    <col min="4103" max="4103" width="14.86328125" customWidth="1"/>
    <col min="4104" max="4104" width="9.59765625" bestFit="1" customWidth="1"/>
    <col min="4105" max="4105" width="10.59765625" customWidth="1"/>
    <col min="4106" max="4106" width="11.73046875" customWidth="1"/>
    <col min="4107" max="4107" width="10.265625" customWidth="1"/>
    <col min="4108" max="4108" width="13.86328125" customWidth="1"/>
    <col min="4109" max="4109" width="10.3984375" customWidth="1"/>
    <col min="4110" max="4110" width="10.86328125" customWidth="1"/>
    <col min="4111" max="4111" width="13.86328125" customWidth="1"/>
    <col min="4112" max="4112" width="10.59765625" customWidth="1"/>
    <col min="4113" max="4113" width="9.3984375" customWidth="1"/>
    <col min="4114" max="4114" width="6.73046875" customWidth="1"/>
    <col min="4115" max="4115" width="9.1328125" customWidth="1"/>
    <col min="4116" max="4123" width="11.265625" customWidth="1"/>
    <col min="4124" max="4139" width="0" hidden="1" customWidth="1"/>
    <col min="4140" max="4140" width="12.73046875" customWidth="1"/>
    <col min="4141" max="4141" width="9.1328125" customWidth="1"/>
    <col min="4142" max="4142" width="8.265625" customWidth="1"/>
    <col min="4143" max="4143" width="8.73046875" customWidth="1"/>
    <col min="4144" max="4144" width="10.59765625" customWidth="1"/>
    <col min="4145" max="4147" width="8.73046875" customWidth="1"/>
    <col min="4148" max="4168" width="0" hidden="1" customWidth="1"/>
    <col min="4169" max="4173" width="15.265625" customWidth="1"/>
    <col min="4350" max="4350" width="6" customWidth="1"/>
    <col min="4351" max="4351" width="29.86328125" customWidth="1"/>
    <col min="4352" max="4352" width="11.3984375" customWidth="1"/>
    <col min="4353" max="4353" width="13.73046875" customWidth="1"/>
    <col min="4354" max="4354" width="11.265625" customWidth="1"/>
    <col min="4355" max="4355" width="10.3984375" customWidth="1"/>
    <col min="4356" max="4356" width="9.265625" customWidth="1"/>
    <col min="4357" max="4357" width="9.59765625" customWidth="1"/>
    <col min="4358" max="4358" width="17.1328125" bestFit="1" customWidth="1"/>
    <col min="4359" max="4359" width="14.86328125" customWidth="1"/>
    <col min="4360" max="4360" width="9.59765625" bestFit="1" customWidth="1"/>
    <col min="4361" max="4361" width="10.59765625" customWidth="1"/>
    <col min="4362" max="4362" width="11.73046875" customWidth="1"/>
    <col min="4363" max="4363" width="10.265625" customWidth="1"/>
    <col min="4364" max="4364" width="13.86328125" customWidth="1"/>
    <col min="4365" max="4365" width="10.3984375" customWidth="1"/>
    <col min="4366" max="4366" width="10.86328125" customWidth="1"/>
    <col min="4367" max="4367" width="13.86328125" customWidth="1"/>
    <col min="4368" max="4368" width="10.59765625" customWidth="1"/>
    <col min="4369" max="4369" width="9.3984375" customWidth="1"/>
    <col min="4370" max="4370" width="6.73046875" customWidth="1"/>
    <col min="4371" max="4371" width="9.1328125" customWidth="1"/>
    <col min="4372" max="4379" width="11.265625" customWidth="1"/>
    <col min="4380" max="4395" width="0" hidden="1" customWidth="1"/>
    <col min="4396" max="4396" width="12.73046875" customWidth="1"/>
    <col min="4397" max="4397" width="9.1328125" customWidth="1"/>
    <col min="4398" max="4398" width="8.265625" customWidth="1"/>
    <col min="4399" max="4399" width="8.73046875" customWidth="1"/>
    <col min="4400" max="4400" width="10.59765625" customWidth="1"/>
    <col min="4401" max="4403" width="8.73046875" customWidth="1"/>
    <col min="4404" max="4424" width="0" hidden="1" customWidth="1"/>
    <col min="4425" max="4429" width="15.265625" customWidth="1"/>
    <col min="4606" max="4606" width="6" customWidth="1"/>
    <col min="4607" max="4607" width="29.86328125" customWidth="1"/>
    <col min="4608" max="4608" width="11.3984375" customWidth="1"/>
    <col min="4609" max="4609" width="13.73046875" customWidth="1"/>
    <col min="4610" max="4610" width="11.265625" customWidth="1"/>
    <col min="4611" max="4611" width="10.3984375" customWidth="1"/>
    <col min="4612" max="4612" width="9.265625" customWidth="1"/>
    <col min="4613" max="4613" width="9.59765625" customWidth="1"/>
    <col min="4614" max="4614" width="17.1328125" bestFit="1" customWidth="1"/>
    <col min="4615" max="4615" width="14.86328125" customWidth="1"/>
    <col min="4616" max="4616" width="9.59765625" bestFit="1" customWidth="1"/>
    <col min="4617" max="4617" width="10.59765625" customWidth="1"/>
    <col min="4618" max="4618" width="11.73046875" customWidth="1"/>
    <col min="4619" max="4619" width="10.265625" customWidth="1"/>
    <col min="4620" max="4620" width="13.86328125" customWidth="1"/>
    <col min="4621" max="4621" width="10.3984375" customWidth="1"/>
    <col min="4622" max="4622" width="10.86328125" customWidth="1"/>
    <col min="4623" max="4623" width="13.86328125" customWidth="1"/>
    <col min="4624" max="4624" width="10.59765625" customWidth="1"/>
    <col min="4625" max="4625" width="9.3984375" customWidth="1"/>
    <col min="4626" max="4626" width="6.73046875" customWidth="1"/>
    <col min="4627" max="4627" width="9.1328125" customWidth="1"/>
    <col min="4628" max="4635" width="11.265625" customWidth="1"/>
    <col min="4636" max="4651" width="0" hidden="1" customWidth="1"/>
    <col min="4652" max="4652" width="12.73046875" customWidth="1"/>
    <col min="4653" max="4653" width="9.1328125" customWidth="1"/>
    <col min="4654" max="4654" width="8.265625" customWidth="1"/>
    <col min="4655" max="4655" width="8.73046875" customWidth="1"/>
    <col min="4656" max="4656" width="10.59765625" customWidth="1"/>
    <col min="4657" max="4659" width="8.73046875" customWidth="1"/>
    <col min="4660" max="4680" width="0" hidden="1" customWidth="1"/>
    <col min="4681" max="4685" width="15.265625" customWidth="1"/>
    <col min="4862" max="4862" width="6" customWidth="1"/>
    <col min="4863" max="4863" width="29.86328125" customWidth="1"/>
    <col min="4864" max="4864" width="11.3984375" customWidth="1"/>
    <col min="4865" max="4865" width="13.73046875" customWidth="1"/>
    <col min="4866" max="4866" width="11.265625" customWidth="1"/>
    <col min="4867" max="4867" width="10.3984375" customWidth="1"/>
    <col min="4868" max="4868" width="9.265625" customWidth="1"/>
    <col min="4869" max="4869" width="9.59765625" customWidth="1"/>
    <col min="4870" max="4870" width="17.1328125" bestFit="1" customWidth="1"/>
    <col min="4871" max="4871" width="14.86328125" customWidth="1"/>
    <col min="4872" max="4872" width="9.59765625" bestFit="1" customWidth="1"/>
    <col min="4873" max="4873" width="10.59765625" customWidth="1"/>
    <col min="4874" max="4874" width="11.73046875" customWidth="1"/>
    <col min="4875" max="4875" width="10.265625" customWidth="1"/>
    <col min="4876" max="4876" width="13.86328125" customWidth="1"/>
    <col min="4877" max="4877" width="10.3984375" customWidth="1"/>
    <col min="4878" max="4878" width="10.86328125" customWidth="1"/>
    <col min="4879" max="4879" width="13.86328125" customWidth="1"/>
    <col min="4880" max="4880" width="10.59765625" customWidth="1"/>
    <col min="4881" max="4881" width="9.3984375" customWidth="1"/>
    <col min="4882" max="4882" width="6.73046875" customWidth="1"/>
    <col min="4883" max="4883" width="9.1328125" customWidth="1"/>
    <col min="4884" max="4891" width="11.265625" customWidth="1"/>
    <col min="4892" max="4907" width="0" hidden="1" customWidth="1"/>
    <col min="4908" max="4908" width="12.73046875" customWidth="1"/>
    <col min="4909" max="4909" width="9.1328125" customWidth="1"/>
    <col min="4910" max="4910" width="8.265625" customWidth="1"/>
    <col min="4911" max="4911" width="8.73046875" customWidth="1"/>
    <col min="4912" max="4912" width="10.59765625" customWidth="1"/>
    <col min="4913" max="4915" width="8.73046875" customWidth="1"/>
    <col min="4916" max="4936" width="0" hidden="1" customWidth="1"/>
    <col min="4937" max="4941" width="15.265625" customWidth="1"/>
    <col min="5118" max="5118" width="6" customWidth="1"/>
    <col min="5119" max="5119" width="29.86328125" customWidth="1"/>
    <col min="5120" max="5120" width="11.3984375" customWidth="1"/>
    <col min="5121" max="5121" width="13.73046875" customWidth="1"/>
    <col min="5122" max="5122" width="11.265625" customWidth="1"/>
    <col min="5123" max="5123" width="10.3984375" customWidth="1"/>
    <col min="5124" max="5124" width="9.265625" customWidth="1"/>
    <col min="5125" max="5125" width="9.59765625" customWidth="1"/>
    <col min="5126" max="5126" width="17.1328125" bestFit="1" customWidth="1"/>
    <col min="5127" max="5127" width="14.86328125" customWidth="1"/>
    <col min="5128" max="5128" width="9.59765625" bestFit="1" customWidth="1"/>
    <col min="5129" max="5129" width="10.59765625" customWidth="1"/>
    <col min="5130" max="5130" width="11.73046875" customWidth="1"/>
    <col min="5131" max="5131" width="10.265625" customWidth="1"/>
    <col min="5132" max="5132" width="13.86328125" customWidth="1"/>
    <col min="5133" max="5133" width="10.3984375" customWidth="1"/>
    <col min="5134" max="5134" width="10.86328125" customWidth="1"/>
    <col min="5135" max="5135" width="13.86328125" customWidth="1"/>
    <col min="5136" max="5136" width="10.59765625" customWidth="1"/>
    <col min="5137" max="5137" width="9.3984375" customWidth="1"/>
    <col min="5138" max="5138" width="6.73046875" customWidth="1"/>
    <col min="5139" max="5139" width="9.1328125" customWidth="1"/>
    <col min="5140" max="5147" width="11.265625" customWidth="1"/>
    <col min="5148" max="5163" width="0" hidden="1" customWidth="1"/>
    <col min="5164" max="5164" width="12.73046875" customWidth="1"/>
    <col min="5165" max="5165" width="9.1328125" customWidth="1"/>
    <col min="5166" max="5166" width="8.265625" customWidth="1"/>
    <col min="5167" max="5167" width="8.73046875" customWidth="1"/>
    <col min="5168" max="5168" width="10.59765625" customWidth="1"/>
    <col min="5169" max="5171" width="8.73046875" customWidth="1"/>
    <col min="5172" max="5192" width="0" hidden="1" customWidth="1"/>
    <col min="5193" max="5197" width="15.265625" customWidth="1"/>
    <col min="5374" max="5374" width="6" customWidth="1"/>
    <col min="5375" max="5375" width="29.86328125" customWidth="1"/>
    <col min="5376" max="5376" width="11.3984375" customWidth="1"/>
    <col min="5377" max="5377" width="13.73046875" customWidth="1"/>
    <col min="5378" max="5378" width="11.265625" customWidth="1"/>
    <col min="5379" max="5379" width="10.3984375" customWidth="1"/>
    <col min="5380" max="5380" width="9.265625" customWidth="1"/>
    <col min="5381" max="5381" width="9.59765625" customWidth="1"/>
    <col min="5382" max="5382" width="17.1328125" bestFit="1" customWidth="1"/>
    <col min="5383" max="5383" width="14.86328125" customWidth="1"/>
    <col min="5384" max="5384" width="9.59765625" bestFit="1" customWidth="1"/>
    <col min="5385" max="5385" width="10.59765625" customWidth="1"/>
    <col min="5386" max="5386" width="11.73046875" customWidth="1"/>
    <col min="5387" max="5387" width="10.265625" customWidth="1"/>
    <col min="5388" max="5388" width="13.86328125" customWidth="1"/>
    <col min="5389" max="5389" width="10.3984375" customWidth="1"/>
    <col min="5390" max="5390" width="10.86328125" customWidth="1"/>
    <col min="5391" max="5391" width="13.86328125" customWidth="1"/>
    <col min="5392" max="5392" width="10.59765625" customWidth="1"/>
    <col min="5393" max="5393" width="9.3984375" customWidth="1"/>
    <col min="5394" max="5394" width="6.73046875" customWidth="1"/>
    <col min="5395" max="5395" width="9.1328125" customWidth="1"/>
    <col min="5396" max="5403" width="11.265625" customWidth="1"/>
    <col min="5404" max="5419" width="0" hidden="1" customWidth="1"/>
    <col min="5420" max="5420" width="12.73046875" customWidth="1"/>
    <col min="5421" max="5421" width="9.1328125" customWidth="1"/>
    <col min="5422" max="5422" width="8.265625" customWidth="1"/>
    <col min="5423" max="5423" width="8.73046875" customWidth="1"/>
    <col min="5424" max="5424" width="10.59765625" customWidth="1"/>
    <col min="5425" max="5427" width="8.73046875" customWidth="1"/>
    <col min="5428" max="5448" width="0" hidden="1" customWidth="1"/>
    <col min="5449" max="5453" width="15.265625" customWidth="1"/>
    <col min="5630" max="5630" width="6" customWidth="1"/>
    <col min="5631" max="5631" width="29.86328125" customWidth="1"/>
    <col min="5632" max="5632" width="11.3984375" customWidth="1"/>
    <col min="5633" max="5633" width="13.73046875" customWidth="1"/>
    <col min="5634" max="5634" width="11.265625" customWidth="1"/>
    <col min="5635" max="5635" width="10.3984375" customWidth="1"/>
    <col min="5636" max="5636" width="9.265625" customWidth="1"/>
    <col min="5637" max="5637" width="9.59765625" customWidth="1"/>
    <col min="5638" max="5638" width="17.1328125" bestFit="1" customWidth="1"/>
    <col min="5639" max="5639" width="14.86328125" customWidth="1"/>
    <col min="5640" max="5640" width="9.59765625" bestFit="1" customWidth="1"/>
    <col min="5641" max="5641" width="10.59765625" customWidth="1"/>
    <col min="5642" max="5642" width="11.73046875" customWidth="1"/>
    <col min="5643" max="5643" width="10.265625" customWidth="1"/>
    <col min="5644" max="5644" width="13.86328125" customWidth="1"/>
    <col min="5645" max="5645" width="10.3984375" customWidth="1"/>
    <col min="5646" max="5646" width="10.86328125" customWidth="1"/>
    <col min="5647" max="5647" width="13.86328125" customWidth="1"/>
    <col min="5648" max="5648" width="10.59765625" customWidth="1"/>
    <col min="5649" max="5649" width="9.3984375" customWidth="1"/>
    <col min="5650" max="5650" width="6.73046875" customWidth="1"/>
    <col min="5651" max="5651" width="9.1328125" customWidth="1"/>
    <col min="5652" max="5659" width="11.265625" customWidth="1"/>
    <col min="5660" max="5675" width="0" hidden="1" customWidth="1"/>
    <col min="5676" max="5676" width="12.73046875" customWidth="1"/>
    <col min="5677" max="5677" width="9.1328125" customWidth="1"/>
    <col min="5678" max="5678" width="8.265625" customWidth="1"/>
    <col min="5679" max="5679" width="8.73046875" customWidth="1"/>
    <col min="5680" max="5680" width="10.59765625" customWidth="1"/>
    <col min="5681" max="5683" width="8.73046875" customWidth="1"/>
    <col min="5684" max="5704" width="0" hidden="1" customWidth="1"/>
    <col min="5705" max="5709" width="15.265625" customWidth="1"/>
    <col min="5886" max="5886" width="6" customWidth="1"/>
    <col min="5887" max="5887" width="29.86328125" customWidth="1"/>
    <col min="5888" max="5888" width="11.3984375" customWidth="1"/>
    <col min="5889" max="5889" width="13.73046875" customWidth="1"/>
    <col min="5890" max="5890" width="11.265625" customWidth="1"/>
    <col min="5891" max="5891" width="10.3984375" customWidth="1"/>
    <col min="5892" max="5892" width="9.265625" customWidth="1"/>
    <col min="5893" max="5893" width="9.59765625" customWidth="1"/>
    <col min="5894" max="5894" width="17.1328125" bestFit="1" customWidth="1"/>
    <col min="5895" max="5895" width="14.86328125" customWidth="1"/>
    <col min="5896" max="5896" width="9.59765625" bestFit="1" customWidth="1"/>
    <col min="5897" max="5897" width="10.59765625" customWidth="1"/>
    <col min="5898" max="5898" width="11.73046875" customWidth="1"/>
    <col min="5899" max="5899" width="10.265625" customWidth="1"/>
    <col min="5900" max="5900" width="13.86328125" customWidth="1"/>
    <col min="5901" max="5901" width="10.3984375" customWidth="1"/>
    <col min="5902" max="5902" width="10.86328125" customWidth="1"/>
    <col min="5903" max="5903" width="13.86328125" customWidth="1"/>
    <col min="5904" max="5904" width="10.59765625" customWidth="1"/>
    <col min="5905" max="5905" width="9.3984375" customWidth="1"/>
    <col min="5906" max="5906" width="6.73046875" customWidth="1"/>
    <col min="5907" max="5907" width="9.1328125" customWidth="1"/>
    <col min="5908" max="5915" width="11.265625" customWidth="1"/>
    <col min="5916" max="5931" width="0" hidden="1" customWidth="1"/>
    <col min="5932" max="5932" width="12.73046875" customWidth="1"/>
    <col min="5933" max="5933" width="9.1328125" customWidth="1"/>
    <col min="5934" max="5934" width="8.265625" customWidth="1"/>
    <col min="5935" max="5935" width="8.73046875" customWidth="1"/>
    <col min="5936" max="5936" width="10.59765625" customWidth="1"/>
    <col min="5937" max="5939" width="8.73046875" customWidth="1"/>
    <col min="5940" max="5960" width="0" hidden="1" customWidth="1"/>
    <col min="5961" max="5965" width="15.265625" customWidth="1"/>
    <col min="6142" max="6142" width="6" customWidth="1"/>
    <col min="6143" max="6143" width="29.86328125" customWidth="1"/>
    <col min="6144" max="6144" width="11.3984375" customWidth="1"/>
    <col min="6145" max="6145" width="13.73046875" customWidth="1"/>
    <col min="6146" max="6146" width="11.265625" customWidth="1"/>
    <col min="6147" max="6147" width="10.3984375" customWidth="1"/>
    <col min="6148" max="6148" width="9.265625" customWidth="1"/>
    <col min="6149" max="6149" width="9.59765625" customWidth="1"/>
    <col min="6150" max="6150" width="17.1328125" bestFit="1" customWidth="1"/>
    <col min="6151" max="6151" width="14.86328125" customWidth="1"/>
    <col min="6152" max="6152" width="9.59765625" bestFit="1" customWidth="1"/>
    <col min="6153" max="6153" width="10.59765625" customWidth="1"/>
    <col min="6154" max="6154" width="11.73046875" customWidth="1"/>
    <col min="6155" max="6155" width="10.265625" customWidth="1"/>
    <col min="6156" max="6156" width="13.86328125" customWidth="1"/>
    <col min="6157" max="6157" width="10.3984375" customWidth="1"/>
    <col min="6158" max="6158" width="10.86328125" customWidth="1"/>
    <col min="6159" max="6159" width="13.86328125" customWidth="1"/>
    <col min="6160" max="6160" width="10.59765625" customWidth="1"/>
    <col min="6161" max="6161" width="9.3984375" customWidth="1"/>
    <col min="6162" max="6162" width="6.73046875" customWidth="1"/>
    <col min="6163" max="6163" width="9.1328125" customWidth="1"/>
    <col min="6164" max="6171" width="11.265625" customWidth="1"/>
    <col min="6172" max="6187" width="0" hidden="1" customWidth="1"/>
    <col min="6188" max="6188" width="12.73046875" customWidth="1"/>
    <col min="6189" max="6189" width="9.1328125" customWidth="1"/>
    <col min="6190" max="6190" width="8.265625" customWidth="1"/>
    <col min="6191" max="6191" width="8.73046875" customWidth="1"/>
    <col min="6192" max="6192" width="10.59765625" customWidth="1"/>
    <col min="6193" max="6195" width="8.73046875" customWidth="1"/>
    <col min="6196" max="6216" width="0" hidden="1" customWidth="1"/>
    <col min="6217" max="6221" width="15.265625" customWidth="1"/>
    <col min="6398" max="6398" width="6" customWidth="1"/>
    <col min="6399" max="6399" width="29.86328125" customWidth="1"/>
    <col min="6400" max="6400" width="11.3984375" customWidth="1"/>
    <col min="6401" max="6401" width="13.73046875" customWidth="1"/>
    <col min="6402" max="6402" width="11.265625" customWidth="1"/>
    <col min="6403" max="6403" width="10.3984375" customWidth="1"/>
    <col min="6404" max="6404" width="9.265625" customWidth="1"/>
    <col min="6405" max="6405" width="9.59765625" customWidth="1"/>
    <col min="6406" max="6406" width="17.1328125" bestFit="1" customWidth="1"/>
    <col min="6407" max="6407" width="14.86328125" customWidth="1"/>
    <col min="6408" max="6408" width="9.59765625" bestFit="1" customWidth="1"/>
    <col min="6409" max="6409" width="10.59765625" customWidth="1"/>
    <col min="6410" max="6410" width="11.73046875" customWidth="1"/>
    <col min="6411" max="6411" width="10.265625" customWidth="1"/>
    <col min="6412" max="6412" width="13.86328125" customWidth="1"/>
    <col min="6413" max="6413" width="10.3984375" customWidth="1"/>
    <col min="6414" max="6414" width="10.86328125" customWidth="1"/>
    <col min="6415" max="6415" width="13.86328125" customWidth="1"/>
    <col min="6416" max="6416" width="10.59765625" customWidth="1"/>
    <col min="6417" max="6417" width="9.3984375" customWidth="1"/>
    <col min="6418" max="6418" width="6.73046875" customWidth="1"/>
    <col min="6419" max="6419" width="9.1328125" customWidth="1"/>
    <col min="6420" max="6427" width="11.265625" customWidth="1"/>
    <col min="6428" max="6443" width="0" hidden="1" customWidth="1"/>
    <col min="6444" max="6444" width="12.73046875" customWidth="1"/>
    <col min="6445" max="6445" width="9.1328125" customWidth="1"/>
    <col min="6446" max="6446" width="8.265625" customWidth="1"/>
    <col min="6447" max="6447" width="8.73046875" customWidth="1"/>
    <col min="6448" max="6448" width="10.59765625" customWidth="1"/>
    <col min="6449" max="6451" width="8.73046875" customWidth="1"/>
    <col min="6452" max="6472" width="0" hidden="1" customWidth="1"/>
    <col min="6473" max="6477" width="15.265625" customWidth="1"/>
    <col min="6654" max="6654" width="6" customWidth="1"/>
    <col min="6655" max="6655" width="29.86328125" customWidth="1"/>
    <col min="6656" max="6656" width="11.3984375" customWidth="1"/>
    <col min="6657" max="6657" width="13.73046875" customWidth="1"/>
    <col min="6658" max="6658" width="11.265625" customWidth="1"/>
    <col min="6659" max="6659" width="10.3984375" customWidth="1"/>
    <col min="6660" max="6660" width="9.265625" customWidth="1"/>
    <col min="6661" max="6661" width="9.59765625" customWidth="1"/>
    <col min="6662" max="6662" width="17.1328125" bestFit="1" customWidth="1"/>
    <col min="6663" max="6663" width="14.86328125" customWidth="1"/>
    <col min="6664" max="6664" width="9.59765625" bestFit="1" customWidth="1"/>
    <col min="6665" max="6665" width="10.59765625" customWidth="1"/>
    <col min="6666" max="6666" width="11.73046875" customWidth="1"/>
    <col min="6667" max="6667" width="10.265625" customWidth="1"/>
    <col min="6668" max="6668" width="13.86328125" customWidth="1"/>
    <col min="6669" max="6669" width="10.3984375" customWidth="1"/>
    <col min="6670" max="6670" width="10.86328125" customWidth="1"/>
    <col min="6671" max="6671" width="13.86328125" customWidth="1"/>
    <col min="6672" max="6672" width="10.59765625" customWidth="1"/>
    <col min="6673" max="6673" width="9.3984375" customWidth="1"/>
    <col min="6674" max="6674" width="6.73046875" customWidth="1"/>
    <col min="6675" max="6675" width="9.1328125" customWidth="1"/>
    <col min="6676" max="6683" width="11.265625" customWidth="1"/>
    <col min="6684" max="6699" width="0" hidden="1" customWidth="1"/>
    <col min="6700" max="6700" width="12.73046875" customWidth="1"/>
    <col min="6701" max="6701" width="9.1328125" customWidth="1"/>
    <col min="6702" max="6702" width="8.265625" customWidth="1"/>
    <col min="6703" max="6703" width="8.73046875" customWidth="1"/>
    <col min="6704" max="6704" width="10.59765625" customWidth="1"/>
    <col min="6705" max="6707" width="8.73046875" customWidth="1"/>
    <col min="6708" max="6728" width="0" hidden="1" customWidth="1"/>
    <col min="6729" max="6733" width="15.265625" customWidth="1"/>
    <col min="6910" max="6910" width="6" customWidth="1"/>
    <col min="6911" max="6911" width="29.86328125" customWidth="1"/>
    <col min="6912" max="6912" width="11.3984375" customWidth="1"/>
    <col min="6913" max="6913" width="13.73046875" customWidth="1"/>
    <col min="6914" max="6914" width="11.265625" customWidth="1"/>
    <col min="6915" max="6915" width="10.3984375" customWidth="1"/>
    <col min="6916" max="6916" width="9.265625" customWidth="1"/>
    <col min="6917" max="6917" width="9.59765625" customWidth="1"/>
    <col min="6918" max="6918" width="17.1328125" bestFit="1" customWidth="1"/>
    <col min="6919" max="6919" width="14.86328125" customWidth="1"/>
    <col min="6920" max="6920" width="9.59765625" bestFit="1" customWidth="1"/>
    <col min="6921" max="6921" width="10.59765625" customWidth="1"/>
    <col min="6922" max="6922" width="11.73046875" customWidth="1"/>
    <col min="6923" max="6923" width="10.265625" customWidth="1"/>
    <col min="6924" max="6924" width="13.86328125" customWidth="1"/>
    <col min="6925" max="6925" width="10.3984375" customWidth="1"/>
    <col min="6926" max="6926" width="10.86328125" customWidth="1"/>
    <col min="6927" max="6927" width="13.86328125" customWidth="1"/>
    <col min="6928" max="6928" width="10.59765625" customWidth="1"/>
    <col min="6929" max="6929" width="9.3984375" customWidth="1"/>
    <col min="6930" max="6930" width="6.73046875" customWidth="1"/>
    <col min="6931" max="6931" width="9.1328125" customWidth="1"/>
    <col min="6932" max="6939" width="11.265625" customWidth="1"/>
    <col min="6940" max="6955" width="0" hidden="1" customWidth="1"/>
    <col min="6956" max="6956" width="12.73046875" customWidth="1"/>
    <col min="6957" max="6957" width="9.1328125" customWidth="1"/>
    <col min="6958" max="6958" width="8.265625" customWidth="1"/>
    <col min="6959" max="6959" width="8.73046875" customWidth="1"/>
    <col min="6960" max="6960" width="10.59765625" customWidth="1"/>
    <col min="6961" max="6963" width="8.73046875" customWidth="1"/>
    <col min="6964" max="6984" width="0" hidden="1" customWidth="1"/>
    <col min="6985" max="6989" width="15.265625" customWidth="1"/>
    <col min="7166" max="7166" width="6" customWidth="1"/>
    <col min="7167" max="7167" width="29.86328125" customWidth="1"/>
    <col min="7168" max="7168" width="11.3984375" customWidth="1"/>
    <col min="7169" max="7169" width="13.73046875" customWidth="1"/>
    <col min="7170" max="7170" width="11.265625" customWidth="1"/>
    <col min="7171" max="7171" width="10.3984375" customWidth="1"/>
    <col min="7172" max="7172" width="9.265625" customWidth="1"/>
    <col min="7173" max="7173" width="9.59765625" customWidth="1"/>
    <col min="7174" max="7174" width="17.1328125" bestFit="1" customWidth="1"/>
    <col min="7175" max="7175" width="14.86328125" customWidth="1"/>
    <col min="7176" max="7176" width="9.59765625" bestFit="1" customWidth="1"/>
    <col min="7177" max="7177" width="10.59765625" customWidth="1"/>
    <col min="7178" max="7178" width="11.73046875" customWidth="1"/>
    <col min="7179" max="7179" width="10.265625" customWidth="1"/>
    <col min="7180" max="7180" width="13.86328125" customWidth="1"/>
    <col min="7181" max="7181" width="10.3984375" customWidth="1"/>
    <col min="7182" max="7182" width="10.86328125" customWidth="1"/>
    <col min="7183" max="7183" width="13.86328125" customWidth="1"/>
    <col min="7184" max="7184" width="10.59765625" customWidth="1"/>
    <col min="7185" max="7185" width="9.3984375" customWidth="1"/>
    <col min="7186" max="7186" width="6.73046875" customWidth="1"/>
    <col min="7187" max="7187" width="9.1328125" customWidth="1"/>
    <col min="7188" max="7195" width="11.265625" customWidth="1"/>
    <col min="7196" max="7211" width="0" hidden="1" customWidth="1"/>
    <col min="7212" max="7212" width="12.73046875" customWidth="1"/>
    <col min="7213" max="7213" width="9.1328125" customWidth="1"/>
    <col min="7214" max="7214" width="8.265625" customWidth="1"/>
    <col min="7215" max="7215" width="8.73046875" customWidth="1"/>
    <col min="7216" max="7216" width="10.59765625" customWidth="1"/>
    <col min="7217" max="7219" width="8.73046875" customWidth="1"/>
    <col min="7220" max="7240" width="0" hidden="1" customWidth="1"/>
    <col min="7241" max="7245" width="15.265625" customWidth="1"/>
    <col min="7422" max="7422" width="6" customWidth="1"/>
    <col min="7423" max="7423" width="29.86328125" customWidth="1"/>
    <col min="7424" max="7424" width="11.3984375" customWidth="1"/>
    <col min="7425" max="7425" width="13.73046875" customWidth="1"/>
    <col min="7426" max="7426" width="11.265625" customWidth="1"/>
    <col min="7427" max="7427" width="10.3984375" customWidth="1"/>
    <col min="7428" max="7428" width="9.265625" customWidth="1"/>
    <col min="7429" max="7429" width="9.59765625" customWidth="1"/>
    <col min="7430" max="7430" width="17.1328125" bestFit="1" customWidth="1"/>
    <col min="7431" max="7431" width="14.86328125" customWidth="1"/>
    <col min="7432" max="7432" width="9.59765625" bestFit="1" customWidth="1"/>
    <col min="7433" max="7433" width="10.59765625" customWidth="1"/>
    <col min="7434" max="7434" width="11.73046875" customWidth="1"/>
    <col min="7435" max="7435" width="10.265625" customWidth="1"/>
    <col min="7436" max="7436" width="13.86328125" customWidth="1"/>
    <col min="7437" max="7437" width="10.3984375" customWidth="1"/>
    <col min="7438" max="7438" width="10.86328125" customWidth="1"/>
    <col min="7439" max="7439" width="13.86328125" customWidth="1"/>
    <col min="7440" max="7440" width="10.59765625" customWidth="1"/>
    <col min="7441" max="7441" width="9.3984375" customWidth="1"/>
    <col min="7442" max="7442" width="6.73046875" customWidth="1"/>
    <col min="7443" max="7443" width="9.1328125" customWidth="1"/>
    <col min="7444" max="7451" width="11.265625" customWidth="1"/>
    <col min="7452" max="7467" width="0" hidden="1" customWidth="1"/>
    <col min="7468" max="7468" width="12.73046875" customWidth="1"/>
    <col min="7469" max="7469" width="9.1328125" customWidth="1"/>
    <col min="7470" max="7470" width="8.265625" customWidth="1"/>
    <col min="7471" max="7471" width="8.73046875" customWidth="1"/>
    <col min="7472" max="7472" width="10.59765625" customWidth="1"/>
    <col min="7473" max="7475" width="8.73046875" customWidth="1"/>
    <col min="7476" max="7496" width="0" hidden="1" customWidth="1"/>
    <col min="7497" max="7501" width="15.265625" customWidth="1"/>
    <col min="7678" max="7678" width="6" customWidth="1"/>
    <col min="7679" max="7679" width="29.86328125" customWidth="1"/>
    <col min="7680" max="7680" width="11.3984375" customWidth="1"/>
    <col min="7681" max="7681" width="13.73046875" customWidth="1"/>
    <col min="7682" max="7682" width="11.265625" customWidth="1"/>
    <col min="7683" max="7683" width="10.3984375" customWidth="1"/>
    <col min="7684" max="7684" width="9.265625" customWidth="1"/>
    <col min="7685" max="7685" width="9.59765625" customWidth="1"/>
    <col min="7686" max="7686" width="17.1328125" bestFit="1" customWidth="1"/>
    <col min="7687" max="7687" width="14.86328125" customWidth="1"/>
    <col min="7688" max="7688" width="9.59765625" bestFit="1" customWidth="1"/>
    <col min="7689" max="7689" width="10.59765625" customWidth="1"/>
    <col min="7690" max="7690" width="11.73046875" customWidth="1"/>
    <col min="7691" max="7691" width="10.265625" customWidth="1"/>
    <col min="7692" max="7692" width="13.86328125" customWidth="1"/>
    <col min="7693" max="7693" width="10.3984375" customWidth="1"/>
    <col min="7694" max="7694" width="10.86328125" customWidth="1"/>
    <col min="7695" max="7695" width="13.86328125" customWidth="1"/>
    <col min="7696" max="7696" width="10.59765625" customWidth="1"/>
    <col min="7697" max="7697" width="9.3984375" customWidth="1"/>
    <col min="7698" max="7698" width="6.73046875" customWidth="1"/>
    <col min="7699" max="7699" width="9.1328125" customWidth="1"/>
    <col min="7700" max="7707" width="11.265625" customWidth="1"/>
    <col min="7708" max="7723" width="0" hidden="1" customWidth="1"/>
    <col min="7724" max="7724" width="12.73046875" customWidth="1"/>
    <col min="7725" max="7725" width="9.1328125" customWidth="1"/>
    <col min="7726" max="7726" width="8.265625" customWidth="1"/>
    <col min="7727" max="7727" width="8.73046875" customWidth="1"/>
    <col min="7728" max="7728" width="10.59765625" customWidth="1"/>
    <col min="7729" max="7731" width="8.73046875" customWidth="1"/>
    <col min="7732" max="7752" width="0" hidden="1" customWidth="1"/>
    <col min="7753" max="7757" width="15.265625" customWidth="1"/>
    <col min="7934" max="7934" width="6" customWidth="1"/>
    <col min="7935" max="7935" width="29.86328125" customWidth="1"/>
    <col min="7936" max="7936" width="11.3984375" customWidth="1"/>
    <col min="7937" max="7937" width="13.73046875" customWidth="1"/>
    <col min="7938" max="7938" width="11.265625" customWidth="1"/>
    <col min="7939" max="7939" width="10.3984375" customWidth="1"/>
    <col min="7940" max="7940" width="9.265625" customWidth="1"/>
    <col min="7941" max="7941" width="9.59765625" customWidth="1"/>
    <col min="7942" max="7942" width="17.1328125" bestFit="1" customWidth="1"/>
    <col min="7943" max="7943" width="14.86328125" customWidth="1"/>
    <col min="7944" max="7944" width="9.59765625" bestFit="1" customWidth="1"/>
    <col min="7945" max="7945" width="10.59765625" customWidth="1"/>
    <col min="7946" max="7946" width="11.73046875" customWidth="1"/>
    <col min="7947" max="7947" width="10.265625" customWidth="1"/>
    <col min="7948" max="7948" width="13.86328125" customWidth="1"/>
    <col min="7949" max="7949" width="10.3984375" customWidth="1"/>
    <col min="7950" max="7950" width="10.86328125" customWidth="1"/>
    <col min="7951" max="7951" width="13.86328125" customWidth="1"/>
    <col min="7952" max="7952" width="10.59765625" customWidth="1"/>
    <col min="7953" max="7953" width="9.3984375" customWidth="1"/>
    <col min="7954" max="7954" width="6.73046875" customWidth="1"/>
    <col min="7955" max="7955" width="9.1328125" customWidth="1"/>
    <col min="7956" max="7963" width="11.265625" customWidth="1"/>
    <col min="7964" max="7979" width="0" hidden="1" customWidth="1"/>
    <col min="7980" max="7980" width="12.73046875" customWidth="1"/>
    <col min="7981" max="7981" width="9.1328125" customWidth="1"/>
    <col min="7982" max="7982" width="8.265625" customWidth="1"/>
    <col min="7983" max="7983" width="8.73046875" customWidth="1"/>
    <col min="7984" max="7984" width="10.59765625" customWidth="1"/>
    <col min="7985" max="7987" width="8.73046875" customWidth="1"/>
    <col min="7988" max="8008" width="0" hidden="1" customWidth="1"/>
    <col min="8009" max="8013" width="15.265625" customWidth="1"/>
    <col min="8190" max="8190" width="6" customWidth="1"/>
    <col min="8191" max="8191" width="29.86328125" customWidth="1"/>
    <col min="8192" max="8192" width="11.3984375" customWidth="1"/>
    <col min="8193" max="8193" width="13.73046875" customWidth="1"/>
    <col min="8194" max="8194" width="11.265625" customWidth="1"/>
    <col min="8195" max="8195" width="10.3984375" customWidth="1"/>
    <col min="8196" max="8196" width="9.265625" customWidth="1"/>
    <col min="8197" max="8197" width="9.59765625" customWidth="1"/>
    <col min="8198" max="8198" width="17.1328125" bestFit="1" customWidth="1"/>
    <col min="8199" max="8199" width="14.86328125" customWidth="1"/>
    <col min="8200" max="8200" width="9.59765625" bestFit="1" customWidth="1"/>
    <col min="8201" max="8201" width="10.59765625" customWidth="1"/>
    <col min="8202" max="8202" width="11.73046875" customWidth="1"/>
    <col min="8203" max="8203" width="10.265625" customWidth="1"/>
    <col min="8204" max="8204" width="13.86328125" customWidth="1"/>
    <col min="8205" max="8205" width="10.3984375" customWidth="1"/>
    <col min="8206" max="8206" width="10.86328125" customWidth="1"/>
    <col min="8207" max="8207" width="13.86328125" customWidth="1"/>
    <col min="8208" max="8208" width="10.59765625" customWidth="1"/>
    <col min="8209" max="8209" width="9.3984375" customWidth="1"/>
    <col min="8210" max="8210" width="6.73046875" customWidth="1"/>
    <col min="8211" max="8211" width="9.1328125" customWidth="1"/>
    <col min="8212" max="8219" width="11.265625" customWidth="1"/>
    <col min="8220" max="8235" width="0" hidden="1" customWidth="1"/>
    <col min="8236" max="8236" width="12.73046875" customWidth="1"/>
    <col min="8237" max="8237" width="9.1328125" customWidth="1"/>
    <col min="8238" max="8238" width="8.265625" customWidth="1"/>
    <col min="8239" max="8239" width="8.73046875" customWidth="1"/>
    <col min="8240" max="8240" width="10.59765625" customWidth="1"/>
    <col min="8241" max="8243" width="8.73046875" customWidth="1"/>
    <col min="8244" max="8264" width="0" hidden="1" customWidth="1"/>
    <col min="8265" max="8269" width="15.265625" customWidth="1"/>
    <col min="8446" max="8446" width="6" customWidth="1"/>
    <col min="8447" max="8447" width="29.86328125" customWidth="1"/>
    <col min="8448" max="8448" width="11.3984375" customWidth="1"/>
    <col min="8449" max="8449" width="13.73046875" customWidth="1"/>
    <col min="8450" max="8450" width="11.265625" customWidth="1"/>
    <col min="8451" max="8451" width="10.3984375" customWidth="1"/>
    <col min="8452" max="8452" width="9.265625" customWidth="1"/>
    <col min="8453" max="8453" width="9.59765625" customWidth="1"/>
    <col min="8454" max="8454" width="17.1328125" bestFit="1" customWidth="1"/>
    <col min="8455" max="8455" width="14.86328125" customWidth="1"/>
    <col min="8456" max="8456" width="9.59765625" bestFit="1" customWidth="1"/>
    <col min="8457" max="8457" width="10.59765625" customWidth="1"/>
    <col min="8458" max="8458" width="11.73046875" customWidth="1"/>
    <col min="8459" max="8459" width="10.265625" customWidth="1"/>
    <col min="8460" max="8460" width="13.86328125" customWidth="1"/>
    <col min="8461" max="8461" width="10.3984375" customWidth="1"/>
    <col min="8462" max="8462" width="10.86328125" customWidth="1"/>
    <col min="8463" max="8463" width="13.86328125" customWidth="1"/>
    <col min="8464" max="8464" width="10.59765625" customWidth="1"/>
    <col min="8465" max="8465" width="9.3984375" customWidth="1"/>
    <col min="8466" max="8466" width="6.73046875" customWidth="1"/>
    <col min="8467" max="8467" width="9.1328125" customWidth="1"/>
    <col min="8468" max="8475" width="11.265625" customWidth="1"/>
    <col min="8476" max="8491" width="0" hidden="1" customWidth="1"/>
    <col min="8492" max="8492" width="12.73046875" customWidth="1"/>
    <col min="8493" max="8493" width="9.1328125" customWidth="1"/>
    <col min="8494" max="8494" width="8.265625" customWidth="1"/>
    <col min="8495" max="8495" width="8.73046875" customWidth="1"/>
    <col min="8496" max="8496" width="10.59765625" customWidth="1"/>
    <col min="8497" max="8499" width="8.73046875" customWidth="1"/>
    <col min="8500" max="8520" width="0" hidden="1" customWidth="1"/>
    <col min="8521" max="8525" width="15.265625" customWidth="1"/>
    <col min="8702" max="8702" width="6" customWidth="1"/>
    <col min="8703" max="8703" width="29.86328125" customWidth="1"/>
    <col min="8704" max="8704" width="11.3984375" customWidth="1"/>
    <col min="8705" max="8705" width="13.73046875" customWidth="1"/>
    <col min="8706" max="8706" width="11.265625" customWidth="1"/>
    <col min="8707" max="8707" width="10.3984375" customWidth="1"/>
    <col min="8708" max="8708" width="9.265625" customWidth="1"/>
    <col min="8709" max="8709" width="9.59765625" customWidth="1"/>
    <col min="8710" max="8710" width="17.1328125" bestFit="1" customWidth="1"/>
    <col min="8711" max="8711" width="14.86328125" customWidth="1"/>
    <col min="8712" max="8712" width="9.59765625" bestFit="1" customWidth="1"/>
    <col min="8713" max="8713" width="10.59765625" customWidth="1"/>
    <col min="8714" max="8714" width="11.73046875" customWidth="1"/>
    <col min="8715" max="8715" width="10.265625" customWidth="1"/>
    <col min="8716" max="8716" width="13.86328125" customWidth="1"/>
    <col min="8717" max="8717" width="10.3984375" customWidth="1"/>
    <col min="8718" max="8718" width="10.86328125" customWidth="1"/>
    <col min="8719" max="8719" width="13.86328125" customWidth="1"/>
    <col min="8720" max="8720" width="10.59765625" customWidth="1"/>
    <col min="8721" max="8721" width="9.3984375" customWidth="1"/>
    <col min="8722" max="8722" width="6.73046875" customWidth="1"/>
    <col min="8723" max="8723" width="9.1328125" customWidth="1"/>
    <col min="8724" max="8731" width="11.265625" customWidth="1"/>
    <col min="8732" max="8747" width="0" hidden="1" customWidth="1"/>
    <col min="8748" max="8748" width="12.73046875" customWidth="1"/>
    <col min="8749" max="8749" width="9.1328125" customWidth="1"/>
    <col min="8750" max="8750" width="8.265625" customWidth="1"/>
    <col min="8751" max="8751" width="8.73046875" customWidth="1"/>
    <col min="8752" max="8752" width="10.59765625" customWidth="1"/>
    <col min="8753" max="8755" width="8.73046875" customWidth="1"/>
    <col min="8756" max="8776" width="0" hidden="1" customWidth="1"/>
    <col min="8777" max="8781" width="15.265625" customWidth="1"/>
    <col min="8958" max="8958" width="6" customWidth="1"/>
    <col min="8959" max="8959" width="29.86328125" customWidth="1"/>
    <col min="8960" max="8960" width="11.3984375" customWidth="1"/>
    <col min="8961" max="8961" width="13.73046875" customWidth="1"/>
    <col min="8962" max="8962" width="11.265625" customWidth="1"/>
    <col min="8963" max="8963" width="10.3984375" customWidth="1"/>
    <col min="8964" max="8964" width="9.265625" customWidth="1"/>
    <col min="8965" max="8965" width="9.59765625" customWidth="1"/>
    <col min="8966" max="8966" width="17.1328125" bestFit="1" customWidth="1"/>
    <col min="8967" max="8967" width="14.86328125" customWidth="1"/>
    <col min="8968" max="8968" width="9.59765625" bestFit="1" customWidth="1"/>
    <col min="8969" max="8969" width="10.59765625" customWidth="1"/>
    <col min="8970" max="8970" width="11.73046875" customWidth="1"/>
    <col min="8971" max="8971" width="10.265625" customWidth="1"/>
    <col min="8972" max="8972" width="13.86328125" customWidth="1"/>
    <col min="8973" max="8973" width="10.3984375" customWidth="1"/>
    <col min="8974" max="8974" width="10.86328125" customWidth="1"/>
    <col min="8975" max="8975" width="13.86328125" customWidth="1"/>
    <col min="8976" max="8976" width="10.59765625" customWidth="1"/>
    <col min="8977" max="8977" width="9.3984375" customWidth="1"/>
    <col min="8978" max="8978" width="6.73046875" customWidth="1"/>
    <col min="8979" max="8979" width="9.1328125" customWidth="1"/>
    <col min="8980" max="8987" width="11.265625" customWidth="1"/>
    <col min="8988" max="9003" width="0" hidden="1" customWidth="1"/>
    <col min="9004" max="9004" width="12.73046875" customWidth="1"/>
    <col min="9005" max="9005" width="9.1328125" customWidth="1"/>
    <col min="9006" max="9006" width="8.265625" customWidth="1"/>
    <col min="9007" max="9007" width="8.73046875" customWidth="1"/>
    <col min="9008" max="9008" width="10.59765625" customWidth="1"/>
    <col min="9009" max="9011" width="8.73046875" customWidth="1"/>
    <col min="9012" max="9032" width="0" hidden="1" customWidth="1"/>
    <col min="9033" max="9037" width="15.265625" customWidth="1"/>
    <col min="9214" max="9214" width="6" customWidth="1"/>
    <col min="9215" max="9215" width="29.86328125" customWidth="1"/>
    <col min="9216" max="9216" width="11.3984375" customWidth="1"/>
    <col min="9217" max="9217" width="13.73046875" customWidth="1"/>
    <col min="9218" max="9218" width="11.265625" customWidth="1"/>
    <col min="9219" max="9219" width="10.3984375" customWidth="1"/>
    <col min="9220" max="9220" width="9.265625" customWidth="1"/>
    <col min="9221" max="9221" width="9.59765625" customWidth="1"/>
    <col min="9222" max="9222" width="17.1328125" bestFit="1" customWidth="1"/>
    <col min="9223" max="9223" width="14.86328125" customWidth="1"/>
    <col min="9224" max="9224" width="9.59765625" bestFit="1" customWidth="1"/>
    <col min="9225" max="9225" width="10.59765625" customWidth="1"/>
    <col min="9226" max="9226" width="11.73046875" customWidth="1"/>
    <col min="9227" max="9227" width="10.265625" customWidth="1"/>
    <col min="9228" max="9228" width="13.86328125" customWidth="1"/>
    <col min="9229" max="9229" width="10.3984375" customWidth="1"/>
    <col min="9230" max="9230" width="10.86328125" customWidth="1"/>
    <col min="9231" max="9231" width="13.86328125" customWidth="1"/>
    <col min="9232" max="9232" width="10.59765625" customWidth="1"/>
    <col min="9233" max="9233" width="9.3984375" customWidth="1"/>
    <col min="9234" max="9234" width="6.73046875" customWidth="1"/>
    <col min="9235" max="9235" width="9.1328125" customWidth="1"/>
    <col min="9236" max="9243" width="11.265625" customWidth="1"/>
    <col min="9244" max="9259" width="0" hidden="1" customWidth="1"/>
    <col min="9260" max="9260" width="12.73046875" customWidth="1"/>
    <col min="9261" max="9261" width="9.1328125" customWidth="1"/>
    <col min="9262" max="9262" width="8.265625" customWidth="1"/>
    <col min="9263" max="9263" width="8.73046875" customWidth="1"/>
    <col min="9264" max="9264" width="10.59765625" customWidth="1"/>
    <col min="9265" max="9267" width="8.73046875" customWidth="1"/>
    <col min="9268" max="9288" width="0" hidden="1" customWidth="1"/>
    <col min="9289" max="9293" width="15.265625" customWidth="1"/>
    <col min="9470" max="9470" width="6" customWidth="1"/>
    <col min="9471" max="9471" width="29.86328125" customWidth="1"/>
    <col min="9472" max="9472" width="11.3984375" customWidth="1"/>
    <col min="9473" max="9473" width="13.73046875" customWidth="1"/>
    <col min="9474" max="9474" width="11.265625" customWidth="1"/>
    <col min="9475" max="9475" width="10.3984375" customWidth="1"/>
    <col min="9476" max="9476" width="9.265625" customWidth="1"/>
    <col min="9477" max="9477" width="9.59765625" customWidth="1"/>
    <col min="9478" max="9478" width="17.1328125" bestFit="1" customWidth="1"/>
    <col min="9479" max="9479" width="14.86328125" customWidth="1"/>
    <col min="9480" max="9480" width="9.59765625" bestFit="1" customWidth="1"/>
    <col min="9481" max="9481" width="10.59765625" customWidth="1"/>
    <col min="9482" max="9482" width="11.73046875" customWidth="1"/>
    <col min="9483" max="9483" width="10.265625" customWidth="1"/>
    <col min="9484" max="9484" width="13.86328125" customWidth="1"/>
    <col min="9485" max="9485" width="10.3984375" customWidth="1"/>
    <col min="9486" max="9486" width="10.86328125" customWidth="1"/>
    <col min="9487" max="9487" width="13.86328125" customWidth="1"/>
    <col min="9488" max="9488" width="10.59765625" customWidth="1"/>
    <col min="9489" max="9489" width="9.3984375" customWidth="1"/>
    <col min="9490" max="9490" width="6.73046875" customWidth="1"/>
    <col min="9491" max="9491" width="9.1328125" customWidth="1"/>
    <col min="9492" max="9499" width="11.265625" customWidth="1"/>
    <col min="9500" max="9515" width="0" hidden="1" customWidth="1"/>
    <col min="9516" max="9516" width="12.73046875" customWidth="1"/>
    <col min="9517" max="9517" width="9.1328125" customWidth="1"/>
    <col min="9518" max="9518" width="8.265625" customWidth="1"/>
    <col min="9519" max="9519" width="8.73046875" customWidth="1"/>
    <col min="9520" max="9520" width="10.59765625" customWidth="1"/>
    <col min="9521" max="9523" width="8.73046875" customWidth="1"/>
    <col min="9524" max="9544" width="0" hidden="1" customWidth="1"/>
    <col min="9545" max="9549" width="15.265625" customWidth="1"/>
    <col min="9726" max="9726" width="6" customWidth="1"/>
    <col min="9727" max="9727" width="29.86328125" customWidth="1"/>
    <col min="9728" max="9728" width="11.3984375" customWidth="1"/>
    <col min="9729" max="9729" width="13.73046875" customWidth="1"/>
    <col min="9730" max="9730" width="11.265625" customWidth="1"/>
    <col min="9731" max="9731" width="10.3984375" customWidth="1"/>
    <col min="9732" max="9732" width="9.265625" customWidth="1"/>
    <col min="9733" max="9733" width="9.59765625" customWidth="1"/>
    <col min="9734" max="9734" width="17.1328125" bestFit="1" customWidth="1"/>
    <col min="9735" max="9735" width="14.86328125" customWidth="1"/>
    <col min="9736" max="9736" width="9.59765625" bestFit="1" customWidth="1"/>
    <col min="9737" max="9737" width="10.59765625" customWidth="1"/>
    <col min="9738" max="9738" width="11.73046875" customWidth="1"/>
    <col min="9739" max="9739" width="10.265625" customWidth="1"/>
    <col min="9740" max="9740" width="13.86328125" customWidth="1"/>
    <col min="9741" max="9741" width="10.3984375" customWidth="1"/>
    <col min="9742" max="9742" width="10.86328125" customWidth="1"/>
    <col min="9743" max="9743" width="13.86328125" customWidth="1"/>
    <col min="9744" max="9744" width="10.59765625" customWidth="1"/>
    <col min="9745" max="9745" width="9.3984375" customWidth="1"/>
    <col min="9746" max="9746" width="6.73046875" customWidth="1"/>
    <col min="9747" max="9747" width="9.1328125" customWidth="1"/>
    <col min="9748" max="9755" width="11.265625" customWidth="1"/>
    <col min="9756" max="9771" width="0" hidden="1" customWidth="1"/>
    <col min="9772" max="9772" width="12.73046875" customWidth="1"/>
    <col min="9773" max="9773" width="9.1328125" customWidth="1"/>
    <col min="9774" max="9774" width="8.265625" customWidth="1"/>
    <col min="9775" max="9775" width="8.73046875" customWidth="1"/>
    <col min="9776" max="9776" width="10.59765625" customWidth="1"/>
    <col min="9777" max="9779" width="8.73046875" customWidth="1"/>
    <col min="9780" max="9800" width="0" hidden="1" customWidth="1"/>
    <col min="9801" max="9805" width="15.265625" customWidth="1"/>
    <col min="9982" max="9982" width="6" customWidth="1"/>
    <col min="9983" max="9983" width="29.86328125" customWidth="1"/>
    <col min="9984" max="9984" width="11.3984375" customWidth="1"/>
    <col min="9985" max="9985" width="13.73046875" customWidth="1"/>
    <col min="9986" max="9986" width="11.265625" customWidth="1"/>
    <col min="9987" max="9987" width="10.3984375" customWidth="1"/>
    <col min="9988" max="9988" width="9.265625" customWidth="1"/>
    <col min="9989" max="9989" width="9.59765625" customWidth="1"/>
    <col min="9990" max="9990" width="17.1328125" bestFit="1" customWidth="1"/>
    <col min="9991" max="9991" width="14.86328125" customWidth="1"/>
    <col min="9992" max="9992" width="9.59765625" bestFit="1" customWidth="1"/>
    <col min="9993" max="9993" width="10.59765625" customWidth="1"/>
    <col min="9994" max="9994" width="11.73046875" customWidth="1"/>
    <col min="9995" max="9995" width="10.265625" customWidth="1"/>
    <col min="9996" max="9996" width="13.86328125" customWidth="1"/>
    <col min="9997" max="9997" width="10.3984375" customWidth="1"/>
    <col min="9998" max="9998" width="10.86328125" customWidth="1"/>
    <col min="9999" max="9999" width="13.86328125" customWidth="1"/>
    <col min="10000" max="10000" width="10.59765625" customWidth="1"/>
    <col min="10001" max="10001" width="9.3984375" customWidth="1"/>
    <col min="10002" max="10002" width="6.73046875" customWidth="1"/>
    <col min="10003" max="10003" width="9.1328125" customWidth="1"/>
    <col min="10004" max="10011" width="11.265625" customWidth="1"/>
    <col min="10012" max="10027" width="0" hidden="1" customWidth="1"/>
    <col min="10028" max="10028" width="12.73046875" customWidth="1"/>
    <col min="10029" max="10029" width="9.1328125" customWidth="1"/>
    <col min="10030" max="10030" width="8.265625" customWidth="1"/>
    <col min="10031" max="10031" width="8.73046875" customWidth="1"/>
    <col min="10032" max="10032" width="10.59765625" customWidth="1"/>
    <col min="10033" max="10035" width="8.73046875" customWidth="1"/>
    <col min="10036" max="10056" width="0" hidden="1" customWidth="1"/>
    <col min="10057" max="10061" width="15.265625" customWidth="1"/>
    <col min="10238" max="10238" width="6" customWidth="1"/>
    <col min="10239" max="10239" width="29.86328125" customWidth="1"/>
    <col min="10240" max="10240" width="11.3984375" customWidth="1"/>
    <col min="10241" max="10241" width="13.73046875" customWidth="1"/>
    <col min="10242" max="10242" width="11.265625" customWidth="1"/>
    <col min="10243" max="10243" width="10.3984375" customWidth="1"/>
    <col min="10244" max="10244" width="9.265625" customWidth="1"/>
    <col min="10245" max="10245" width="9.59765625" customWidth="1"/>
    <col min="10246" max="10246" width="17.1328125" bestFit="1" customWidth="1"/>
    <col min="10247" max="10247" width="14.86328125" customWidth="1"/>
    <col min="10248" max="10248" width="9.59765625" bestFit="1" customWidth="1"/>
    <col min="10249" max="10249" width="10.59765625" customWidth="1"/>
    <col min="10250" max="10250" width="11.73046875" customWidth="1"/>
    <col min="10251" max="10251" width="10.265625" customWidth="1"/>
    <col min="10252" max="10252" width="13.86328125" customWidth="1"/>
    <col min="10253" max="10253" width="10.3984375" customWidth="1"/>
    <col min="10254" max="10254" width="10.86328125" customWidth="1"/>
    <col min="10255" max="10255" width="13.86328125" customWidth="1"/>
    <col min="10256" max="10256" width="10.59765625" customWidth="1"/>
    <col min="10257" max="10257" width="9.3984375" customWidth="1"/>
    <col min="10258" max="10258" width="6.73046875" customWidth="1"/>
    <col min="10259" max="10259" width="9.1328125" customWidth="1"/>
    <col min="10260" max="10267" width="11.265625" customWidth="1"/>
    <col min="10268" max="10283" width="0" hidden="1" customWidth="1"/>
    <col min="10284" max="10284" width="12.73046875" customWidth="1"/>
    <col min="10285" max="10285" width="9.1328125" customWidth="1"/>
    <col min="10286" max="10286" width="8.265625" customWidth="1"/>
    <col min="10287" max="10287" width="8.73046875" customWidth="1"/>
    <col min="10288" max="10288" width="10.59765625" customWidth="1"/>
    <col min="10289" max="10291" width="8.73046875" customWidth="1"/>
    <col min="10292" max="10312" width="0" hidden="1" customWidth="1"/>
    <col min="10313" max="10317" width="15.265625" customWidth="1"/>
    <col min="10494" max="10494" width="6" customWidth="1"/>
    <col min="10495" max="10495" width="29.86328125" customWidth="1"/>
    <col min="10496" max="10496" width="11.3984375" customWidth="1"/>
    <col min="10497" max="10497" width="13.73046875" customWidth="1"/>
    <col min="10498" max="10498" width="11.265625" customWidth="1"/>
    <col min="10499" max="10499" width="10.3984375" customWidth="1"/>
    <col min="10500" max="10500" width="9.265625" customWidth="1"/>
    <col min="10501" max="10501" width="9.59765625" customWidth="1"/>
    <col min="10502" max="10502" width="17.1328125" bestFit="1" customWidth="1"/>
    <col min="10503" max="10503" width="14.86328125" customWidth="1"/>
    <col min="10504" max="10504" width="9.59765625" bestFit="1" customWidth="1"/>
    <col min="10505" max="10505" width="10.59765625" customWidth="1"/>
    <col min="10506" max="10506" width="11.73046875" customWidth="1"/>
    <col min="10507" max="10507" width="10.265625" customWidth="1"/>
    <col min="10508" max="10508" width="13.86328125" customWidth="1"/>
    <col min="10509" max="10509" width="10.3984375" customWidth="1"/>
    <col min="10510" max="10510" width="10.86328125" customWidth="1"/>
    <col min="10511" max="10511" width="13.86328125" customWidth="1"/>
    <col min="10512" max="10512" width="10.59765625" customWidth="1"/>
    <col min="10513" max="10513" width="9.3984375" customWidth="1"/>
    <col min="10514" max="10514" width="6.73046875" customWidth="1"/>
    <col min="10515" max="10515" width="9.1328125" customWidth="1"/>
    <col min="10516" max="10523" width="11.265625" customWidth="1"/>
    <col min="10524" max="10539" width="0" hidden="1" customWidth="1"/>
    <col min="10540" max="10540" width="12.73046875" customWidth="1"/>
    <col min="10541" max="10541" width="9.1328125" customWidth="1"/>
    <col min="10542" max="10542" width="8.265625" customWidth="1"/>
    <col min="10543" max="10543" width="8.73046875" customWidth="1"/>
    <col min="10544" max="10544" width="10.59765625" customWidth="1"/>
    <col min="10545" max="10547" width="8.73046875" customWidth="1"/>
    <col min="10548" max="10568" width="0" hidden="1" customWidth="1"/>
    <col min="10569" max="10573" width="15.265625" customWidth="1"/>
    <col min="10750" max="10750" width="6" customWidth="1"/>
    <col min="10751" max="10751" width="29.86328125" customWidth="1"/>
    <col min="10752" max="10752" width="11.3984375" customWidth="1"/>
    <col min="10753" max="10753" width="13.73046875" customWidth="1"/>
    <col min="10754" max="10754" width="11.265625" customWidth="1"/>
    <col min="10755" max="10755" width="10.3984375" customWidth="1"/>
    <col min="10756" max="10756" width="9.265625" customWidth="1"/>
    <col min="10757" max="10757" width="9.59765625" customWidth="1"/>
    <col min="10758" max="10758" width="17.1328125" bestFit="1" customWidth="1"/>
    <col min="10759" max="10759" width="14.86328125" customWidth="1"/>
    <col min="10760" max="10760" width="9.59765625" bestFit="1" customWidth="1"/>
    <col min="10761" max="10761" width="10.59765625" customWidth="1"/>
    <col min="10762" max="10762" width="11.73046875" customWidth="1"/>
    <col min="10763" max="10763" width="10.265625" customWidth="1"/>
    <col min="10764" max="10764" width="13.86328125" customWidth="1"/>
    <col min="10765" max="10765" width="10.3984375" customWidth="1"/>
    <col min="10766" max="10766" width="10.86328125" customWidth="1"/>
    <col min="10767" max="10767" width="13.86328125" customWidth="1"/>
    <col min="10768" max="10768" width="10.59765625" customWidth="1"/>
    <col min="10769" max="10769" width="9.3984375" customWidth="1"/>
    <col min="10770" max="10770" width="6.73046875" customWidth="1"/>
    <col min="10771" max="10771" width="9.1328125" customWidth="1"/>
    <col min="10772" max="10779" width="11.265625" customWidth="1"/>
    <col min="10780" max="10795" width="0" hidden="1" customWidth="1"/>
    <col min="10796" max="10796" width="12.73046875" customWidth="1"/>
    <col min="10797" max="10797" width="9.1328125" customWidth="1"/>
    <col min="10798" max="10798" width="8.265625" customWidth="1"/>
    <col min="10799" max="10799" width="8.73046875" customWidth="1"/>
    <col min="10800" max="10800" width="10.59765625" customWidth="1"/>
    <col min="10801" max="10803" width="8.73046875" customWidth="1"/>
    <col min="10804" max="10824" width="0" hidden="1" customWidth="1"/>
    <col min="10825" max="10829" width="15.265625" customWidth="1"/>
    <col min="11006" max="11006" width="6" customWidth="1"/>
    <col min="11007" max="11007" width="29.86328125" customWidth="1"/>
    <col min="11008" max="11008" width="11.3984375" customWidth="1"/>
    <col min="11009" max="11009" width="13.73046875" customWidth="1"/>
    <col min="11010" max="11010" width="11.265625" customWidth="1"/>
    <col min="11011" max="11011" width="10.3984375" customWidth="1"/>
    <col min="11012" max="11012" width="9.265625" customWidth="1"/>
    <col min="11013" max="11013" width="9.59765625" customWidth="1"/>
    <col min="11014" max="11014" width="17.1328125" bestFit="1" customWidth="1"/>
    <col min="11015" max="11015" width="14.86328125" customWidth="1"/>
    <col min="11016" max="11016" width="9.59765625" bestFit="1" customWidth="1"/>
    <col min="11017" max="11017" width="10.59765625" customWidth="1"/>
    <col min="11018" max="11018" width="11.73046875" customWidth="1"/>
    <col min="11019" max="11019" width="10.265625" customWidth="1"/>
    <col min="11020" max="11020" width="13.86328125" customWidth="1"/>
    <col min="11021" max="11021" width="10.3984375" customWidth="1"/>
    <col min="11022" max="11022" width="10.86328125" customWidth="1"/>
    <col min="11023" max="11023" width="13.86328125" customWidth="1"/>
    <col min="11024" max="11024" width="10.59765625" customWidth="1"/>
    <col min="11025" max="11025" width="9.3984375" customWidth="1"/>
    <col min="11026" max="11026" width="6.73046875" customWidth="1"/>
    <col min="11027" max="11027" width="9.1328125" customWidth="1"/>
    <col min="11028" max="11035" width="11.265625" customWidth="1"/>
    <col min="11036" max="11051" width="0" hidden="1" customWidth="1"/>
    <col min="11052" max="11052" width="12.73046875" customWidth="1"/>
    <col min="11053" max="11053" width="9.1328125" customWidth="1"/>
    <col min="11054" max="11054" width="8.265625" customWidth="1"/>
    <col min="11055" max="11055" width="8.73046875" customWidth="1"/>
    <col min="11056" max="11056" width="10.59765625" customWidth="1"/>
    <col min="11057" max="11059" width="8.73046875" customWidth="1"/>
    <col min="11060" max="11080" width="0" hidden="1" customWidth="1"/>
    <col min="11081" max="11085" width="15.265625" customWidth="1"/>
    <col min="11262" max="11262" width="6" customWidth="1"/>
    <col min="11263" max="11263" width="29.86328125" customWidth="1"/>
    <col min="11264" max="11264" width="11.3984375" customWidth="1"/>
    <col min="11265" max="11265" width="13.73046875" customWidth="1"/>
    <col min="11266" max="11266" width="11.265625" customWidth="1"/>
    <col min="11267" max="11267" width="10.3984375" customWidth="1"/>
    <col min="11268" max="11268" width="9.265625" customWidth="1"/>
    <col min="11269" max="11269" width="9.59765625" customWidth="1"/>
    <col min="11270" max="11270" width="17.1328125" bestFit="1" customWidth="1"/>
    <col min="11271" max="11271" width="14.86328125" customWidth="1"/>
    <col min="11272" max="11272" width="9.59765625" bestFit="1" customWidth="1"/>
    <col min="11273" max="11273" width="10.59765625" customWidth="1"/>
    <col min="11274" max="11274" width="11.73046875" customWidth="1"/>
    <col min="11275" max="11275" width="10.265625" customWidth="1"/>
    <col min="11276" max="11276" width="13.86328125" customWidth="1"/>
    <col min="11277" max="11277" width="10.3984375" customWidth="1"/>
    <col min="11278" max="11278" width="10.86328125" customWidth="1"/>
    <col min="11279" max="11279" width="13.86328125" customWidth="1"/>
    <col min="11280" max="11280" width="10.59765625" customWidth="1"/>
    <col min="11281" max="11281" width="9.3984375" customWidth="1"/>
    <col min="11282" max="11282" width="6.73046875" customWidth="1"/>
    <col min="11283" max="11283" width="9.1328125" customWidth="1"/>
    <col min="11284" max="11291" width="11.265625" customWidth="1"/>
    <col min="11292" max="11307" width="0" hidden="1" customWidth="1"/>
    <col min="11308" max="11308" width="12.73046875" customWidth="1"/>
    <col min="11309" max="11309" width="9.1328125" customWidth="1"/>
    <col min="11310" max="11310" width="8.265625" customWidth="1"/>
    <col min="11311" max="11311" width="8.73046875" customWidth="1"/>
    <col min="11312" max="11312" width="10.59765625" customWidth="1"/>
    <col min="11313" max="11315" width="8.73046875" customWidth="1"/>
    <col min="11316" max="11336" width="0" hidden="1" customWidth="1"/>
    <col min="11337" max="11341" width="15.265625" customWidth="1"/>
    <col min="11518" max="11518" width="6" customWidth="1"/>
    <col min="11519" max="11519" width="29.86328125" customWidth="1"/>
    <col min="11520" max="11520" width="11.3984375" customWidth="1"/>
    <col min="11521" max="11521" width="13.73046875" customWidth="1"/>
    <col min="11522" max="11522" width="11.265625" customWidth="1"/>
    <col min="11523" max="11523" width="10.3984375" customWidth="1"/>
    <col min="11524" max="11524" width="9.265625" customWidth="1"/>
    <col min="11525" max="11525" width="9.59765625" customWidth="1"/>
    <col min="11526" max="11526" width="17.1328125" bestFit="1" customWidth="1"/>
    <col min="11527" max="11527" width="14.86328125" customWidth="1"/>
    <col min="11528" max="11528" width="9.59765625" bestFit="1" customWidth="1"/>
    <col min="11529" max="11529" width="10.59765625" customWidth="1"/>
    <col min="11530" max="11530" width="11.73046875" customWidth="1"/>
    <col min="11531" max="11531" width="10.265625" customWidth="1"/>
    <col min="11532" max="11532" width="13.86328125" customWidth="1"/>
    <col min="11533" max="11533" width="10.3984375" customWidth="1"/>
    <col min="11534" max="11534" width="10.86328125" customWidth="1"/>
    <col min="11535" max="11535" width="13.86328125" customWidth="1"/>
    <col min="11536" max="11536" width="10.59765625" customWidth="1"/>
    <col min="11537" max="11537" width="9.3984375" customWidth="1"/>
    <col min="11538" max="11538" width="6.73046875" customWidth="1"/>
    <col min="11539" max="11539" width="9.1328125" customWidth="1"/>
    <col min="11540" max="11547" width="11.265625" customWidth="1"/>
    <col min="11548" max="11563" width="0" hidden="1" customWidth="1"/>
    <col min="11564" max="11564" width="12.73046875" customWidth="1"/>
    <col min="11565" max="11565" width="9.1328125" customWidth="1"/>
    <col min="11566" max="11566" width="8.265625" customWidth="1"/>
    <col min="11567" max="11567" width="8.73046875" customWidth="1"/>
    <col min="11568" max="11568" width="10.59765625" customWidth="1"/>
    <col min="11569" max="11571" width="8.73046875" customWidth="1"/>
    <col min="11572" max="11592" width="0" hidden="1" customWidth="1"/>
    <col min="11593" max="11597" width="15.265625" customWidth="1"/>
    <col min="11774" max="11774" width="6" customWidth="1"/>
    <col min="11775" max="11775" width="29.86328125" customWidth="1"/>
    <col min="11776" max="11776" width="11.3984375" customWidth="1"/>
    <col min="11777" max="11777" width="13.73046875" customWidth="1"/>
    <col min="11778" max="11778" width="11.265625" customWidth="1"/>
    <col min="11779" max="11779" width="10.3984375" customWidth="1"/>
    <col min="11780" max="11780" width="9.265625" customWidth="1"/>
    <col min="11781" max="11781" width="9.59765625" customWidth="1"/>
    <col min="11782" max="11782" width="17.1328125" bestFit="1" customWidth="1"/>
    <col min="11783" max="11783" width="14.86328125" customWidth="1"/>
    <col min="11784" max="11784" width="9.59765625" bestFit="1" customWidth="1"/>
    <col min="11785" max="11785" width="10.59765625" customWidth="1"/>
    <col min="11786" max="11786" width="11.73046875" customWidth="1"/>
    <col min="11787" max="11787" width="10.265625" customWidth="1"/>
    <col min="11788" max="11788" width="13.86328125" customWidth="1"/>
    <col min="11789" max="11789" width="10.3984375" customWidth="1"/>
    <col min="11790" max="11790" width="10.86328125" customWidth="1"/>
    <col min="11791" max="11791" width="13.86328125" customWidth="1"/>
    <col min="11792" max="11792" width="10.59765625" customWidth="1"/>
    <col min="11793" max="11793" width="9.3984375" customWidth="1"/>
    <col min="11794" max="11794" width="6.73046875" customWidth="1"/>
    <col min="11795" max="11795" width="9.1328125" customWidth="1"/>
    <col min="11796" max="11803" width="11.265625" customWidth="1"/>
    <col min="11804" max="11819" width="0" hidden="1" customWidth="1"/>
    <col min="11820" max="11820" width="12.73046875" customWidth="1"/>
    <col min="11821" max="11821" width="9.1328125" customWidth="1"/>
    <col min="11822" max="11822" width="8.265625" customWidth="1"/>
    <col min="11823" max="11823" width="8.73046875" customWidth="1"/>
    <col min="11824" max="11824" width="10.59765625" customWidth="1"/>
    <col min="11825" max="11827" width="8.73046875" customWidth="1"/>
    <col min="11828" max="11848" width="0" hidden="1" customWidth="1"/>
    <col min="11849" max="11853" width="15.265625" customWidth="1"/>
    <col min="12030" max="12030" width="6" customWidth="1"/>
    <col min="12031" max="12031" width="29.86328125" customWidth="1"/>
    <col min="12032" max="12032" width="11.3984375" customWidth="1"/>
    <col min="12033" max="12033" width="13.73046875" customWidth="1"/>
    <col min="12034" max="12034" width="11.265625" customWidth="1"/>
    <col min="12035" max="12035" width="10.3984375" customWidth="1"/>
    <col min="12036" max="12036" width="9.265625" customWidth="1"/>
    <col min="12037" max="12037" width="9.59765625" customWidth="1"/>
    <col min="12038" max="12038" width="17.1328125" bestFit="1" customWidth="1"/>
    <col min="12039" max="12039" width="14.86328125" customWidth="1"/>
    <col min="12040" max="12040" width="9.59765625" bestFit="1" customWidth="1"/>
    <col min="12041" max="12041" width="10.59765625" customWidth="1"/>
    <col min="12042" max="12042" width="11.73046875" customWidth="1"/>
    <col min="12043" max="12043" width="10.265625" customWidth="1"/>
    <col min="12044" max="12044" width="13.86328125" customWidth="1"/>
    <col min="12045" max="12045" width="10.3984375" customWidth="1"/>
    <col min="12046" max="12046" width="10.86328125" customWidth="1"/>
    <col min="12047" max="12047" width="13.86328125" customWidth="1"/>
    <col min="12048" max="12048" width="10.59765625" customWidth="1"/>
    <col min="12049" max="12049" width="9.3984375" customWidth="1"/>
    <col min="12050" max="12050" width="6.73046875" customWidth="1"/>
    <col min="12051" max="12051" width="9.1328125" customWidth="1"/>
    <col min="12052" max="12059" width="11.265625" customWidth="1"/>
    <col min="12060" max="12075" width="0" hidden="1" customWidth="1"/>
    <col min="12076" max="12076" width="12.73046875" customWidth="1"/>
    <col min="12077" max="12077" width="9.1328125" customWidth="1"/>
    <col min="12078" max="12078" width="8.265625" customWidth="1"/>
    <col min="12079" max="12079" width="8.73046875" customWidth="1"/>
    <col min="12080" max="12080" width="10.59765625" customWidth="1"/>
    <col min="12081" max="12083" width="8.73046875" customWidth="1"/>
    <col min="12084" max="12104" width="0" hidden="1" customWidth="1"/>
    <col min="12105" max="12109" width="15.265625" customWidth="1"/>
    <col min="12286" max="12286" width="6" customWidth="1"/>
    <col min="12287" max="12287" width="29.86328125" customWidth="1"/>
    <col min="12288" max="12288" width="11.3984375" customWidth="1"/>
    <col min="12289" max="12289" width="13.73046875" customWidth="1"/>
    <col min="12290" max="12290" width="11.265625" customWidth="1"/>
    <col min="12291" max="12291" width="10.3984375" customWidth="1"/>
    <col min="12292" max="12292" width="9.265625" customWidth="1"/>
    <col min="12293" max="12293" width="9.59765625" customWidth="1"/>
    <col min="12294" max="12294" width="17.1328125" bestFit="1" customWidth="1"/>
    <col min="12295" max="12295" width="14.86328125" customWidth="1"/>
    <col min="12296" max="12296" width="9.59765625" bestFit="1" customWidth="1"/>
    <col min="12297" max="12297" width="10.59765625" customWidth="1"/>
    <col min="12298" max="12298" width="11.73046875" customWidth="1"/>
    <col min="12299" max="12299" width="10.265625" customWidth="1"/>
    <col min="12300" max="12300" width="13.86328125" customWidth="1"/>
    <col min="12301" max="12301" width="10.3984375" customWidth="1"/>
    <col min="12302" max="12302" width="10.86328125" customWidth="1"/>
    <col min="12303" max="12303" width="13.86328125" customWidth="1"/>
    <col min="12304" max="12304" width="10.59765625" customWidth="1"/>
    <col min="12305" max="12305" width="9.3984375" customWidth="1"/>
    <col min="12306" max="12306" width="6.73046875" customWidth="1"/>
    <col min="12307" max="12307" width="9.1328125" customWidth="1"/>
    <col min="12308" max="12315" width="11.265625" customWidth="1"/>
    <col min="12316" max="12331" width="0" hidden="1" customWidth="1"/>
    <col min="12332" max="12332" width="12.73046875" customWidth="1"/>
    <col min="12333" max="12333" width="9.1328125" customWidth="1"/>
    <col min="12334" max="12334" width="8.265625" customWidth="1"/>
    <col min="12335" max="12335" width="8.73046875" customWidth="1"/>
    <col min="12336" max="12336" width="10.59765625" customWidth="1"/>
    <col min="12337" max="12339" width="8.73046875" customWidth="1"/>
    <col min="12340" max="12360" width="0" hidden="1" customWidth="1"/>
    <col min="12361" max="12365" width="15.265625" customWidth="1"/>
    <col min="12542" max="12542" width="6" customWidth="1"/>
    <col min="12543" max="12543" width="29.86328125" customWidth="1"/>
    <col min="12544" max="12544" width="11.3984375" customWidth="1"/>
    <col min="12545" max="12545" width="13.73046875" customWidth="1"/>
    <col min="12546" max="12546" width="11.265625" customWidth="1"/>
    <col min="12547" max="12547" width="10.3984375" customWidth="1"/>
    <col min="12548" max="12548" width="9.265625" customWidth="1"/>
    <col min="12549" max="12549" width="9.59765625" customWidth="1"/>
    <col min="12550" max="12550" width="17.1328125" bestFit="1" customWidth="1"/>
    <col min="12551" max="12551" width="14.86328125" customWidth="1"/>
    <col min="12552" max="12552" width="9.59765625" bestFit="1" customWidth="1"/>
    <col min="12553" max="12553" width="10.59765625" customWidth="1"/>
    <col min="12554" max="12554" width="11.73046875" customWidth="1"/>
    <col min="12555" max="12555" width="10.265625" customWidth="1"/>
    <col min="12556" max="12556" width="13.86328125" customWidth="1"/>
    <col min="12557" max="12557" width="10.3984375" customWidth="1"/>
    <col min="12558" max="12558" width="10.86328125" customWidth="1"/>
    <col min="12559" max="12559" width="13.86328125" customWidth="1"/>
    <col min="12560" max="12560" width="10.59765625" customWidth="1"/>
    <col min="12561" max="12561" width="9.3984375" customWidth="1"/>
    <col min="12562" max="12562" width="6.73046875" customWidth="1"/>
    <col min="12563" max="12563" width="9.1328125" customWidth="1"/>
    <col min="12564" max="12571" width="11.265625" customWidth="1"/>
    <col min="12572" max="12587" width="0" hidden="1" customWidth="1"/>
    <col min="12588" max="12588" width="12.73046875" customWidth="1"/>
    <col min="12589" max="12589" width="9.1328125" customWidth="1"/>
    <col min="12590" max="12590" width="8.265625" customWidth="1"/>
    <col min="12591" max="12591" width="8.73046875" customWidth="1"/>
    <col min="12592" max="12592" width="10.59765625" customWidth="1"/>
    <col min="12593" max="12595" width="8.73046875" customWidth="1"/>
    <col min="12596" max="12616" width="0" hidden="1" customWidth="1"/>
    <col min="12617" max="12621" width="15.265625" customWidth="1"/>
    <col min="12798" max="12798" width="6" customWidth="1"/>
    <col min="12799" max="12799" width="29.86328125" customWidth="1"/>
    <col min="12800" max="12800" width="11.3984375" customWidth="1"/>
    <col min="12801" max="12801" width="13.73046875" customWidth="1"/>
    <col min="12802" max="12802" width="11.265625" customWidth="1"/>
    <col min="12803" max="12803" width="10.3984375" customWidth="1"/>
    <col min="12804" max="12804" width="9.265625" customWidth="1"/>
    <col min="12805" max="12805" width="9.59765625" customWidth="1"/>
    <col min="12806" max="12806" width="17.1328125" bestFit="1" customWidth="1"/>
    <col min="12807" max="12807" width="14.86328125" customWidth="1"/>
    <col min="12808" max="12808" width="9.59765625" bestFit="1" customWidth="1"/>
    <col min="12809" max="12809" width="10.59765625" customWidth="1"/>
    <col min="12810" max="12810" width="11.73046875" customWidth="1"/>
    <col min="12811" max="12811" width="10.265625" customWidth="1"/>
    <col min="12812" max="12812" width="13.86328125" customWidth="1"/>
    <col min="12813" max="12813" width="10.3984375" customWidth="1"/>
    <col min="12814" max="12814" width="10.86328125" customWidth="1"/>
    <col min="12815" max="12815" width="13.86328125" customWidth="1"/>
    <col min="12816" max="12816" width="10.59765625" customWidth="1"/>
    <col min="12817" max="12817" width="9.3984375" customWidth="1"/>
    <col min="12818" max="12818" width="6.73046875" customWidth="1"/>
    <col min="12819" max="12819" width="9.1328125" customWidth="1"/>
    <col min="12820" max="12827" width="11.265625" customWidth="1"/>
    <col min="12828" max="12843" width="0" hidden="1" customWidth="1"/>
    <col min="12844" max="12844" width="12.73046875" customWidth="1"/>
    <col min="12845" max="12845" width="9.1328125" customWidth="1"/>
    <col min="12846" max="12846" width="8.265625" customWidth="1"/>
    <col min="12847" max="12847" width="8.73046875" customWidth="1"/>
    <col min="12848" max="12848" width="10.59765625" customWidth="1"/>
    <col min="12849" max="12851" width="8.73046875" customWidth="1"/>
    <col min="12852" max="12872" width="0" hidden="1" customWidth="1"/>
    <col min="12873" max="12877" width="15.265625" customWidth="1"/>
    <col min="13054" max="13054" width="6" customWidth="1"/>
    <col min="13055" max="13055" width="29.86328125" customWidth="1"/>
    <col min="13056" max="13056" width="11.3984375" customWidth="1"/>
    <col min="13057" max="13057" width="13.73046875" customWidth="1"/>
    <col min="13058" max="13058" width="11.265625" customWidth="1"/>
    <col min="13059" max="13059" width="10.3984375" customWidth="1"/>
    <col min="13060" max="13060" width="9.265625" customWidth="1"/>
    <col min="13061" max="13061" width="9.59765625" customWidth="1"/>
    <col min="13062" max="13062" width="17.1328125" bestFit="1" customWidth="1"/>
    <col min="13063" max="13063" width="14.86328125" customWidth="1"/>
    <col min="13064" max="13064" width="9.59765625" bestFit="1" customWidth="1"/>
    <col min="13065" max="13065" width="10.59765625" customWidth="1"/>
    <col min="13066" max="13066" width="11.73046875" customWidth="1"/>
    <col min="13067" max="13067" width="10.265625" customWidth="1"/>
    <col min="13068" max="13068" width="13.86328125" customWidth="1"/>
    <col min="13069" max="13069" width="10.3984375" customWidth="1"/>
    <col min="13070" max="13070" width="10.86328125" customWidth="1"/>
    <col min="13071" max="13071" width="13.86328125" customWidth="1"/>
    <col min="13072" max="13072" width="10.59765625" customWidth="1"/>
    <col min="13073" max="13073" width="9.3984375" customWidth="1"/>
    <col min="13074" max="13074" width="6.73046875" customWidth="1"/>
    <col min="13075" max="13075" width="9.1328125" customWidth="1"/>
    <col min="13076" max="13083" width="11.265625" customWidth="1"/>
    <col min="13084" max="13099" width="0" hidden="1" customWidth="1"/>
    <col min="13100" max="13100" width="12.73046875" customWidth="1"/>
    <col min="13101" max="13101" width="9.1328125" customWidth="1"/>
    <col min="13102" max="13102" width="8.265625" customWidth="1"/>
    <col min="13103" max="13103" width="8.73046875" customWidth="1"/>
    <col min="13104" max="13104" width="10.59765625" customWidth="1"/>
    <col min="13105" max="13107" width="8.73046875" customWidth="1"/>
    <col min="13108" max="13128" width="0" hidden="1" customWidth="1"/>
    <col min="13129" max="13133" width="15.265625" customWidth="1"/>
    <col min="13310" max="13310" width="6" customWidth="1"/>
    <col min="13311" max="13311" width="29.86328125" customWidth="1"/>
    <col min="13312" max="13312" width="11.3984375" customWidth="1"/>
    <col min="13313" max="13313" width="13.73046875" customWidth="1"/>
    <col min="13314" max="13314" width="11.265625" customWidth="1"/>
    <col min="13315" max="13315" width="10.3984375" customWidth="1"/>
    <col min="13316" max="13316" width="9.265625" customWidth="1"/>
    <col min="13317" max="13317" width="9.59765625" customWidth="1"/>
    <col min="13318" max="13318" width="17.1328125" bestFit="1" customWidth="1"/>
    <col min="13319" max="13319" width="14.86328125" customWidth="1"/>
    <col min="13320" max="13320" width="9.59765625" bestFit="1" customWidth="1"/>
    <col min="13321" max="13321" width="10.59765625" customWidth="1"/>
    <col min="13322" max="13322" width="11.73046875" customWidth="1"/>
    <col min="13323" max="13323" width="10.265625" customWidth="1"/>
    <col min="13324" max="13324" width="13.86328125" customWidth="1"/>
    <col min="13325" max="13325" width="10.3984375" customWidth="1"/>
    <col min="13326" max="13326" width="10.86328125" customWidth="1"/>
    <col min="13327" max="13327" width="13.86328125" customWidth="1"/>
    <col min="13328" max="13328" width="10.59765625" customWidth="1"/>
    <col min="13329" max="13329" width="9.3984375" customWidth="1"/>
    <col min="13330" max="13330" width="6.73046875" customWidth="1"/>
    <col min="13331" max="13331" width="9.1328125" customWidth="1"/>
    <col min="13332" max="13339" width="11.265625" customWidth="1"/>
    <col min="13340" max="13355" width="0" hidden="1" customWidth="1"/>
    <col min="13356" max="13356" width="12.73046875" customWidth="1"/>
    <col min="13357" max="13357" width="9.1328125" customWidth="1"/>
    <col min="13358" max="13358" width="8.265625" customWidth="1"/>
    <col min="13359" max="13359" width="8.73046875" customWidth="1"/>
    <col min="13360" max="13360" width="10.59765625" customWidth="1"/>
    <col min="13361" max="13363" width="8.73046875" customWidth="1"/>
    <col min="13364" max="13384" width="0" hidden="1" customWidth="1"/>
    <col min="13385" max="13389" width="15.265625" customWidth="1"/>
    <col min="13566" max="13566" width="6" customWidth="1"/>
    <col min="13567" max="13567" width="29.86328125" customWidth="1"/>
    <col min="13568" max="13568" width="11.3984375" customWidth="1"/>
    <col min="13569" max="13569" width="13.73046875" customWidth="1"/>
    <col min="13570" max="13570" width="11.265625" customWidth="1"/>
    <col min="13571" max="13571" width="10.3984375" customWidth="1"/>
    <col min="13572" max="13572" width="9.265625" customWidth="1"/>
    <col min="13573" max="13573" width="9.59765625" customWidth="1"/>
    <col min="13574" max="13574" width="17.1328125" bestFit="1" customWidth="1"/>
    <col min="13575" max="13575" width="14.86328125" customWidth="1"/>
    <col min="13576" max="13576" width="9.59765625" bestFit="1" customWidth="1"/>
    <col min="13577" max="13577" width="10.59765625" customWidth="1"/>
    <col min="13578" max="13578" width="11.73046875" customWidth="1"/>
    <col min="13579" max="13579" width="10.265625" customWidth="1"/>
    <col min="13580" max="13580" width="13.86328125" customWidth="1"/>
    <col min="13581" max="13581" width="10.3984375" customWidth="1"/>
    <col min="13582" max="13582" width="10.86328125" customWidth="1"/>
    <col min="13583" max="13583" width="13.86328125" customWidth="1"/>
    <col min="13584" max="13584" width="10.59765625" customWidth="1"/>
    <col min="13585" max="13585" width="9.3984375" customWidth="1"/>
    <col min="13586" max="13586" width="6.73046875" customWidth="1"/>
    <col min="13587" max="13587" width="9.1328125" customWidth="1"/>
    <col min="13588" max="13595" width="11.265625" customWidth="1"/>
    <col min="13596" max="13611" width="0" hidden="1" customWidth="1"/>
    <col min="13612" max="13612" width="12.73046875" customWidth="1"/>
    <col min="13613" max="13613" width="9.1328125" customWidth="1"/>
    <col min="13614" max="13614" width="8.265625" customWidth="1"/>
    <col min="13615" max="13615" width="8.73046875" customWidth="1"/>
    <col min="13616" max="13616" width="10.59765625" customWidth="1"/>
    <col min="13617" max="13619" width="8.73046875" customWidth="1"/>
    <col min="13620" max="13640" width="0" hidden="1" customWidth="1"/>
    <col min="13641" max="13645" width="15.265625" customWidth="1"/>
    <col min="13822" max="13822" width="6" customWidth="1"/>
    <col min="13823" max="13823" width="29.86328125" customWidth="1"/>
    <col min="13824" max="13824" width="11.3984375" customWidth="1"/>
    <col min="13825" max="13825" width="13.73046875" customWidth="1"/>
    <col min="13826" max="13826" width="11.265625" customWidth="1"/>
    <col min="13827" max="13827" width="10.3984375" customWidth="1"/>
    <col min="13828" max="13828" width="9.265625" customWidth="1"/>
    <col min="13829" max="13829" width="9.59765625" customWidth="1"/>
    <col min="13830" max="13830" width="17.1328125" bestFit="1" customWidth="1"/>
    <col min="13831" max="13831" width="14.86328125" customWidth="1"/>
    <col min="13832" max="13832" width="9.59765625" bestFit="1" customWidth="1"/>
    <col min="13833" max="13833" width="10.59765625" customWidth="1"/>
    <col min="13834" max="13834" width="11.73046875" customWidth="1"/>
    <col min="13835" max="13835" width="10.265625" customWidth="1"/>
    <col min="13836" max="13836" width="13.86328125" customWidth="1"/>
    <col min="13837" max="13837" width="10.3984375" customWidth="1"/>
    <col min="13838" max="13838" width="10.86328125" customWidth="1"/>
    <col min="13839" max="13839" width="13.86328125" customWidth="1"/>
    <col min="13840" max="13840" width="10.59765625" customWidth="1"/>
    <col min="13841" max="13841" width="9.3984375" customWidth="1"/>
    <col min="13842" max="13842" width="6.73046875" customWidth="1"/>
    <col min="13843" max="13843" width="9.1328125" customWidth="1"/>
    <col min="13844" max="13851" width="11.265625" customWidth="1"/>
    <col min="13852" max="13867" width="0" hidden="1" customWidth="1"/>
    <col min="13868" max="13868" width="12.73046875" customWidth="1"/>
    <col min="13869" max="13869" width="9.1328125" customWidth="1"/>
    <col min="13870" max="13870" width="8.265625" customWidth="1"/>
    <col min="13871" max="13871" width="8.73046875" customWidth="1"/>
    <col min="13872" max="13872" width="10.59765625" customWidth="1"/>
    <col min="13873" max="13875" width="8.73046875" customWidth="1"/>
    <col min="13876" max="13896" width="0" hidden="1" customWidth="1"/>
    <col min="13897" max="13901" width="15.265625" customWidth="1"/>
    <col min="14078" max="14078" width="6" customWidth="1"/>
    <col min="14079" max="14079" width="29.86328125" customWidth="1"/>
    <col min="14080" max="14080" width="11.3984375" customWidth="1"/>
    <col min="14081" max="14081" width="13.73046875" customWidth="1"/>
    <col min="14082" max="14082" width="11.265625" customWidth="1"/>
    <col min="14083" max="14083" width="10.3984375" customWidth="1"/>
    <col min="14084" max="14084" width="9.265625" customWidth="1"/>
    <col min="14085" max="14085" width="9.59765625" customWidth="1"/>
    <col min="14086" max="14086" width="17.1328125" bestFit="1" customWidth="1"/>
    <col min="14087" max="14087" width="14.86328125" customWidth="1"/>
    <col min="14088" max="14088" width="9.59765625" bestFit="1" customWidth="1"/>
    <col min="14089" max="14089" width="10.59765625" customWidth="1"/>
    <col min="14090" max="14090" width="11.73046875" customWidth="1"/>
    <col min="14091" max="14091" width="10.265625" customWidth="1"/>
    <col min="14092" max="14092" width="13.86328125" customWidth="1"/>
    <col min="14093" max="14093" width="10.3984375" customWidth="1"/>
    <col min="14094" max="14094" width="10.86328125" customWidth="1"/>
    <col min="14095" max="14095" width="13.86328125" customWidth="1"/>
    <col min="14096" max="14096" width="10.59765625" customWidth="1"/>
    <col min="14097" max="14097" width="9.3984375" customWidth="1"/>
    <col min="14098" max="14098" width="6.73046875" customWidth="1"/>
    <col min="14099" max="14099" width="9.1328125" customWidth="1"/>
    <col min="14100" max="14107" width="11.265625" customWidth="1"/>
    <col min="14108" max="14123" width="0" hidden="1" customWidth="1"/>
    <col min="14124" max="14124" width="12.73046875" customWidth="1"/>
    <col min="14125" max="14125" width="9.1328125" customWidth="1"/>
    <col min="14126" max="14126" width="8.265625" customWidth="1"/>
    <col min="14127" max="14127" width="8.73046875" customWidth="1"/>
    <col min="14128" max="14128" width="10.59765625" customWidth="1"/>
    <col min="14129" max="14131" width="8.73046875" customWidth="1"/>
    <col min="14132" max="14152" width="0" hidden="1" customWidth="1"/>
    <col min="14153" max="14157" width="15.265625" customWidth="1"/>
    <col min="14334" max="14334" width="6" customWidth="1"/>
    <col min="14335" max="14335" width="29.86328125" customWidth="1"/>
    <col min="14336" max="14336" width="11.3984375" customWidth="1"/>
    <col min="14337" max="14337" width="13.73046875" customWidth="1"/>
    <col min="14338" max="14338" width="11.265625" customWidth="1"/>
    <col min="14339" max="14339" width="10.3984375" customWidth="1"/>
    <col min="14340" max="14340" width="9.265625" customWidth="1"/>
    <col min="14341" max="14341" width="9.59765625" customWidth="1"/>
    <col min="14342" max="14342" width="17.1328125" bestFit="1" customWidth="1"/>
    <col min="14343" max="14343" width="14.86328125" customWidth="1"/>
    <col min="14344" max="14344" width="9.59765625" bestFit="1" customWidth="1"/>
    <col min="14345" max="14345" width="10.59765625" customWidth="1"/>
    <col min="14346" max="14346" width="11.73046875" customWidth="1"/>
    <col min="14347" max="14347" width="10.265625" customWidth="1"/>
    <col min="14348" max="14348" width="13.86328125" customWidth="1"/>
    <col min="14349" max="14349" width="10.3984375" customWidth="1"/>
    <col min="14350" max="14350" width="10.86328125" customWidth="1"/>
    <col min="14351" max="14351" width="13.86328125" customWidth="1"/>
    <col min="14352" max="14352" width="10.59765625" customWidth="1"/>
    <col min="14353" max="14353" width="9.3984375" customWidth="1"/>
    <col min="14354" max="14354" width="6.73046875" customWidth="1"/>
    <col min="14355" max="14355" width="9.1328125" customWidth="1"/>
    <col min="14356" max="14363" width="11.265625" customWidth="1"/>
    <col min="14364" max="14379" width="0" hidden="1" customWidth="1"/>
    <col min="14380" max="14380" width="12.73046875" customWidth="1"/>
    <col min="14381" max="14381" width="9.1328125" customWidth="1"/>
    <col min="14382" max="14382" width="8.265625" customWidth="1"/>
    <col min="14383" max="14383" width="8.73046875" customWidth="1"/>
    <col min="14384" max="14384" width="10.59765625" customWidth="1"/>
    <col min="14385" max="14387" width="8.73046875" customWidth="1"/>
    <col min="14388" max="14408" width="0" hidden="1" customWidth="1"/>
    <col min="14409" max="14413" width="15.265625" customWidth="1"/>
    <col min="14590" max="14590" width="6" customWidth="1"/>
    <col min="14591" max="14591" width="29.86328125" customWidth="1"/>
    <col min="14592" max="14592" width="11.3984375" customWidth="1"/>
    <col min="14593" max="14593" width="13.73046875" customWidth="1"/>
    <col min="14594" max="14594" width="11.265625" customWidth="1"/>
    <col min="14595" max="14595" width="10.3984375" customWidth="1"/>
    <col min="14596" max="14596" width="9.265625" customWidth="1"/>
    <col min="14597" max="14597" width="9.59765625" customWidth="1"/>
    <col min="14598" max="14598" width="17.1328125" bestFit="1" customWidth="1"/>
    <col min="14599" max="14599" width="14.86328125" customWidth="1"/>
    <col min="14600" max="14600" width="9.59765625" bestFit="1" customWidth="1"/>
    <col min="14601" max="14601" width="10.59765625" customWidth="1"/>
    <col min="14602" max="14602" width="11.73046875" customWidth="1"/>
    <col min="14603" max="14603" width="10.265625" customWidth="1"/>
    <col min="14604" max="14604" width="13.86328125" customWidth="1"/>
    <col min="14605" max="14605" width="10.3984375" customWidth="1"/>
    <col min="14606" max="14606" width="10.86328125" customWidth="1"/>
    <col min="14607" max="14607" width="13.86328125" customWidth="1"/>
    <col min="14608" max="14608" width="10.59765625" customWidth="1"/>
    <col min="14609" max="14609" width="9.3984375" customWidth="1"/>
    <col min="14610" max="14610" width="6.73046875" customWidth="1"/>
    <col min="14611" max="14611" width="9.1328125" customWidth="1"/>
    <col min="14612" max="14619" width="11.265625" customWidth="1"/>
    <col min="14620" max="14635" width="0" hidden="1" customWidth="1"/>
    <col min="14636" max="14636" width="12.73046875" customWidth="1"/>
    <col min="14637" max="14637" width="9.1328125" customWidth="1"/>
    <col min="14638" max="14638" width="8.265625" customWidth="1"/>
    <col min="14639" max="14639" width="8.73046875" customWidth="1"/>
    <col min="14640" max="14640" width="10.59765625" customWidth="1"/>
    <col min="14641" max="14643" width="8.73046875" customWidth="1"/>
    <col min="14644" max="14664" width="0" hidden="1" customWidth="1"/>
    <col min="14665" max="14669" width="15.265625" customWidth="1"/>
    <col min="14846" max="14846" width="6" customWidth="1"/>
    <col min="14847" max="14847" width="29.86328125" customWidth="1"/>
    <col min="14848" max="14848" width="11.3984375" customWidth="1"/>
    <col min="14849" max="14849" width="13.73046875" customWidth="1"/>
    <col min="14850" max="14850" width="11.265625" customWidth="1"/>
    <col min="14851" max="14851" width="10.3984375" customWidth="1"/>
    <col min="14852" max="14852" width="9.265625" customWidth="1"/>
    <col min="14853" max="14853" width="9.59765625" customWidth="1"/>
    <col min="14854" max="14854" width="17.1328125" bestFit="1" customWidth="1"/>
    <col min="14855" max="14855" width="14.86328125" customWidth="1"/>
    <col min="14856" max="14856" width="9.59765625" bestFit="1" customWidth="1"/>
    <col min="14857" max="14857" width="10.59765625" customWidth="1"/>
    <col min="14858" max="14858" width="11.73046875" customWidth="1"/>
    <col min="14859" max="14859" width="10.265625" customWidth="1"/>
    <col min="14860" max="14860" width="13.86328125" customWidth="1"/>
    <col min="14861" max="14861" width="10.3984375" customWidth="1"/>
    <col min="14862" max="14862" width="10.86328125" customWidth="1"/>
    <col min="14863" max="14863" width="13.86328125" customWidth="1"/>
    <col min="14864" max="14864" width="10.59765625" customWidth="1"/>
    <col min="14865" max="14865" width="9.3984375" customWidth="1"/>
    <col min="14866" max="14866" width="6.73046875" customWidth="1"/>
    <col min="14867" max="14867" width="9.1328125" customWidth="1"/>
    <col min="14868" max="14875" width="11.265625" customWidth="1"/>
    <col min="14876" max="14891" width="0" hidden="1" customWidth="1"/>
    <col min="14892" max="14892" width="12.73046875" customWidth="1"/>
    <col min="14893" max="14893" width="9.1328125" customWidth="1"/>
    <col min="14894" max="14894" width="8.265625" customWidth="1"/>
    <col min="14895" max="14895" width="8.73046875" customWidth="1"/>
    <col min="14896" max="14896" width="10.59765625" customWidth="1"/>
    <col min="14897" max="14899" width="8.73046875" customWidth="1"/>
    <col min="14900" max="14920" width="0" hidden="1" customWidth="1"/>
    <col min="14921" max="14925" width="15.265625" customWidth="1"/>
    <col min="15102" max="15102" width="6" customWidth="1"/>
    <col min="15103" max="15103" width="29.86328125" customWidth="1"/>
    <col min="15104" max="15104" width="11.3984375" customWidth="1"/>
    <col min="15105" max="15105" width="13.73046875" customWidth="1"/>
    <col min="15106" max="15106" width="11.265625" customWidth="1"/>
    <col min="15107" max="15107" width="10.3984375" customWidth="1"/>
    <col min="15108" max="15108" width="9.265625" customWidth="1"/>
    <col min="15109" max="15109" width="9.59765625" customWidth="1"/>
    <col min="15110" max="15110" width="17.1328125" bestFit="1" customWidth="1"/>
    <col min="15111" max="15111" width="14.86328125" customWidth="1"/>
    <col min="15112" max="15112" width="9.59765625" bestFit="1" customWidth="1"/>
    <col min="15113" max="15113" width="10.59765625" customWidth="1"/>
    <col min="15114" max="15114" width="11.73046875" customWidth="1"/>
    <col min="15115" max="15115" width="10.265625" customWidth="1"/>
    <col min="15116" max="15116" width="13.86328125" customWidth="1"/>
    <col min="15117" max="15117" width="10.3984375" customWidth="1"/>
    <col min="15118" max="15118" width="10.86328125" customWidth="1"/>
    <col min="15119" max="15119" width="13.86328125" customWidth="1"/>
    <col min="15120" max="15120" width="10.59765625" customWidth="1"/>
    <col min="15121" max="15121" width="9.3984375" customWidth="1"/>
    <col min="15122" max="15122" width="6.73046875" customWidth="1"/>
    <col min="15123" max="15123" width="9.1328125" customWidth="1"/>
    <col min="15124" max="15131" width="11.265625" customWidth="1"/>
    <col min="15132" max="15147" width="0" hidden="1" customWidth="1"/>
    <col min="15148" max="15148" width="12.73046875" customWidth="1"/>
    <col min="15149" max="15149" width="9.1328125" customWidth="1"/>
    <col min="15150" max="15150" width="8.265625" customWidth="1"/>
    <col min="15151" max="15151" width="8.73046875" customWidth="1"/>
    <col min="15152" max="15152" width="10.59765625" customWidth="1"/>
    <col min="15153" max="15155" width="8.73046875" customWidth="1"/>
    <col min="15156" max="15176" width="0" hidden="1" customWidth="1"/>
    <col min="15177" max="15181" width="15.265625" customWidth="1"/>
    <col min="15358" max="15358" width="6" customWidth="1"/>
    <col min="15359" max="15359" width="29.86328125" customWidth="1"/>
    <col min="15360" max="15360" width="11.3984375" customWidth="1"/>
    <col min="15361" max="15361" width="13.73046875" customWidth="1"/>
    <col min="15362" max="15362" width="11.265625" customWidth="1"/>
    <col min="15363" max="15363" width="10.3984375" customWidth="1"/>
    <col min="15364" max="15364" width="9.265625" customWidth="1"/>
    <col min="15365" max="15365" width="9.59765625" customWidth="1"/>
    <col min="15366" max="15366" width="17.1328125" bestFit="1" customWidth="1"/>
    <col min="15367" max="15367" width="14.86328125" customWidth="1"/>
    <col min="15368" max="15368" width="9.59765625" bestFit="1" customWidth="1"/>
    <col min="15369" max="15369" width="10.59765625" customWidth="1"/>
    <col min="15370" max="15370" width="11.73046875" customWidth="1"/>
    <col min="15371" max="15371" width="10.265625" customWidth="1"/>
    <col min="15372" max="15372" width="13.86328125" customWidth="1"/>
    <col min="15373" max="15373" width="10.3984375" customWidth="1"/>
    <col min="15374" max="15374" width="10.86328125" customWidth="1"/>
    <col min="15375" max="15375" width="13.86328125" customWidth="1"/>
    <col min="15376" max="15376" width="10.59765625" customWidth="1"/>
    <col min="15377" max="15377" width="9.3984375" customWidth="1"/>
    <col min="15378" max="15378" width="6.73046875" customWidth="1"/>
    <col min="15379" max="15379" width="9.1328125" customWidth="1"/>
    <col min="15380" max="15387" width="11.265625" customWidth="1"/>
    <col min="15388" max="15403" width="0" hidden="1" customWidth="1"/>
    <col min="15404" max="15404" width="12.73046875" customWidth="1"/>
    <col min="15405" max="15405" width="9.1328125" customWidth="1"/>
    <col min="15406" max="15406" width="8.265625" customWidth="1"/>
    <col min="15407" max="15407" width="8.73046875" customWidth="1"/>
    <col min="15408" max="15408" width="10.59765625" customWidth="1"/>
    <col min="15409" max="15411" width="8.73046875" customWidth="1"/>
    <col min="15412" max="15432" width="0" hidden="1" customWidth="1"/>
    <col min="15433" max="15437" width="15.265625" customWidth="1"/>
    <col min="15614" max="15614" width="6" customWidth="1"/>
    <col min="15615" max="15615" width="29.86328125" customWidth="1"/>
    <col min="15616" max="15616" width="11.3984375" customWidth="1"/>
    <col min="15617" max="15617" width="13.73046875" customWidth="1"/>
    <col min="15618" max="15618" width="11.265625" customWidth="1"/>
    <col min="15619" max="15619" width="10.3984375" customWidth="1"/>
    <col min="15620" max="15620" width="9.265625" customWidth="1"/>
    <col min="15621" max="15621" width="9.59765625" customWidth="1"/>
    <col min="15622" max="15622" width="17.1328125" bestFit="1" customWidth="1"/>
    <col min="15623" max="15623" width="14.86328125" customWidth="1"/>
    <col min="15624" max="15624" width="9.59765625" bestFit="1" customWidth="1"/>
    <col min="15625" max="15625" width="10.59765625" customWidth="1"/>
    <col min="15626" max="15626" width="11.73046875" customWidth="1"/>
    <col min="15627" max="15627" width="10.265625" customWidth="1"/>
    <col min="15628" max="15628" width="13.86328125" customWidth="1"/>
    <col min="15629" max="15629" width="10.3984375" customWidth="1"/>
    <col min="15630" max="15630" width="10.86328125" customWidth="1"/>
    <col min="15631" max="15631" width="13.86328125" customWidth="1"/>
    <col min="15632" max="15632" width="10.59765625" customWidth="1"/>
    <col min="15633" max="15633" width="9.3984375" customWidth="1"/>
    <col min="15634" max="15634" width="6.73046875" customWidth="1"/>
    <col min="15635" max="15635" width="9.1328125" customWidth="1"/>
    <col min="15636" max="15643" width="11.265625" customWidth="1"/>
    <col min="15644" max="15659" width="0" hidden="1" customWidth="1"/>
    <col min="15660" max="15660" width="12.73046875" customWidth="1"/>
    <col min="15661" max="15661" width="9.1328125" customWidth="1"/>
    <col min="15662" max="15662" width="8.265625" customWidth="1"/>
    <col min="15663" max="15663" width="8.73046875" customWidth="1"/>
    <col min="15664" max="15664" width="10.59765625" customWidth="1"/>
    <col min="15665" max="15667" width="8.73046875" customWidth="1"/>
    <col min="15668" max="15688" width="0" hidden="1" customWidth="1"/>
    <col min="15689" max="15693" width="15.265625" customWidth="1"/>
    <col min="15870" max="15870" width="6" customWidth="1"/>
    <col min="15871" max="15871" width="29.86328125" customWidth="1"/>
    <col min="15872" max="15872" width="11.3984375" customWidth="1"/>
    <col min="15873" max="15873" width="13.73046875" customWidth="1"/>
    <col min="15874" max="15874" width="11.265625" customWidth="1"/>
    <col min="15875" max="15875" width="10.3984375" customWidth="1"/>
    <col min="15876" max="15876" width="9.265625" customWidth="1"/>
    <col min="15877" max="15877" width="9.59765625" customWidth="1"/>
    <col min="15878" max="15878" width="17.1328125" bestFit="1" customWidth="1"/>
    <col min="15879" max="15879" width="14.86328125" customWidth="1"/>
    <col min="15880" max="15880" width="9.59765625" bestFit="1" customWidth="1"/>
    <col min="15881" max="15881" width="10.59765625" customWidth="1"/>
    <col min="15882" max="15882" width="11.73046875" customWidth="1"/>
    <col min="15883" max="15883" width="10.265625" customWidth="1"/>
    <col min="15884" max="15884" width="13.86328125" customWidth="1"/>
    <col min="15885" max="15885" width="10.3984375" customWidth="1"/>
    <col min="15886" max="15886" width="10.86328125" customWidth="1"/>
    <col min="15887" max="15887" width="13.86328125" customWidth="1"/>
    <col min="15888" max="15888" width="10.59765625" customWidth="1"/>
    <col min="15889" max="15889" width="9.3984375" customWidth="1"/>
    <col min="15890" max="15890" width="6.73046875" customWidth="1"/>
    <col min="15891" max="15891" width="9.1328125" customWidth="1"/>
    <col min="15892" max="15899" width="11.265625" customWidth="1"/>
    <col min="15900" max="15915" width="0" hidden="1" customWidth="1"/>
    <col min="15916" max="15916" width="12.73046875" customWidth="1"/>
    <col min="15917" max="15917" width="9.1328125" customWidth="1"/>
    <col min="15918" max="15918" width="8.265625" customWidth="1"/>
    <col min="15919" max="15919" width="8.73046875" customWidth="1"/>
    <col min="15920" max="15920" width="10.59765625" customWidth="1"/>
    <col min="15921" max="15923" width="8.73046875" customWidth="1"/>
    <col min="15924" max="15944" width="0" hidden="1" customWidth="1"/>
    <col min="15945" max="15949" width="15.265625" customWidth="1"/>
    <col min="16126" max="16126" width="6" customWidth="1"/>
    <col min="16127" max="16127" width="29.86328125" customWidth="1"/>
    <col min="16128" max="16128" width="11.3984375" customWidth="1"/>
    <col min="16129" max="16129" width="13.73046875" customWidth="1"/>
    <col min="16130" max="16130" width="11.265625" customWidth="1"/>
    <col min="16131" max="16131" width="10.3984375" customWidth="1"/>
    <col min="16132" max="16132" width="9.265625" customWidth="1"/>
    <col min="16133" max="16133" width="9.59765625" customWidth="1"/>
    <col min="16134" max="16134" width="17.1328125" bestFit="1" customWidth="1"/>
    <col min="16135" max="16135" width="14.86328125" customWidth="1"/>
    <col min="16136" max="16136" width="9.59765625" bestFit="1" customWidth="1"/>
    <col min="16137" max="16137" width="10.59765625" customWidth="1"/>
    <col min="16138" max="16138" width="11.73046875" customWidth="1"/>
    <col min="16139" max="16139" width="10.265625" customWidth="1"/>
    <col min="16140" max="16140" width="13.86328125" customWidth="1"/>
    <col min="16141" max="16141" width="10.3984375" customWidth="1"/>
    <col min="16142" max="16142" width="10.86328125" customWidth="1"/>
    <col min="16143" max="16143" width="13.86328125" customWidth="1"/>
    <col min="16144" max="16144" width="10.59765625" customWidth="1"/>
    <col min="16145" max="16145" width="9.3984375" customWidth="1"/>
    <col min="16146" max="16146" width="6.73046875" customWidth="1"/>
    <col min="16147" max="16147" width="9.1328125" customWidth="1"/>
    <col min="16148" max="16155" width="11.265625" customWidth="1"/>
    <col min="16156" max="16171" width="0" hidden="1" customWidth="1"/>
    <col min="16172" max="16172" width="12.73046875" customWidth="1"/>
    <col min="16173" max="16173" width="9.1328125" customWidth="1"/>
    <col min="16174" max="16174" width="8.265625" customWidth="1"/>
    <col min="16175" max="16175" width="8.73046875" customWidth="1"/>
    <col min="16176" max="16176" width="10.59765625" customWidth="1"/>
    <col min="16177" max="16179" width="8.73046875" customWidth="1"/>
    <col min="16180" max="16200" width="0" hidden="1" customWidth="1"/>
    <col min="16201" max="16205" width="15.265625" customWidth="1"/>
  </cols>
  <sheetData>
    <row r="1" spans="1:85" ht="23.25" customHeight="1">
      <c r="A1" s="888" t="s">
        <v>3656</v>
      </c>
      <c r="B1" s="888"/>
      <c r="C1" s="888"/>
      <c r="D1" s="888"/>
      <c r="E1" s="888"/>
      <c r="F1" s="888"/>
      <c r="G1" s="888"/>
      <c r="H1" s="888"/>
      <c r="I1" s="888"/>
      <c r="J1" s="888"/>
      <c r="K1" s="888"/>
      <c r="L1" s="888"/>
      <c r="M1" s="888"/>
      <c r="N1" s="888"/>
      <c r="O1" s="888"/>
      <c r="P1" s="888"/>
      <c r="Q1" s="888"/>
      <c r="R1" s="888"/>
      <c r="S1" s="888"/>
      <c r="T1" s="888"/>
      <c r="U1" s="888"/>
      <c r="V1" s="888"/>
      <c r="W1" s="888"/>
      <c r="X1" s="888"/>
      <c r="Y1" s="888"/>
      <c r="Z1" s="888"/>
      <c r="AA1" s="888"/>
      <c r="AB1" s="888"/>
      <c r="AC1" s="888"/>
      <c r="AD1" s="888"/>
      <c r="AE1" s="888"/>
      <c r="AF1" s="888"/>
      <c r="AG1" s="888"/>
      <c r="AH1" s="888"/>
      <c r="AI1" s="888"/>
      <c r="AJ1" s="888"/>
      <c r="AK1" s="888"/>
      <c r="AL1" s="888"/>
      <c r="AM1" s="888"/>
      <c r="AN1" s="888"/>
      <c r="AO1" s="888"/>
      <c r="AP1" s="888"/>
      <c r="AQ1" s="888"/>
      <c r="AR1" s="888"/>
      <c r="AS1" s="888"/>
      <c r="AT1" s="888"/>
      <c r="AU1" s="888"/>
      <c r="AV1" s="888"/>
      <c r="AW1" s="888"/>
      <c r="AX1" s="888"/>
      <c r="AY1" s="888"/>
      <c r="AZ1" s="888"/>
      <c r="BA1" s="888"/>
      <c r="BB1" s="888"/>
      <c r="BC1" s="888"/>
      <c r="BD1" s="888"/>
      <c r="BE1" s="888"/>
      <c r="BF1" s="888"/>
      <c r="BG1" s="888"/>
      <c r="BH1" s="888"/>
      <c r="BI1" s="888"/>
      <c r="BJ1" s="888"/>
      <c r="BK1" s="888"/>
      <c r="BL1" s="888"/>
      <c r="BM1" s="888"/>
      <c r="BN1" s="888"/>
      <c r="BO1" s="888"/>
      <c r="BP1" s="888"/>
      <c r="BQ1" s="888"/>
      <c r="BR1" s="888"/>
      <c r="BS1" s="888"/>
      <c r="BT1" s="888"/>
      <c r="BU1" s="512"/>
      <c r="BV1" s="512"/>
      <c r="BW1" s="619"/>
      <c r="BX1" s="512"/>
      <c r="BY1" s="512"/>
      <c r="BZ1" s="22"/>
      <c r="CA1" s="22"/>
      <c r="CB1" s="22"/>
    </row>
    <row r="2" spans="1:85" ht="17.649999999999999">
      <c r="A2" s="838" t="s">
        <v>3691</v>
      </c>
      <c r="B2" s="838"/>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8"/>
      <c r="AH2" s="838"/>
      <c r="AI2" s="838"/>
      <c r="AJ2" s="838"/>
      <c r="AK2" s="838"/>
      <c r="AL2" s="838"/>
      <c r="AM2" s="838"/>
      <c r="AN2" s="838"/>
      <c r="AO2" s="838"/>
      <c r="AP2" s="838"/>
      <c r="AQ2" s="838"/>
      <c r="AR2" s="838"/>
      <c r="AS2" s="838"/>
      <c r="AT2" s="838"/>
      <c r="AU2" s="838"/>
      <c r="AV2" s="838"/>
      <c r="AW2" s="838"/>
      <c r="AX2" s="838"/>
      <c r="AY2" s="838"/>
      <c r="AZ2" s="838"/>
      <c r="BA2" s="838"/>
      <c r="BB2" s="838"/>
      <c r="BC2" s="838"/>
      <c r="BD2" s="838"/>
      <c r="BE2" s="838"/>
      <c r="BF2" s="838"/>
      <c r="BG2" s="838"/>
      <c r="BH2" s="838"/>
      <c r="BI2" s="838"/>
      <c r="BJ2" s="838"/>
      <c r="BK2" s="838"/>
      <c r="BL2" s="838"/>
      <c r="BM2" s="838"/>
      <c r="BN2" s="838"/>
      <c r="BO2" s="838"/>
      <c r="BP2" s="838"/>
      <c r="BQ2" s="838"/>
      <c r="BR2" s="838"/>
      <c r="BS2" s="838"/>
      <c r="BT2" s="838"/>
      <c r="BU2" s="512"/>
      <c r="BV2" s="512"/>
      <c r="BW2" s="619"/>
      <c r="BX2" s="512"/>
      <c r="BY2" s="512"/>
      <c r="BZ2" s="22"/>
      <c r="CA2" s="22"/>
      <c r="CB2" s="22"/>
    </row>
    <row r="3" spans="1:85" ht="8.25" customHeight="1">
      <c r="A3" s="838"/>
      <c r="B3" s="838"/>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c r="AW3" s="838"/>
      <c r="AX3" s="838"/>
      <c r="AY3" s="838"/>
      <c r="AZ3" s="838"/>
      <c r="BA3" s="838"/>
      <c r="BB3" s="838"/>
      <c r="BC3" s="838"/>
      <c r="BD3" s="838"/>
      <c r="BE3" s="838"/>
      <c r="BF3" s="838"/>
      <c r="BG3" s="838"/>
      <c r="BH3" s="838"/>
      <c r="BI3" s="838"/>
      <c r="BJ3" s="838"/>
      <c r="BK3" s="838"/>
      <c r="BL3" s="838"/>
      <c r="BM3" s="838"/>
      <c r="BN3" s="838"/>
      <c r="BO3" s="838"/>
      <c r="BP3" s="838"/>
      <c r="BQ3" s="838"/>
      <c r="BR3" s="838"/>
      <c r="BS3" s="838"/>
      <c r="BT3" s="838"/>
      <c r="BU3" s="512"/>
      <c r="BV3" s="512"/>
      <c r="BW3" s="619"/>
      <c r="BX3" s="512"/>
      <c r="BY3" s="512"/>
      <c r="BZ3" s="22"/>
      <c r="CA3" s="22"/>
      <c r="CB3" s="22"/>
    </row>
    <row r="4" spans="1:85" ht="17.649999999999999">
      <c r="A4" s="838" t="s">
        <v>315</v>
      </c>
      <c r="B4" s="838"/>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8"/>
      <c r="AH4" s="838"/>
      <c r="AI4" s="838"/>
      <c r="AJ4" s="838"/>
      <c r="AK4" s="838"/>
      <c r="AL4" s="838"/>
      <c r="AM4" s="838"/>
      <c r="AN4" s="838"/>
      <c r="AO4" s="838"/>
      <c r="AP4" s="838"/>
      <c r="AQ4" s="838"/>
      <c r="AR4" s="838"/>
      <c r="AS4" s="838"/>
      <c r="AT4" s="838"/>
      <c r="AU4" s="838"/>
      <c r="AV4" s="838"/>
      <c r="AW4" s="838"/>
      <c r="AX4" s="838"/>
      <c r="AY4" s="838"/>
      <c r="AZ4" s="838"/>
      <c r="BA4" s="838"/>
      <c r="BB4" s="838"/>
      <c r="BC4" s="838"/>
      <c r="BD4" s="838"/>
      <c r="BE4" s="838"/>
      <c r="BF4" s="838"/>
      <c r="BG4" s="838"/>
      <c r="BH4" s="838"/>
      <c r="BI4" s="838"/>
      <c r="BJ4" s="838"/>
      <c r="BK4" s="838"/>
      <c r="BL4" s="838"/>
      <c r="BM4" s="838"/>
      <c r="BN4" s="838"/>
      <c r="BO4" s="838"/>
      <c r="BP4" s="838"/>
      <c r="BQ4" s="838"/>
      <c r="BR4" s="838"/>
      <c r="BS4" s="838"/>
      <c r="BT4" s="838"/>
      <c r="BU4" s="512"/>
      <c r="BV4" s="512"/>
      <c r="BW4" s="619"/>
      <c r="BX4" s="512"/>
      <c r="BY4" s="512"/>
      <c r="BZ4" s="22"/>
      <c r="CA4" s="22"/>
      <c r="CB4" s="22"/>
    </row>
    <row r="5" spans="1:85" ht="17.649999999999999">
      <c r="A5" s="833" t="str">
        <f>'3.13.Thành phố Kon Tum'!A5:BY5</f>
        <v>(Kèm theo Nghị quyết số 22/NQ-HĐND ngày 22 tháng 8 năm 2025 của Hội đồng nhân dân tỉnh)</v>
      </c>
      <c r="B5" s="833"/>
      <c r="C5" s="833"/>
      <c r="D5" s="833"/>
      <c r="E5" s="833"/>
      <c r="F5" s="833"/>
      <c r="G5" s="833"/>
      <c r="H5" s="833"/>
      <c r="I5" s="833"/>
      <c r="J5" s="833"/>
      <c r="K5" s="833"/>
      <c r="L5" s="833"/>
      <c r="M5" s="833"/>
      <c r="N5" s="833"/>
      <c r="O5" s="833"/>
      <c r="P5" s="833"/>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833"/>
      <c r="AX5" s="833"/>
      <c r="AY5" s="833"/>
      <c r="AZ5" s="833"/>
      <c r="BA5" s="833"/>
      <c r="BB5" s="833"/>
      <c r="BC5" s="833"/>
      <c r="BD5" s="833"/>
      <c r="BE5" s="833"/>
      <c r="BF5" s="833"/>
      <c r="BG5" s="833"/>
      <c r="BH5" s="833"/>
      <c r="BI5" s="833"/>
      <c r="BJ5" s="833"/>
      <c r="BK5" s="833"/>
      <c r="BL5" s="833"/>
      <c r="BM5" s="833"/>
      <c r="BN5" s="833"/>
      <c r="BO5" s="833"/>
      <c r="BP5" s="833"/>
      <c r="BQ5" s="833"/>
      <c r="BR5" s="833"/>
      <c r="BS5" s="833"/>
      <c r="BT5" s="833"/>
      <c r="BU5" s="514"/>
      <c r="BV5" s="514"/>
      <c r="BW5" s="620"/>
      <c r="BX5" s="514"/>
      <c r="BY5" s="514"/>
      <c r="BZ5" s="23"/>
      <c r="CA5" s="23"/>
      <c r="CB5" s="23"/>
    </row>
    <row r="6" spans="1:85" ht="15.4">
      <c r="A6" s="515"/>
      <c r="B6" s="517"/>
      <c r="C6" s="517"/>
      <c r="D6" s="517"/>
      <c r="E6" s="517"/>
      <c r="F6" s="515"/>
      <c r="G6" s="515"/>
      <c r="H6" s="517"/>
      <c r="I6" s="518"/>
      <c r="J6" s="517"/>
      <c r="K6" s="517"/>
      <c r="L6" s="518"/>
      <c r="M6" s="517"/>
      <c r="N6" s="517"/>
      <c r="O6" s="517"/>
      <c r="P6" s="517"/>
      <c r="Q6" s="517"/>
      <c r="R6" s="518"/>
      <c r="S6" s="518"/>
      <c r="T6" s="518"/>
      <c r="U6" s="518"/>
      <c r="V6" s="518"/>
      <c r="W6" s="518"/>
      <c r="X6" s="518"/>
      <c r="Y6" s="518"/>
      <c r="Z6" s="518"/>
      <c r="AA6" s="518"/>
      <c r="AB6" s="518"/>
      <c r="AC6" s="518"/>
      <c r="AD6" s="518"/>
      <c r="AE6" s="518"/>
      <c r="AF6" s="518"/>
      <c r="AG6" s="518"/>
      <c r="AH6" s="518"/>
      <c r="AI6" s="518"/>
      <c r="AJ6" s="518"/>
      <c r="AK6" s="518"/>
      <c r="AL6" s="518"/>
      <c r="AM6" s="518"/>
      <c r="AN6" s="518"/>
      <c r="AO6" s="518"/>
      <c r="AP6" s="518"/>
      <c r="AQ6" s="518"/>
      <c r="AR6" s="518"/>
      <c r="AS6" s="518"/>
      <c r="AT6" s="518"/>
      <c r="AU6" s="518"/>
      <c r="AV6" s="518"/>
      <c r="AW6" s="518"/>
      <c r="AX6" s="518"/>
      <c r="AY6" s="518"/>
      <c r="AZ6" s="897" t="s">
        <v>1224</v>
      </c>
      <c r="BA6" s="897"/>
      <c r="BB6" s="897"/>
      <c r="BC6" s="897"/>
      <c r="BD6" s="897"/>
      <c r="BE6" s="897"/>
      <c r="BF6" s="897"/>
      <c r="BG6" s="897"/>
      <c r="BH6" s="897"/>
      <c r="BI6" s="897"/>
      <c r="BJ6" s="897"/>
      <c r="BK6" s="897"/>
      <c r="BL6" s="897"/>
      <c r="BM6" s="897"/>
      <c r="BN6" s="897"/>
      <c r="BO6" s="897"/>
      <c r="BP6" s="897"/>
      <c r="BQ6" s="897"/>
      <c r="BR6" s="897"/>
      <c r="BS6" s="897"/>
      <c r="BT6" s="897"/>
      <c r="BU6" s="897"/>
      <c r="BV6" s="897"/>
      <c r="BW6" s="897"/>
      <c r="BX6" s="621"/>
      <c r="BY6" s="621"/>
      <c r="BZ6" s="24"/>
      <c r="CA6" s="20"/>
      <c r="CB6" s="20"/>
    </row>
    <row r="7" spans="1:85" ht="45.75" customHeight="1">
      <c r="A7" s="834" t="s">
        <v>16</v>
      </c>
      <c r="B7" s="834" t="s">
        <v>316</v>
      </c>
      <c r="C7" s="834" t="s">
        <v>17</v>
      </c>
      <c r="D7" s="834" t="s">
        <v>3673</v>
      </c>
      <c r="E7" s="834" t="s">
        <v>18</v>
      </c>
      <c r="F7" s="834" t="s">
        <v>19</v>
      </c>
      <c r="G7" s="834" t="s">
        <v>21</v>
      </c>
      <c r="H7" s="834" t="s">
        <v>20</v>
      </c>
      <c r="I7" s="834" t="s">
        <v>23</v>
      </c>
      <c r="J7" s="834" t="s">
        <v>24</v>
      </c>
      <c r="K7" s="834" t="s">
        <v>1904</v>
      </c>
      <c r="L7" s="834"/>
      <c r="M7" s="834"/>
      <c r="N7" s="834"/>
      <c r="O7" s="834"/>
      <c r="P7" s="834"/>
      <c r="Q7" s="834" t="s">
        <v>25</v>
      </c>
      <c r="R7" s="834" t="s">
        <v>22</v>
      </c>
      <c r="S7" s="834" t="s">
        <v>26</v>
      </c>
      <c r="T7" s="834"/>
      <c r="U7" s="834"/>
      <c r="V7" s="834"/>
      <c r="W7" s="834" t="s">
        <v>317</v>
      </c>
      <c r="X7" s="834"/>
      <c r="Y7" s="834"/>
      <c r="Z7" s="834"/>
      <c r="AA7" s="834"/>
      <c r="AB7" s="834"/>
      <c r="AC7" s="834"/>
      <c r="AD7" s="834" t="s">
        <v>63</v>
      </c>
      <c r="AE7" s="834"/>
      <c r="AF7" s="834"/>
      <c r="AG7" s="834"/>
      <c r="AH7" s="834"/>
      <c r="AI7" s="834"/>
      <c r="AJ7" s="834"/>
      <c r="AK7" s="834"/>
      <c r="AL7" s="834"/>
      <c r="AM7" s="834"/>
      <c r="AN7" s="834"/>
      <c r="AO7" s="834"/>
      <c r="AP7" s="834"/>
      <c r="AQ7" s="834"/>
      <c r="AR7" s="834"/>
      <c r="AS7" s="834"/>
      <c r="AT7" s="889" t="s">
        <v>64</v>
      </c>
      <c r="AU7" s="890"/>
      <c r="AV7" s="890"/>
      <c r="AW7" s="890"/>
      <c r="AX7" s="890"/>
      <c r="AY7" s="890"/>
      <c r="AZ7" s="890"/>
      <c r="BA7" s="890"/>
      <c r="BB7" s="890"/>
      <c r="BC7" s="890"/>
      <c r="BD7" s="890"/>
      <c r="BE7" s="890"/>
      <c r="BF7" s="890"/>
      <c r="BG7" s="890"/>
      <c r="BH7" s="891"/>
      <c r="BI7" s="834" t="s">
        <v>28</v>
      </c>
      <c r="BJ7" s="834"/>
      <c r="BK7" s="834"/>
      <c r="BL7" s="834"/>
      <c r="BM7" s="834"/>
      <c r="BN7" s="834"/>
      <c r="BO7" s="834"/>
      <c r="BP7" s="835"/>
      <c r="BQ7" s="834" t="s">
        <v>318</v>
      </c>
      <c r="BR7" s="834"/>
      <c r="BS7" s="834"/>
      <c r="BT7" s="834"/>
      <c r="BU7" s="834" t="s">
        <v>319</v>
      </c>
      <c r="BV7" s="847" t="s">
        <v>3662</v>
      </c>
      <c r="BW7" s="834" t="s">
        <v>0</v>
      </c>
      <c r="BX7" s="622"/>
      <c r="BY7" s="622"/>
      <c r="BZ7" s="30"/>
      <c r="CA7" s="25"/>
      <c r="CB7" s="25"/>
    </row>
    <row r="8" spans="1:85" ht="19.5" customHeight="1">
      <c r="A8" s="834"/>
      <c r="B8" s="834"/>
      <c r="C8" s="834"/>
      <c r="D8" s="834"/>
      <c r="E8" s="834"/>
      <c r="F8" s="834"/>
      <c r="G8" s="834"/>
      <c r="H8" s="834"/>
      <c r="I8" s="834"/>
      <c r="J8" s="834"/>
      <c r="K8" s="834"/>
      <c r="L8" s="834"/>
      <c r="M8" s="834"/>
      <c r="N8" s="834"/>
      <c r="O8" s="834"/>
      <c r="P8" s="834"/>
      <c r="Q8" s="834"/>
      <c r="R8" s="834"/>
      <c r="S8" s="834" t="s">
        <v>29</v>
      </c>
      <c r="T8" s="889" t="s">
        <v>1</v>
      </c>
      <c r="U8" s="890"/>
      <c r="V8" s="891"/>
      <c r="W8" s="834" t="s">
        <v>305</v>
      </c>
      <c r="X8" s="834" t="s">
        <v>1</v>
      </c>
      <c r="Y8" s="834"/>
      <c r="Z8" s="834"/>
      <c r="AA8" s="834"/>
      <c r="AB8" s="834"/>
      <c r="AC8" s="834"/>
      <c r="AD8" s="834" t="s">
        <v>65</v>
      </c>
      <c r="AE8" s="834"/>
      <c r="AF8" s="834"/>
      <c r="AG8" s="834"/>
      <c r="AH8" s="834"/>
      <c r="AI8" s="834"/>
      <c r="AJ8" s="834"/>
      <c r="AK8" s="834"/>
      <c r="AL8" s="834" t="s">
        <v>66</v>
      </c>
      <c r="AM8" s="834"/>
      <c r="AN8" s="834"/>
      <c r="AO8" s="834"/>
      <c r="AP8" s="834"/>
      <c r="AQ8" s="834"/>
      <c r="AR8" s="834"/>
      <c r="AS8" s="834"/>
      <c r="AT8" s="892"/>
      <c r="AU8" s="893"/>
      <c r="AV8" s="893"/>
      <c r="AW8" s="893"/>
      <c r="AX8" s="893"/>
      <c r="AY8" s="893"/>
      <c r="AZ8" s="893"/>
      <c r="BA8" s="893"/>
      <c r="BB8" s="893"/>
      <c r="BC8" s="893"/>
      <c r="BD8" s="893"/>
      <c r="BE8" s="893"/>
      <c r="BF8" s="893"/>
      <c r="BG8" s="893"/>
      <c r="BH8" s="894"/>
      <c r="BI8" s="834" t="s">
        <v>30</v>
      </c>
      <c r="BJ8" s="834"/>
      <c r="BK8" s="834"/>
      <c r="BL8" s="834"/>
      <c r="BM8" s="834" t="s">
        <v>89</v>
      </c>
      <c r="BN8" s="834"/>
      <c r="BO8" s="834"/>
      <c r="BP8" s="835"/>
      <c r="BQ8" s="834"/>
      <c r="BR8" s="834"/>
      <c r="BS8" s="834"/>
      <c r="BT8" s="834"/>
      <c r="BU8" s="834"/>
      <c r="BV8" s="848"/>
      <c r="BW8" s="834"/>
      <c r="BX8" s="898" t="s">
        <v>75</v>
      </c>
      <c r="BY8" s="898"/>
      <c r="BZ8" s="30"/>
      <c r="CA8" s="25"/>
      <c r="CB8" s="25"/>
    </row>
    <row r="9" spans="1:85" ht="21" customHeight="1">
      <c r="A9" s="834"/>
      <c r="B9" s="834"/>
      <c r="C9" s="834"/>
      <c r="D9" s="834"/>
      <c r="E9" s="834"/>
      <c r="F9" s="834"/>
      <c r="G9" s="834"/>
      <c r="H9" s="834"/>
      <c r="I9" s="834"/>
      <c r="J9" s="834"/>
      <c r="K9" s="834" t="s">
        <v>31</v>
      </c>
      <c r="L9" s="834" t="s">
        <v>32</v>
      </c>
      <c r="M9" s="834" t="s">
        <v>33</v>
      </c>
      <c r="N9" s="834" t="s">
        <v>300</v>
      </c>
      <c r="O9" s="834"/>
      <c r="P9" s="834"/>
      <c r="Q9" s="834"/>
      <c r="R9" s="834"/>
      <c r="S9" s="834"/>
      <c r="T9" s="892"/>
      <c r="U9" s="893"/>
      <c r="V9" s="894"/>
      <c r="W9" s="834"/>
      <c r="X9" s="834" t="s">
        <v>34</v>
      </c>
      <c r="Y9" s="834" t="s">
        <v>35</v>
      </c>
      <c r="Z9" s="834" t="s">
        <v>41</v>
      </c>
      <c r="AA9" s="847" t="s">
        <v>303</v>
      </c>
      <c r="AB9" s="847" t="s">
        <v>37</v>
      </c>
      <c r="AC9" s="847" t="s">
        <v>38</v>
      </c>
      <c r="AD9" s="834" t="s">
        <v>29</v>
      </c>
      <c r="AE9" s="834" t="s">
        <v>1</v>
      </c>
      <c r="AF9" s="834"/>
      <c r="AG9" s="834"/>
      <c r="AH9" s="834"/>
      <c r="AI9" s="834"/>
      <c r="AJ9" s="834"/>
      <c r="AK9" s="834"/>
      <c r="AL9" s="834" t="s">
        <v>29</v>
      </c>
      <c r="AM9" s="834" t="s">
        <v>1</v>
      </c>
      <c r="AN9" s="834"/>
      <c r="AO9" s="834"/>
      <c r="AP9" s="834"/>
      <c r="AQ9" s="834"/>
      <c r="AR9" s="834"/>
      <c r="AS9" s="834"/>
      <c r="AT9" s="834" t="s">
        <v>305</v>
      </c>
      <c r="AU9" s="574"/>
      <c r="AV9" s="574"/>
      <c r="AW9" s="574"/>
      <c r="AX9" s="889" t="s">
        <v>42</v>
      </c>
      <c r="AY9" s="890"/>
      <c r="AZ9" s="891"/>
      <c r="BA9" s="834" t="s">
        <v>29</v>
      </c>
      <c r="BB9" s="834" t="s">
        <v>1</v>
      </c>
      <c r="BC9" s="834"/>
      <c r="BD9" s="834"/>
      <c r="BE9" s="834"/>
      <c r="BF9" s="834"/>
      <c r="BG9" s="834"/>
      <c r="BH9" s="834"/>
      <c r="BI9" s="834" t="s">
        <v>29</v>
      </c>
      <c r="BJ9" s="834" t="s">
        <v>1</v>
      </c>
      <c r="BK9" s="834"/>
      <c r="BL9" s="834"/>
      <c r="BM9" s="834" t="s">
        <v>29</v>
      </c>
      <c r="BN9" s="834" t="s">
        <v>1</v>
      </c>
      <c r="BO9" s="834"/>
      <c r="BP9" s="835"/>
      <c r="BQ9" s="834" t="s">
        <v>29</v>
      </c>
      <c r="BR9" s="834" t="s">
        <v>1</v>
      </c>
      <c r="BS9" s="834"/>
      <c r="BT9" s="834"/>
      <c r="BU9" s="834"/>
      <c r="BV9" s="848"/>
      <c r="BW9" s="834"/>
      <c r="BX9" s="898"/>
      <c r="BY9" s="898"/>
      <c r="BZ9" s="30"/>
      <c r="CA9" s="900">
        <v>2025</v>
      </c>
      <c r="CB9" s="900"/>
    </row>
    <row r="10" spans="1:85" ht="18.75" customHeight="1">
      <c r="A10" s="834"/>
      <c r="B10" s="834"/>
      <c r="C10" s="834"/>
      <c r="D10" s="834"/>
      <c r="E10" s="834"/>
      <c r="F10" s="834"/>
      <c r="G10" s="834"/>
      <c r="H10" s="834"/>
      <c r="I10" s="834"/>
      <c r="J10" s="834"/>
      <c r="K10" s="834"/>
      <c r="L10" s="834"/>
      <c r="M10" s="834"/>
      <c r="N10" s="834" t="s">
        <v>67</v>
      </c>
      <c r="O10" s="834" t="s">
        <v>79</v>
      </c>
      <c r="P10" s="834" t="s">
        <v>91</v>
      </c>
      <c r="Q10" s="834"/>
      <c r="R10" s="834"/>
      <c r="S10" s="834"/>
      <c r="T10" s="847" t="s">
        <v>34</v>
      </c>
      <c r="U10" s="847" t="s">
        <v>35</v>
      </c>
      <c r="V10" s="847" t="s">
        <v>39</v>
      </c>
      <c r="W10" s="834"/>
      <c r="X10" s="834"/>
      <c r="Y10" s="834"/>
      <c r="Z10" s="834"/>
      <c r="AA10" s="848"/>
      <c r="AB10" s="848"/>
      <c r="AC10" s="848"/>
      <c r="AD10" s="834"/>
      <c r="AE10" s="834" t="s">
        <v>34</v>
      </c>
      <c r="AF10" s="834" t="s">
        <v>35</v>
      </c>
      <c r="AG10" s="834" t="s">
        <v>41</v>
      </c>
      <c r="AH10" s="834" t="s">
        <v>42</v>
      </c>
      <c r="AI10" s="834"/>
      <c r="AJ10" s="834"/>
      <c r="AK10" s="834"/>
      <c r="AL10" s="834"/>
      <c r="AM10" s="834" t="s">
        <v>34</v>
      </c>
      <c r="AN10" s="834" t="s">
        <v>35</v>
      </c>
      <c r="AO10" s="834" t="s">
        <v>41</v>
      </c>
      <c r="AP10" s="834" t="s">
        <v>42</v>
      </c>
      <c r="AQ10" s="834"/>
      <c r="AR10" s="834"/>
      <c r="AS10" s="834"/>
      <c r="AT10" s="834"/>
      <c r="AU10" s="834" t="s">
        <v>34</v>
      </c>
      <c r="AV10" s="834" t="s">
        <v>35</v>
      </c>
      <c r="AW10" s="834" t="s">
        <v>41</v>
      </c>
      <c r="AX10" s="892"/>
      <c r="AY10" s="893"/>
      <c r="AZ10" s="894"/>
      <c r="BA10" s="834"/>
      <c r="BB10" s="834" t="s">
        <v>34</v>
      </c>
      <c r="BC10" s="834" t="s">
        <v>35</v>
      </c>
      <c r="BD10" s="834" t="s">
        <v>41</v>
      </c>
      <c r="BE10" s="834" t="s">
        <v>42</v>
      </c>
      <c r="BF10" s="834"/>
      <c r="BG10" s="834"/>
      <c r="BH10" s="834"/>
      <c r="BI10" s="834"/>
      <c r="BJ10" s="834" t="s">
        <v>34</v>
      </c>
      <c r="BK10" s="834" t="s">
        <v>35</v>
      </c>
      <c r="BL10" s="834" t="s">
        <v>39</v>
      </c>
      <c r="BM10" s="834"/>
      <c r="BN10" s="834" t="s">
        <v>34</v>
      </c>
      <c r="BO10" s="834" t="s">
        <v>35</v>
      </c>
      <c r="BP10" s="835" t="s">
        <v>39</v>
      </c>
      <c r="BQ10" s="834"/>
      <c r="BR10" s="834" t="s">
        <v>34</v>
      </c>
      <c r="BS10" s="834" t="s">
        <v>35</v>
      </c>
      <c r="BT10" s="834" t="s">
        <v>93</v>
      </c>
      <c r="BU10" s="834"/>
      <c r="BV10" s="848"/>
      <c r="BW10" s="834"/>
      <c r="BX10" s="898" t="s">
        <v>94</v>
      </c>
      <c r="BY10" s="898" t="s">
        <v>95</v>
      </c>
      <c r="BZ10" s="30"/>
      <c r="CA10" s="900"/>
      <c r="CB10" s="900"/>
    </row>
    <row r="11" spans="1:85" ht="81" customHeight="1">
      <c r="A11" s="834"/>
      <c r="B11" s="834"/>
      <c r="C11" s="834"/>
      <c r="D11" s="834"/>
      <c r="E11" s="834"/>
      <c r="F11" s="834"/>
      <c r="G11" s="834"/>
      <c r="H11" s="834"/>
      <c r="I11" s="834"/>
      <c r="J11" s="834"/>
      <c r="K11" s="834"/>
      <c r="L11" s="834"/>
      <c r="M11" s="834"/>
      <c r="N11" s="834"/>
      <c r="O11" s="834"/>
      <c r="P11" s="834"/>
      <c r="Q11" s="834"/>
      <c r="R11" s="834"/>
      <c r="S11" s="834"/>
      <c r="T11" s="849"/>
      <c r="U11" s="849"/>
      <c r="V11" s="849"/>
      <c r="W11" s="834"/>
      <c r="X11" s="834"/>
      <c r="Y11" s="834"/>
      <c r="Z11" s="834"/>
      <c r="AA11" s="849"/>
      <c r="AB11" s="849"/>
      <c r="AC11" s="849"/>
      <c r="AD11" s="834"/>
      <c r="AE11" s="834"/>
      <c r="AF11" s="834"/>
      <c r="AG11" s="834"/>
      <c r="AH11" s="521" t="s">
        <v>94</v>
      </c>
      <c r="AI11" s="521" t="s">
        <v>95</v>
      </c>
      <c r="AJ11" s="521" t="s">
        <v>43</v>
      </c>
      <c r="AK11" s="521" t="s">
        <v>38</v>
      </c>
      <c r="AL11" s="834"/>
      <c r="AM11" s="834"/>
      <c r="AN11" s="834"/>
      <c r="AO11" s="834"/>
      <c r="AP11" s="521" t="s">
        <v>94</v>
      </c>
      <c r="AQ11" s="521" t="s">
        <v>95</v>
      </c>
      <c r="AR11" s="521" t="s">
        <v>43</v>
      </c>
      <c r="AS11" s="521" t="s">
        <v>38</v>
      </c>
      <c r="AT11" s="834"/>
      <c r="AU11" s="834"/>
      <c r="AV11" s="834"/>
      <c r="AW11" s="834"/>
      <c r="AX11" s="521" t="s">
        <v>8</v>
      </c>
      <c r="AY11" s="521" t="s">
        <v>37</v>
      </c>
      <c r="AZ11" s="521" t="s">
        <v>38</v>
      </c>
      <c r="BA11" s="834"/>
      <c r="BB11" s="834"/>
      <c r="BC11" s="834"/>
      <c r="BD11" s="834"/>
      <c r="BE11" s="521" t="s">
        <v>94</v>
      </c>
      <c r="BF11" s="521" t="s">
        <v>95</v>
      </c>
      <c r="BG11" s="521" t="s">
        <v>43</v>
      </c>
      <c r="BH11" s="521" t="s">
        <v>38</v>
      </c>
      <c r="BI11" s="834"/>
      <c r="BJ11" s="834"/>
      <c r="BK11" s="834"/>
      <c r="BL11" s="834"/>
      <c r="BM11" s="834"/>
      <c r="BN11" s="834"/>
      <c r="BO11" s="834"/>
      <c r="BP11" s="835"/>
      <c r="BQ11" s="834"/>
      <c r="BR11" s="834"/>
      <c r="BS11" s="834"/>
      <c r="BT11" s="834"/>
      <c r="BU11" s="834"/>
      <c r="BV11" s="849"/>
      <c r="BW11" s="834"/>
      <c r="BX11" s="898"/>
      <c r="BY11" s="898"/>
      <c r="BZ11" s="30"/>
      <c r="CA11" s="32" t="s">
        <v>94</v>
      </c>
      <c r="CB11" s="32" t="s">
        <v>95</v>
      </c>
      <c r="CC11" s="31" t="s">
        <v>320</v>
      </c>
    </row>
    <row r="12" spans="1:85" s="212" customFormat="1" ht="18.75" customHeight="1">
      <c r="A12" s="575">
        <v>1</v>
      </c>
      <c r="B12" s="575">
        <v>2</v>
      </c>
      <c r="C12" s="575">
        <v>3</v>
      </c>
      <c r="D12" s="575">
        <v>4</v>
      </c>
      <c r="E12" s="575">
        <v>5</v>
      </c>
      <c r="F12" s="575">
        <v>5</v>
      </c>
      <c r="G12" s="575">
        <v>6</v>
      </c>
      <c r="H12" s="575">
        <v>6</v>
      </c>
      <c r="I12" s="575">
        <v>7</v>
      </c>
      <c r="J12" s="575">
        <v>8</v>
      </c>
      <c r="K12" s="575">
        <v>8</v>
      </c>
      <c r="L12" s="575">
        <v>8</v>
      </c>
      <c r="M12" s="575">
        <v>9</v>
      </c>
      <c r="N12" s="575">
        <v>12</v>
      </c>
      <c r="O12" s="575">
        <v>10</v>
      </c>
      <c r="P12" s="575">
        <v>10</v>
      </c>
      <c r="Q12" s="575">
        <v>15</v>
      </c>
      <c r="R12" s="575">
        <v>17</v>
      </c>
      <c r="S12" s="575">
        <v>11</v>
      </c>
      <c r="T12" s="575">
        <v>20</v>
      </c>
      <c r="U12" s="575">
        <v>21</v>
      </c>
      <c r="V12" s="575">
        <v>12</v>
      </c>
      <c r="W12" s="575">
        <v>13</v>
      </c>
      <c r="X12" s="575">
        <v>24</v>
      </c>
      <c r="Y12" s="575">
        <v>25</v>
      </c>
      <c r="Z12" s="575">
        <v>26</v>
      </c>
      <c r="AA12" s="575">
        <v>14</v>
      </c>
      <c r="AB12" s="575">
        <v>15</v>
      </c>
      <c r="AC12" s="575">
        <v>16</v>
      </c>
      <c r="AD12" s="575">
        <v>31</v>
      </c>
      <c r="AE12" s="575">
        <v>32</v>
      </c>
      <c r="AF12" s="575">
        <v>33</v>
      </c>
      <c r="AG12" s="575">
        <v>34</v>
      </c>
      <c r="AH12" s="575">
        <v>35</v>
      </c>
      <c r="AI12" s="575">
        <v>36</v>
      </c>
      <c r="AJ12" s="575">
        <v>37</v>
      </c>
      <c r="AK12" s="575">
        <v>38</v>
      </c>
      <c r="AL12" s="575">
        <v>39</v>
      </c>
      <c r="AM12" s="575">
        <v>40</v>
      </c>
      <c r="AN12" s="575">
        <v>41</v>
      </c>
      <c r="AO12" s="575">
        <v>42</v>
      </c>
      <c r="AP12" s="575">
        <v>43</v>
      </c>
      <c r="AQ12" s="575">
        <v>44</v>
      </c>
      <c r="AR12" s="575">
        <v>45</v>
      </c>
      <c r="AS12" s="575">
        <v>46</v>
      </c>
      <c r="AT12" s="575">
        <v>17</v>
      </c>
      <c r="AU12" s="575">
        <v>48</v>
      </c>
      <c r="AV12" s="575">
        <v>49</v>
      </c>
      <c r="AW12" s="575">
        <v>50</v>
      </c>
      <c r="AX12" s="575">
        <v>18</v>
      </c>
      <c r="AY12" s="575">
        <v>19</v>
      </c>
      <c r="AZ12" s="575">
        <v>20</v>
      </c>
      <c r="BA12" s="575">
        <v>55</v>
      </c>
      <c r="BB12" s="575">
        <v>56</v>
      </c>
      <c r="BC12" s="575">
        <v>57</v>
      </c>
      <c r="BD12" s="575">
        <v>58</v>
      </c>
      <c r="BE12" s="575">
        <v>59</v>
      </c>
      <c r="BF12" s="575">
        <v>60</v>
      </c>
      <c r="BG12" s="575">
        <v>61</v>
      </c>
      <c r="BH12" s="575">
        <v>62</v>
      </c>
      <c r="BI12" s="575">
        <v>63</v>
      </c>
      <c r="BJ12" s="575">
        <v>64</v>
      </c>
      <c r="BK12" s="575">
        <v>65</v>
      </c>
      <c r="BL12" s="575">
        <v>66</v>
      </c>
      <c r="BM12" s="575">
        <v>67</v>
      </c>
      <c r="BN12" s="575">
        <v>68</v>
      </c>
      <c r="BO12" s="575">
        <v>69</v>
      </c>
      <c r="BP12" s="623">
        <v>70</v>
      </c>
      <c r="BQ12" s="575"/>
      <c r="BR12" s="575"/>
      <c r="BS12" s="575"/>
      <c r="BT12" s="575"/>
      <c r="BU12" s="575"/>
      <c r="BV12" s="575">
        <v>21</v>
      </c>
      <c r="BW12" s="575">
        <v>21</v>
      </c>
      <c r="BX12" s="624">
        <v>27</v>
      </c>
      <c r="BY12" s="624">
        <v>28</v>
      </c>
      <c r="BZ12" s="237"/>
      <c r="CA12" s="236">
        <v>51</v>
      </c>
      <c r="CB12" s="236">
        <v>52</v>
      </c>
      <c r="CC12" s="238"/>
    </row>
    <row r="13" spans="1:85" ht="27.75" customHeight="1">
      <c r="A13" s="625"/>
      <c r="B13" s="625" t="s">
        <v>7</v>
      </c>
      <c r="C13" s="625"/>
      <c r="D13" s="577"/>
      <c r="E13" s="625"/>
      <c r="F13" s="625"/>
      <c r="G13" s="577"/>
      <c r="H13" s="625"/>
      <c r="I13" s="625"/>
      <c r="J13" s="625"/>
      <c r="K13" s="625"/>
      <c r="L13" s="625"/>
      <c r="M13" s="626">
        <f t="shared" ref="M13:AR13" si="0">M14+M31+M103+M106</f>
        <v>504915.55643200001</v>
      </c>
      <c r="N13" s="626">
        <f t="shared" si="0"/>
        <v>135000</v>
      </c>
      <c r="O13" s="626">
        <f t="shared" si="0"/>
        <v>109100</v>
      </c>
      <c r="P13" s="626">
        <f t="shared" si="0"/>
        <v>262538.29737499997</v>
      </c>
      <c r="Q13" s="626" t="e">
        <f t="shared" si="0"/>
        <v>#VALUE!</v>
      </c>
      <c r="R13" s="626" t="e">
        <f t="shared" si="0"/>
        <v>#VALUE!</v>
      </c>
      <c r="S13" s="626">
        <f t="shared" si="0"/>
        <v>55570.183458</v>
      </c>
      <c r="T13" s="626">
        <f t="shared" si="0"/>
        <v>7719.9989999999998</v>
      </c>
      <c r="U13" s="626">
        <f t="shared" si="0"/>
        <v>0</v>
      </c>
      <c r="V13" s="626">
        <f t="shared" si="0"/>
        <v>47850.184458000003</v>
      </c>
      <c r="W13" s="626">
        <f t="shared" si="0"/>
        <v>255118.94511999999</v>
      </c>
      <c r="X13" s="626">
        <f t="shared" si="0"/>
        <v>0</v>
      </c>
      <c r="Y13" s="626">
        <f t="shared" si="0"/>
        <v>70000</v>
      </c>
      <c r="Z13" s="626">
        <f t="shared" si="0"/>
        <v>223166.13511999999</v>
      </c>
      <c r="AA13" s="626">
        <f t="shared" si="0"/>
        <v>58480</v>
      </c>
      <c r="AB13" s="626">
        <f t="shared" si="0"/>
        <v>170557.014196</v>
      </c>
      <c r="AC13" s="626">
        <f t="shared" si="0"/>
        <v>26081.930924</v>
      </c>
      <c r="AD13" s="626">
        <f t="shared" si="0"/>
        <v>135931.53662</v>
      </c>
      <c r="AE13" s="626">
        <f t="shared" si="0"/>
        <v>0</v>
      </c>
      <c r="AF13" s="626">
        <f t="shared" si="0"/>
        <v>0</v>
      </c>
      <c r="AG13" s="626">
        <f t="shared" si="0"/>
        <v>135931.53662</v>
      </c>
      <c r="AH13" s="626">
        <f t="shared" si="0"/>
        <v>45544</v>
      </c>
      <c r="AI13" s="626">
        <f t="shared" si="0"/>
        <v>4340</v>
      </c>
      <c r="AJ13" s="626">
        <f t="shared" si="0"/>
        <v>67330.979695999995</v>
      </c>
      <c r="AK13" s="626">
        <f t="shared" si="0"/>
        <v>18716.556924</v>
      </c>
      <c r="AL13" s="626">
        <f t="shared" si="0"/>
        <v>131001.011359</v>
      </c>
      <c r="AM13" s="626">
        <f t="shared" si="0"/>
        <v>0</v>
      </c>
      <c r="AN13" s="626">
        <f t="shared" si="0"/>
        <v>0</v>
      </c>
      <c r="AO13" s="626">
        <f t="shared" si="0"/>
        <v>131001.011359</v>
      </c>
      <c r="AP13" s="626">
        <f t="shared" si="0"/>
        <v>45488.455902999995</v>
      </c>
      <c r="AQ13" s="626">
        <f t="shared" si="0"/>
        <v>4284.7536149999996</v>
      </c>
      <c r="AR13" s="626">
        <f t="shared" si="0"/>
        <v>62541.494358000004</v>
      </c>
      <c r="AS13" s="626">
        <f t="shared" ref="AS13:BV13" si="1">AS14+AS31+AS103+AS106</f>
        <v>18686.307483000001</v>
      </c>
      <c r="AT13" s="626">
        <f t="shared" si="1"/>
        <v>26961.374000000003</v>
      </c>
      <c r="AU13" s="626">
        <f t="shared" si="1"/>
        <v>0</v>
      </c>
      <c r="AV13" s="626">
        <f t="shared" si="1"/>
        <v>0</v>
      </c>
      <c r="AW13" s="626">
        <f t="shared" si="1"/>
        <v>20361.374</v>
      </c>
      <c r="AX13" s="626">
        <f t="shared" si="1"/>
        <v>8596</v>
      </c>
      <c r="AY13" s="626">
        <f t="shared" si="1"/>
        <v>11000</v>
      </c>
      <c r="AZ13" s="626">
        <f t="shared" si="1"/>
        <v>7365.3739999999998</v>
      </c>
      <c r="BA13" s="626">
        <f t="shared" si="1"/>
        <v>5623.7289689999998</v>
      </c>
      <c r="BB13" s="626">
        <f t="shared" si="1"/>
        <v>0</v>
      </c>
      <c r="BC13" s="626">
        <f t="shared" si="1"/>
        <v>559</v>
      </c>
      <c r="BD13" s="626">
        <f t="shared" si="1"/>
        <v>5064.7289689999998</v>
      </c>
      <c r="BE13" s="626">
        <f t="shared" si="1"/>
        <v>2754.015359</v>
      </c>
      <c r="BF13" s="626">
        <f t="shared" si="1"/>
        <v>0</v>
      </c>
      <c r="BG13" s="626">
        <f t="shared" si="1"/>
        <v>0</v>
      </c>
      <c r="BH13" s="626">
        <f t="shared" si="1"/>
        <v>2310.7136099999998</v>
      </c>
      <c r="BI13" s="626">
        <f t="shared" si="1"/>
        <v>684.5759059999998</v>
      </c>
      <c r="BJ13" s="626">
        <f t="shared" si="1"/>
        <v>0</v>
      </c>
      <c r="BK13" s="626">
        <f t="shared" si="1"/>
        <v>0</v>
      </c>
      <c r="BL13" s="626">
        <f t="shared" si="1"/>
        <v>684.5759059999998</v>
      </c>
      <c r="BM13" s="626">
        <f t="shared" si="1"/>
        <v>557.71487000000002</v>
      </c>
      <c r="BN13" s="626">
        <f t="shared" si="1"/>
        <v>0</v>
      </c>
      <c r="BO13" s="626">
        <f t="shared" si="1"/>
        <v>0</v>
      </c>
      <c r="BP13" s="626">
        <f t="shared" si="1"/>
        <v>557.71487000000002</v>
      </c>
      <c r="BQ13" s="626">
        <f t="shared" si="1"/>
        <v>119130</v>
      </c>
      <c r="BR13" s="626">
        <f t="shared" si="1"/>
        <v>0</v>
      </c>
      <c r="BS13" s="626">
        <f t="shared" si="1"/>
        <v>104248</v>
      </c>
      <c r="BT13" s="626">
        <f t="shared" si="1"/>
        <v>14882</v>
      </c>
      <c r="BU13" s="626">
        <f t="shared" si="1"/>
        <v>0</v>
      </c>
      <c r="BV13" s="626">
        <f t="shared" si="1"/>
        <v>684.57590600000003</v>
      </c>
      <c r="BW13" s="625"/>
      <c r="BX13" s="627" t="e">
        <f ca="1">BX33+BX88+BX90+#REF!</f>
        <v>#REF!</v>
      </c>
      <c r="BY13" s="627" t="e">
        <f ca="1">BY33+BY88+BY90+#REF!</f>
        <v>#REF!</v>
      </c>
      <c r="BZ13" s="34"/>
      <c r="CA13" s="33" t="e">
        <f ca="1">CA33+CA88+CA90+#REF!</f>
        <v>#REF!</v>
      </c>
      <c r="CB13" s="33" t="e">
        <f ca="1">CB33+CB88+CB90+#REF!</f>
        <v>#REF!</v>
      </c>
      <c r="CG13" s="223"/>
    </row>
    <row r="14" spans="1:85" ht="36" customHeight="1">
      <c r="A14" s="532" t="s">
        <v>11</v>
      </c>
      <c r="B14" s="532" t="s">
        <v>859</v>
      </c>
      <c r="C14" s="532"/>
      <c r="D14" s="543"/>
      <c r="E14" s="532"/>
      <c r="F14" s="532"/>
      <c r="G14" s="543"/>
      <c r="H14" s="532"/>
      <c r="I14" s="532"/>
      <c r="J14" s="532"/>
      <c r="K14" s="532"/>
      <c r="L14" s="532"/>
      <c r="M14" s="626">
        <f>SUM(M15:M30)</f>
        <v>0</v>
      </c>
      <c r="N14" s="626">
        <f t="shared" ref="N14:BV14" si="2">SUM(N15:N30)</f>
        <v>0</v>
      </c>
      <c r="O14" s="626">
        <f t="shared" si="2"/>
        <v>0</v>
      </c>
      <c r="P14" s="626">
        <f t="shared" si="2"/>
        <v>0</v>
      </c>
      <c r="Q14" s="626">
        <f t="shared" si="2"/>
        <v>0</v>
      </c>
      <c r="R14" s="626">
        <f t="shared" si="2"/>
        <v>0</v>
      </c>
      <c r="S14" s="626">
        <f t="shared" si="2"/>
        <v>0</v>
      </c>
      <c r="T14" s="626">
        <f t="shared" si="2"/>
        <v>0</v>
      </c>
      <c r="U14" s="626">
        <f t="shared" si="2"/>
        <v>0</v>
      </c>
      <c r="V14" s="626">
        <f t="shared" si="2"/>
        <v>0</v>
      </c>
      <c r="W14" s="626">
        <f t="shared" si="2"/>
        <v>5589.45514</v>
      </c>
      <c r="X14" s="626">
        <f t="shared" si="2"/>
        <v>0</v>
      </c>
      <c r="Y14" s="626">
        <f t="shared" si="2"/>
        <v>0</v>
      </c>
      <c r="Z14" s="626">
        <f t="shared" si="2"/>
        <v>5589.45514</v>
      </c>
      <c r="AA14" s="626">
        <f t="shared" si="2"/>
        <v>0</v>
      </c>
      <c r="AB14" s="626">
        <f t="shared" si="2"/>
        <v>3589.45514</v>
      </c>
      <c r="AC14" s="626">
        <f t="shared" si="2"/>
        <v>2000</v>
      </c>
      <c r="AD14" s="626">
        <f t="shared" si="2"/>
        <v>2838.45514</v>
      </c>
      <c r="AE14" s="626">
        <f t="shared" si="2"/>
        <v>0</v>
      </c>
      <c r="AF14" s="626">
        <f t="shared" si="2"/>
        <v>0</v>
      </c>
      <c r="AG14" s="626">
        <f t="shared" si="2"/>
        <v>2838.45514</v>
      </c>
      <c r="AH14" s="626">
        <f t="shared" si="2"/>
        <v>0</v>
      </c>
      <c r="AI14" s="626">
        <f t="shared" si="2"/>
        <v>0</v>
      </c>
      <c r="AJ14" s="626">
        <f t="shared" si="2"/>
        <v>2838.45514</v>
      </c>
      <c r="AK14" s="626">
        <f t="shared" si="2"/>
        <v>0</v>
      </c>
      <c r="AL14" s="626">
        <f t="shared" si="2"/>
        <v>2838.455449</v>
      </c>
      <c r="AM14" s="626">
        <f t="shared" si="2"/>
        <v>0</v>
      </c>
      <c r="AN14" s="626">
        <f t="shared" si="2"/>
        <v>0</v>
      </c>
      <c r="AO14" s="626">
        <f t="shared" si="2"/>
        <v>2838.455449</v>
      </c>
      <c r="AP14" s="626">
        <f t="shared" si="2"/>
        <v>0</v>
      </c>
      <c r="AQ14" s="626">
        <f t="shared" si="2"/>
        <v>0</v>
      </c>
      <c r="AR14" s="626">
        <f t="shared" si="2"/>
        <v>2838.455449</v>
      </c>
      <c r="AS14" s="626">
        <f t="shared" si="2"/>
        <v>0</v>
      </c>
      <c r="AT14" s="626">
        <f t="shared" si="2"/>
        <v>9100</v>
      </c>
      <c r="AU14" s="626">
        <f t="shared" si="2"/>
        <v>0</v>
      </c>
      <c r="AV14" s="626">
        <f t="shared" si="2"/>
        <v>0</v>
      </c>
      <c r="AW14" s="626">
        <f t="shared" si="2"/>
        <v>2500</v>
      </c>
      <c r="AX14" s="626">
        <f t="shared" si="2"/>
        <v>0</v>
      </c>
      <c r="AY14" s="626">
        <f t="shared" si="2"/>
        <v>7100</v>
      </c>
      <c r="AZ14" s="626">
        <f t="shared" si="2"/>
        <v>2000</v>
      </c>
      <c r="BA14" s="626">
        <f t="shared" si="2"/>
        <v>2559</v>
      </c>
      <c r="BB14" s="626">
        <f t="shared" si="2"/>
        <v>0</v>
      </c>
      <c r="BC14" s="626">
        <f t="shared" si="2"/>
        <v>559</v>
      </c>
      <c r="BD14" s="626">
        <f t="shared" si="2"/>
        <v>2000</v>
      </c>
      <c r="BE14" s="626">
        <f t="shared" si="2"/>
        <v>0</v>
      </c>
      <c r="BF14" s="626">
        <f t="shared" si="2"/>
        <v>0</v>
      </c>
      <c r="BG14" s="626">
        <f t="shared" si="2"/>
        <v>0</v>
      </c>
      <c r="BH14" s="626">
        <f t="shared" si="2"/>
        <v>2000</v>
      </c>
      <c r="BI14" s="626">
        <f t="shared" si="2"/>
        <v>0</v>
      </c>
      <c r="BJ14" s="626">
        <f t="shared" si="2"/>
        <v>0</v>
      </c>
      <c r="BK14" s="626">
        <f t="shared" si="2"/>
        <v>0</v>
      </c>
      <c r="BL14" s="626">
        <f t="shared" si="2"/>
        <v>0</v>
      </c>
      <c r="BM14" s="626">
        <f t="shared" si="2"/>
        <v>0</v>
      </c>
      <c r="BN14" s="626">
        <f t="shared" si="2"/>
        <v>0</v>
      </c>
      <c r="BO14" s="626">
        <f t="shared" si="2"/>
        <v>0</v>
      </c>
      <c r="BP14" s="626">
        <f t="shared" si="2"/>
        <v>0</v>
      </c>
      <c r="BQ14" s="626">
        <f t="shared" si="2"/>
        <v>0</v>
      </c>
      <c r="BR14" s="626">
        <f t="shared" si="2"/>
        <v>0</v>
      </c>
      <c r="BS14" s="626">
        <f t="shared" si="2"/>
        <v>0</v>
      </c>
      <c r="BT14" s="626">
        <f t="shared" si="2"/>
        <v>0</v>
      </c>
      <c r="BU14" s="626">
        <f t="shared" si="2"/>
        <v>0</v>
      </c>
      <c r="BV14" s="626">
        <f t="shared" si="2"/>
        <v>0</v>
      </c>
      <c r="BW14" s="532"/>
      <c r="BX14" s="627"/>
      <c r="BY14" s="627"/>
      <c r="BZ14" s="34"/>
      <c r="CA14" s="33"/>
      <c r="CB14" s="33"/>
      <c r="CG14" s="223"/>
    </row>
    <row r="15" spans="1:85" ht="60" customHeight="1" outlineLevel="1">
      <c r="A15" s="628">
        <v>1</v>
      </c>
      <c r="B15" s="629" t="s">
        <v>321</v>
      </c>
      <c r="C15" s="431" t="s">
        <v>856</v>
      </c>
      <c r="D15" s="431" t="s">
        <v>3596</v>
      </c>
      <c r="E15" s="535"/>
      <c r="F15" s="431"/>
      <c r="G15" s="630"/>
      <c r="H15" s="540"/>
      <c r="I15" s="535"/>
      <c r="J15" s="540"/>
      <c r="K15" s="535"/>
      <c r="L15" s="535"/>
      <c r="M15" s="87"/>
      <c r="N15" s="87"/>
      <c r="O15" s="87"/>
      <c r="P15" s="87"/>
      <c r="Q15" s="87"/>
      <c r="R15" s="88"/>
      <c r="S15" s="88">
        <f>SUM(T15:V15)</f>
        <v>0</v>
      </c>
      <c r="T15" s="88"/>
      <c r="U15" s="88"/>
      <c r="V15" s="88"/>
      <c r="W15" s="88">
        <f t="shared" ref="W15:W27" si="3">AA15+AB15+AC15</f>
        <v>2000</v>
      </c>
      <c r="X15" s="88"/>
      <c r="Y15" s="88"/>
      <c r="Z15" s="88">
        <f>SUM(AA15:AC15)</f>
        <v>2000</v>
      </c>
      <c r="AA15" s="88">
        <v>0</v>
      </c>
      <c r="AB15" s="88"/>
      <c r="AC15" s="88">
        <v>2000</v>
      </c>
      <c r="AD15" s="88">
        <f t="shared" ref="AD15:AD27" si="4">SUM(AE15:AG15)</f>
        <v>0</v>
      </c>
      <c r="AE15" s="88"/>
      <c r="AF15" s="88"/>
      <c r="AG15" s="88">
        <f t="shared" ref="AG15:AG27" si="5">SUM(AH15:AK15)</f>
        <v>0</v>
      </c>
      <c r="AH15" s="88"/>
      <c r="AI15" s="88"/>
      <c r="AJ15" s="88"/>
      <c r="AK15" s="88"/>
      <c r="AL15" s="88">
        <f t="shared" ref="AL15:AL27" si="6">SUM(AM15:AO15)</f>
        <v>0</v>
      </c>
      <c r="AM15" s="88"/>
      <c r="AN15" s="88"/>
      <c r="AO15" s="88">
        <f t="shared" ref="AO15:AO27" si="7">SUM(AP15:AS15)</f>
        <v>0</v>
      </c>
      <c r="AP15" s="88"/>
      <c r="AQ15" s="88"/>
      <c r="AR15" s="88"/>
      <c r="AS15" s="88"/>
      <c r="AT15" s="88">
        <f t="shared" ref="AT15:AT27" si="8">AX15+AY15+AZ15</f>
        <v>2000</v>
      </c>
      <c r="AU15" s="88"/>
      <c r="AV15" s="88"/>
      <c r="AW15" s="88">
        <f>SUM(AX15:AZ15)</f>
        <v>2000</v>
      </c>
      <c r="AX15" s="88"/>
      <c r="AY15" s="88"/>
      <c r="AZ15" s="88">
        <v>2000</v>
      </c>
      <c r="BA15" s="89">
        <f>SUM(BB15:BD15)</f>
        <v>2000</v>
      </c>
      <c r="BB15" s="89"/>
      <c r="BC15" s="89"/>
      <c r="BD15" s="89">
        <f>SUM(BE15:BH15)</f>
        <v>2000</v>
      </c>
      <c r="BE15" s="89"/>
      <c r="BF15" s="89"/>
      <c r="BG15" s="89"/>
      <c r="BH15" s="89">
        <v>2000</v>
      </c>
      <c r="BI15" s="631">
        <f>SUM(BJ15:BL15)</f>
        <v>0</v>
      </c>
      <c r="BJ15" s="631"/>
      <c r="BK15" s="631"/>
      <c r="BL15" s="631"/>
      <c r="BM15" s="631">
        <f>SUM(BN15:BP15)</f>
        <v>0</v>
      </c>
      <c r="BN15" s="631"/>
      <c r="BO15" s="631"/>
      <c r="BP15" s="631"/>
      <c r="BQ15" s="631">
        <f>SUM(BR15:BT15)</f>
        <v>0</v>
      </c>
      <c r="BR15" s="631"/>
      <c r="BS15" s="631"/>
      <c r="BT15" s="631"/>
      <c r="BU15" s="631"/>
      <c r="BV15" s="631"/>
      <c r="BW15" s="535"/>
      <c r="BX15" s="42"/>
      <c r="BY15" s="42"/>
      <c r="BZ15" s="36"/>
      <c r="CA15" s="35"/>
      <c r="CB15" s="35"/>
      <c r="CD15" s="28"/>
      <c r="CE15" s="28"/>
      <c r="CF15" s="28"/>
    </row>
    <row r="16" spans="1:85" ht="55.5" customHeight="1" outlineLevel="1">
      <c r="A16" s="628">
        <v>2</v>
      </c>
      <c r="B16" s="629" t="s">
        <v>545</v>
      </c>
      <c r="C16" s="535" t="s">
        <v>542</v>
      </c>
      <c r="D16" s="535" t="s">
        <v>570</v>
      </c>
      <c r="E16" s="535"/>
      <c r="F16" s="431"/>
      <c r="G16" s="541"/>
      <c r="H16" s="540"/>
      <c r="I16" s="535"/>
      <c r="J16" s="540"/>
      <c r="K16" s="535"/>
      <c r="L16" s="535"/>
      <c r="M16" s="87"/>
      <c r="N16" s="87"/>
      <c r="O16" s="87"/>
      <c r="P16" s="87"/>
      <c r="Q16" s="87"/>
      <c r="R16" s="88"/>
      <c r="S16" s="88"/>
      <c r="T16" s="88"/>
      <c r="U16" s="88"/>
      <c r="V16" s="88"/>
      <c r="W16" s="88">
        <f t="shared" si="3"/>
        <v>78.613</v>
      </c>
      <c r="X16" s="88"/>
      <c r="Y16" s="88"/>
      <c r="Z16" s="88">
        <f t="shared" ref="Z16:Z27" si="9">SUM(AB16:AC16)</f>
        <v>78.613</v>
      </c>
      <c r="AA16" s="88">
        <v>0</v>
      </c>
      <c r="AB16" s="88">
        <v>78.613</v>
      </c>
      <c r="AC16" s="88"/>
      <c r="AD16" s="88">
        <f t="shared" si="4"/>
        <v>78.613</v>
      </c>
      <c r="AE16" s="88"/>
      <c r="AF16" s="88"/>
      <c r="AG16" s="88">
        <f t="shared" si="5"/>
        <v>78.613</v>
      </c>
      <c r="AH16" s="88"/>
      <c r="AI16" s="88"/>
      <c r="AJ16" s="88">
        <v>78.613</v>
      </c>
      <c r="AK16" s="88"/>
      <c r="AL16" s="88">
        <f t="shared" si="6"/>
        <v>78.613</v>
      </c>
      <c r="AM16" s="88"/>
      <c r="AN16" s="88"/>
      <c r="AO16" s="88">
        <f t="shared" si="7"/>
        <v>78.613</v>
      </c>
      <c r="AP16" s="88"/>
      <c r="AQ16" s="88"/>
      <c r="AR16" s="88">
        <v>78.613</v>
      </c>
      <c r="AS16" s="88"/>
      <c r="AT16" s="88">
        <f t="shared" si="8"/>
        <v>0</v>
      </c>
      <c r="AU16" s="88"/>
      <c r="AV16" s="88"/>
      <c r="AW16" s="88">
        <f>SUM(AX16:AZ16)</f>
        <v>0</v>
      </c>
      <c r="AX16" s="88"/>
      <c r="AY16" s="88"/>
      <c r="AZ16" s="88"/>
      <c r="BA16" s="89">
        <f>SUM(BB16:BD16)</f>
        <v>0</v>
      </c>
      <c r="BB16" s="89"/>
      <c r="BC16" s="89"/>
      <c r="BD16" s="89">
        <f>SUM(BE16:BH16)</f>
        <v>0</v>
      </c>
      <c r="BE16" s="89"/>
      <c r="BF16" s="89"/>
      <c r="BG16" s="89"/>
      <c r="BH16" s="89"/>
      <c r="BI16" s="631">
        <f>SUM(BJ16:BL16)</f>
        <v>0</v>
      </c>
      <c r="BJ16" s="631"/>
      <c r="BK16" s="631"/>
      <c r="BL16" s="631"/>
      <c r="BM16" s="631">
        <f>SUM(BN16:BP16)</f>
        <v>0</v>
      </c>
      <c r="BN16" s="631"/>
      <c r="BO16" s="631"/>
      <c r="BP16" s="631"/>
      <c r="BQ16" s="631">
        <f>SUM(BR16:BT16)</f>
        <v>0</v>
      </c>
      <c r="BR16" s="631"/>
      <c r="BS16" s="631"/>
      <c r="BT16" s="631"/>
      <c r="BU16" s="631"/>
      <c r="BV16" s="631"/>
      <c r="BW16" s="535">
        <v>2024</v>
      </c>
      <c r="BX16" s="42"/>
      <c r="BY16" s="42"/>
      <c r="BZ16" s="36"/>
      <c r="CA16" s="35"/>
      <c r="CB16" s="35"/>
      <c r="CC16" s="50"/>
      <c r="CD16" s="55"/>
      <c r="CE16" s="56"/>
      <c r="CF16" s="56"/>
    </row>
    <row r="17" spans="1:85" ht="55.5" customHeight="1" outlineLevel="1">
      <c r="A17" s="628">
        <v>3</v>
      </c>
      <c r="B17" s="629" t="s">
        <v>546</v>
      </c>
      <c r="C17" s="535" t="s">
        <v>542</v>
      </c>
      <c r="D17" s="535" t="s">
        <v>570</v>
      </c>
      <c r="E17" s="535"/>
      <c r="F17" s="431"/>
      <c r="G17" s="541"/>
      <c r="H17" s="540"/>
      <c r="I17" s="535"/>
      <c r="J17" s="540"/>
      <c r="K17" s="535"/>
      <c r="L17" s="535"/>
      <c r="M17" s="87"/>
      <c r="N17" s="87"/>
      <c r="O17" s="87"/>
      <c r="P17" s="87"/>
      <c r="Q17" s="87"/>
      <c r="R17" s="88"/>
      <c r="S17" s="88"/>
      <c r="T17" s="88"/>
      <c r="U17" s="88"/>
      <c r="V17" s="88"/>
      <c r="W17" s="88">
        <f t="shared" si="3"/>
        <v>24</v>
      </c>
      <c r="X17" s="88"/>
      <c r="Y17" s="88"/>
      <c r="Z17" s="88">
        <f t="shared" si="9"/>
        <v>24</v>
      </c>
      <c r="AA17" s="88">
        <v>0</v>
      </c>
      <c r="AB17" s="88">
        <v>24</v>
      </c>
      <c r="AC17" s="88"/>
      <c r="AD17" s="88">
        <f t="shared" si="4"/>
        <v>24</v>
      </c>
      <c r="AE17" s="88"/>
      <c r="AF17" s="88"/>
      <c r="AG17" s="88">
        <f t="shared" si="5"/>
        <v>24</v>
      </c>
      <c r="AH17" s="88"/>
      <c r="AI17" s="88"/>
      <c r="AJ17" s="88">
        <v>24</v>
      </c>
      <c r="AK17" s="88"/>
      <c r="AL17" s="88">
        <f t="shared" si="6"/>
        <v>24</v>
      </c>
      <c r="AM17" s="88"/>
      <c r="AN17" s="88"/>
      <c r="AO17" s="88">
        <f t="shared" si="7"/>
        <v>24</v>
      </c>
      <c r="AP17" s="88"/>
      <c r="AQ17" s="88"/>
      <c r="AR17" s="88">
        <v>24</v>
      </c>
      <c r="AS17" s="88"/>
      <c r="AT17" s="88">
        <f t="shared" si="8"/>
        <v>0</v>
      </c>
      <c r="AU17" s="88"/>
      <c r="AV17" s="88"/>
      <c r="AW17" s="88">
        <f>SUM(AX17:AZ17)</f>
        <v>0</v>
      </c>
      <c r="AX17" s="88"/>
      <c r="AY17" s="88"/>
      <c r="AZ17" s="88"/>
      <c r="BA17" s="89">
        <f>SUM(BB17:BD17)</f>
        <v>0</v>
      </c>
      <c r="BB17" s="89"/>
      <c r="BC17" s="89"/>
      <c r="BD17" s="89">
        <f>SUM(BE17:BH17)</f>
        <v>0</v>
      </c>
      <c r="BE17" s="89"/>
      <c r="BF17" s="89"/>
      <c r="BG17" s="89"/>
      <c r="BH17" s="89"/>
      <c r="BI17" s="631">
        <f>SUM(BJ17:BL17)</f>
        <v>0</v>
      </c>
      <c r="BJ17" s="631"/>
      <c r="BK17" s="631"/>
      <c r="BL17" s="631"/>
      <c r="BM17" s="631">
        <f>SUM(BN17:BP17)</f>
        <v>0</v>
      </c>
      <c r="BN17" s="631"/>
      <c r="BO17" s="631"/>
      <c r="BP17" s="631"/>
      <c r="BQ17" s="631">
        <f>SUM(BR17:BT17)</f>
        <v>0</v>
      </c>
      <c r="BR17" s="631"/>
      <c r="BS17" s="631"/>
      <c r="BT17" s="631"/>
      <c r="BU17" s="631"/>
      <c r="BV17" s="631"/>
      <c r="BW17" s="535">
        <v>2024</v>
      </c>
      <c r="BX17" s="42"/>
      <c r="BY17" s="42"/>
      <c r="BZ17" s="36"/>
      <c r="CA17" s="35"/>
      <c r="CB17" s="35"/>
      <c r="CC17" s="50"/>
      <c r="CD17" s="55" t="s">
        <v>544</v>
      </c>
      <c r="CE17" s="56"/>
      <c r="CF17" s="56"/>
    </row>
    <row r="18" spans="1:85" ht="55.5" customHeight="1" outlineLevel="1">
      <c r="A18" s="628">
        <v>4</v>
      </c>
      <c r="B18" s="629" t="s">
        <v>547</v>
      </c>
      <c r="C18" s="535" t="s">
        <v>542</v>
      </c>
      <c r="D18" s="535" t="s">
        <v>570</v>
      </c>
      <c r="E18" s="535"/>
      <c r="F18" s="431"/>
      <c r="G18" s="541"/>
      <c r="H18" s="540"/>
      <c r="I18" s="535"/>
      <c r="J18" s="540"/>
      <c r="K18" s="535"/>
      <c r="L18" s="535"/>
      <c r="M18" s="87"/>
      <c r="N18" s="87"/>
      <c r="O18" s="87"/>
      <c r="P18" s="87"/>
      <c r="Q18" s="87"/>
      <c r="R18" s="88"/>
      <c r="S18" s="88"/>
      <c r="T18" s="88"/>
      <c r="U18" s="88"/>
      <c r="V18" s="88"/>
      <c r="W18" s="88">
        <f t="shared" si="3"/>
        <v>99.999690999999984</v>
      </c>
      <c r="X18" s="88"/>
      <c r="Y18" s="88"/>
      <c r="Z18" s="88">
        <f t="shared" si="9"/>
        <v>99.999690999999984</v>
      </c>
      <c r="AA18" s="88">
        <v>0</v>
      </c>
      <c r="AB18" s="88">
        <v>99.999690999999984</v>
      </c>
      <c r="AC18" s="88"/>
      <c r="AD18" s="88">
        <f t="shared" si="4"/>
        <v>99.999690999999984</v>
      </c>
      <c r="AE18" s="88"/>
      <c r="AF18" s="88"/>
      <c r="AG18" s="88">
        <f t="shared" si="5"/>
        <v>99.999690999999984</v>
      </c>
      <c r="AH18" s="88"/>
      <c r="AI18" s="88"/>
      <c r="AJ18" s="88">
        <v>99.999690999999984</v>
      </c>
      <c r="AK18" s="88"/>
      <c r="AL18" s="88">
        <f t="shared" si="6"/>
        <v>100</v>
      </c>
      <c r="AM18" s="88"/>
      <c r="AN18" s="88"/>
      <c r="AO18" s="88">
        <f t="shared" si="7"/>
        <v>100</v>
      </c>
      <c r="AP18" s="88"/>
      <c r="AQ18" s="88"/>
      <c r="AR18" s="88">
        <v>100</v>
      </c>
      <c r="AS18" s="88"/>
      <c r="AT18" s="88">
        <f t="shared" si="8"/>
        <v>0</v>
      </c>
      <c r="AU18" s="88"/>
      <c r="AV18" s="88"/>
      <c r="AW18" s="88">
        <f>SUM(AX18:AZ18)</f>
        <v>0</v>
      </c>
      <c r="AX18" s="88"/>
      <c r="AY18" s="88"/>
      <c r="AZ18" s="88"/>
      <c r="BA18" s="89">
        <f>SUM(BB18:BD18)</f>
        <v>0</v>
      </c>
      <c r="BB18" s="89"/>
      <c r="BC18" s="89"/>
      <c r="BD18" s="89">
        <f>SUM(BE18:BH18)</f>
        <v>0</v>
      </c>
      <c r="BE18" s="89"/>
      <c r="BF18" s="89"/>
      <c r="BG18" s="89"/>
      <c r="BH18" s="89"/>
      <c r="BI18" s="631">
        <f>SUM(BJ18:BL18)</f>
        <v>0</v>
      </c>
      <c r="BJ18" s="631"/>
      <c r="BK18" s="631"/>
      <c r="BL18" s="631"/>
      <c r="BM18" s="631">
        <f>SUM(BN18:BP18)</f>
        <v>0</v>
      </c>
      <c r="BN18" s="631"/>
      <c r="BO18" s="631"/>
      <c r="BP18" s="631"/>
      <c r="BQ18" s="631">
        <f>SUM(BR18:BT18)</f>
        <v>0</v>
      </c>
      <c r="BR18" s="631"/>
      <c r="BS18" s="631"/>
      <c r="BT18" s="631"/>
      <c r="BU18" s="631"/>
      <c r="BV18" s="631"/>
      <c r="BW18" s="535">
        <v>2024</v>
      </c>
      <c r="BX18" s="42"/>
      <c r="BY18" s="42"/>
      <c r="BZ18" s="36"/>
      <c r="CA18" s="35"/>
      <c r="CB18" s="35"/>
      <c r="CC18" s="50"/>
      <c r="CD18" s="55" t="s">
        <v>548</v>
      </c>
      <c r="CE18" s="56"/>
      <c r="CF18" s="56"/>
    </row>
    <row r="19" spans="1:85" ht="55.5" customHeight="1" outlineLevel="1">
      <c r="A19" s="628">
        <v>5</v>
      </c>
      <c r="B19" s="629" t="s">
        <v>872</v>
      </c>
      <c r="C19" s="535" t="s">
        <v>68</v>
      </c>
      <c r="D19" s="535" t="s">
        <v>570</v>
      </c>
      <c r="E19" s="535"/>
      <c r="F19" s="431"/>
      <c r="G19" s="541"/>
      <c r="H19" s="540"/>
      <c r="I19" s="535"/>
      <c r="J19" s="540"/>
      <c r="K19" s="535"/>
      <c r="L19" s="535"/>
      <c r="M19" s="87"/>
      <c r="N19" s="87"/>
      <c r="O19" s="87"/>
      <c r="P19" s="87"/>
      <c r="Q19" s="87"/>
      <c r="R19" s="88"/>
      <c r="S19" s="88"/>
      <c r="T19" s="88"/>
      <c r="U19" s="88"/>
      <c r="V19" s="88"/>
      <c r="W19" s="88">
        <f t="shared" si="3"/>
        <v>628.22900000000004</v>
      </c>
      <c r="X19" s="88"/>
      <c r="Y19" s="88"/>
      <c r="Z19" s="88">
        <f t="shared" si="9"/>
        <v>628.22900000000004</v>
      </c>
      <c r="AA19" s="88"/>
      <c r="AB19" s="88">
        <f>1000-371.771</f>
        <v>628.22900000000004</v>
      </c>
      <c r="AC19" s="88"/>
      <c r="AD19" s="88">
        <f t="shared" si="4"/>
        <v>628.22900000000004</v>
      </c>
      <c r="AE19" s="88"/>
      <c r="AF19" s="88"/>
      <c r="AG19" s="88">
        <f t="shared" si="5"/>
        <v>628.22900000000004</v>
      </c>
      <c r="AH19" s="88"/>
      <c r="AI19" s="88"/>
      <c r="AJ19" s="88">
        <f>1000-371.771</f>
        <v>628.22900000000004</v>
      </c>
      <c r="AK19" s="88"/>
      <c r="AL19" s="88">
        <f t="shared" si="6"/>
        <v>628.22900000000004</v>
      </c>
      <c r="AM19" s="88"/>
      <c r="AN19" s="88"/>
      <c r="AO19" s="88">
        <f t="shared" si="7"/>
        <v>628.22900000000004</v>
      </c>
      <c r="AP19" s="88"/>
      <c r="AQ19" s="88"/>
      <c r="AR19" s="88">
        <f>1000-371.771</f>
        <v>628.22900000000004</v>
      </c>
      <c r="AS19" s="88"/>
      <c r="AT19" s="88">
        <f t="shared" si="8"/>
        <v>0</v>
      </c>
      <c r="AU19" s="88"/>
      <c r="AV19" s="88"/>
      <c r="AW19" s="88"/>
      <c r="AX19" s="88"/>
      <c r="AY19" s="88"/>
      <c r="AZ19" s="88"/>
      <c r="BA19" s="89"/>
      <c r="BB19" s="89"/>
      <c r="BC19" s="89"/>
      <c r="BD19" s="89"/>
      <c r="BE19" s="89"/>
      <c r="BF19" s="89"/>
      <c r="BG19" s="89"/>
      <c r="BH19" s="89"/>
      <c r="BI19" s="631"/>
      <c r="BJ19" s="631"/>
      <c r="BK19" s="631"/>
      <c r="BL19" s="631"/>
      <c r="BM19" s="631"/>
      <c r="BN19" s="631"/>
      <c r="BO19" s="631"/>
      <c r="BP19" s="631"/>
      <c r="BQ19" s="631"/>
      <c r="BR19" s="631"/>
      <c r="BS19" s="631"/>
      <c r="BT19" s="631"/>
      <c r="BU19" s="631"/>
      <c r="BV19" s="631"/>
      <c r="BW19" s="535">
        <v>2022</v>
      </c>
      <c r="BX19" s="42"/>
      <c r="BY19" s="42"/>
      <c r="BZ19" s="36"/>
      <c r="CA19" s="35"/>
      <c r="CB19" s="35"/>
      <c r="CC19" s="50"/>
      <c r="CD19" s="55" t="s">
        <v>549</v>
      </c>
      <c r="CE19" s="56" t="s">
        <v>550</v>
      </c>
      <c r="CF19" s="56" t="s">
        <v>551</v>
      </c>
    </row>
    <row r="20" spans="1:85" ht="55.5" customHeight="1" outlineLevel="1">
      <c r="A20" s="628">
        <v>6</v>
      </c>
      <c r="B20" s="629" t="s">
        <v>552</v>
      </c>
      <c r="C20" s="535" t="s">
        <v>553</v>
      </c>
      <c r="D20" s="535" t="s">
        <v>570</v>
      </c>
      <c r="E20" s="535"/>
      <c r="F20" s="431"/>
      <c r="G20" s="541"/>
      <c r="H20" s="540"/>
      <c r="I20" s="535"/>
      <c r="J20" s="540"/>
      <c r="K20" s="535"/>
      <c r="L20" s="535"/>
      <c r="M20" s="87"/>
      <c r="N20" s="87"/>
      <c r="O20" s="87"/>
      <c r="P20" s="87"/>
      <c r="Q20" s="87"/>
      <c r="R20" s="88"/>
      <c r="S20" s="88"/>
      <c r="T20" s="88"/>
      <c r="U20" s="88"/>
      <c r="V20" s="88"/>
      <c r="W20" s="88">
        <f t="shared" si="3"/>
        <v>156.27473499999999</v>
      </c>
      <c r="X20" s="88"/>
      <c r="Y20" s="88"/>
      <c r="Z20" s="88">
        <f t="shared" si="9"/>
        <v>156.27473499999999</v>
      </c>
      <c r="AA20" s="88"/>
      <c r="AB20" s="88">
        <v>156.27473499999999</v>
      </c>
      <c r="AC20" s="88"/>
      <c r="AD20" s="88">
        <f t="shared" si="4"/>
        <v>156.27473499999999</v>
      </c>
      <c r="AE20" s="88"/>
      <c r="AF20" s="88"/>
      <c r="AG20" s="88">
        <f t="shared" si="5"/>
        <v>156.27473499999999</v>
      </c>
      <c r="AH20" s="88"/>
      <c r="AI20" s="88"/>
      <c r="AJ20" s="88">
        <v>156.27473499999999</v>
      </c>
      <c r="AK20" s="88"/>
      <c r="AL20" s="88">
        <f t="shared" si="6"/>
        <v>156.27473499999999</v>
      </c>
      <c r="AM20" s="88"/>
      <c r="AN20" s="88"/>
      <c r="AO20" s="88">
        <f t="shared" si="7"/>
        <v>156.27473499999999</v>
      </c>
      <c r="AP20" s="88"/>
      <c r="AQ20" s="88"/>
      <c r="AR20" s="88">
        <v>156.27473499999999</v>
      </c>
      <c r="AS20" s="88"/>
      <c r="AT20" s="88">
        <f t="shared" si="8"/>
        <v>0</v>
      </c>
      <c r="AU20" s="88"/>
      <c r="AV20" s="88"/>
      <c r="AW20" s="88"/>
      <c r="AX20" s="88"/>
      <c r="AY20" s="88"/>
      <c r="AZ20" s="88"/>
      <c r="BA20" s="89"/>
      <c r="BB20" s="89"/>
      <c r="BC20" s="89"/>
      <c r="BD20" s="89"/>
      <c r="BE20" s="89"/>
      <c r="BF20" s="89"/>
      <c r="BG20" s="89"/>
      <c r="BH20" s="89"/>
      <c r="BI20" s="631"/>
      <c r="BJ20" s="631"/>
      <c r="BK20" s="631"/>
      <c r="BL20" s="631"/>
      <c r="BM20" s="631"/>
      <c r="BN20" s="631"/>
      <c r="BO20" s="631"/>
      <c r="BP20" s="631"/>
      <c r="BQ20" s="631"/>
      <c r="BR20" s="631"/>
      <c r="BS20" s="631"/>
      <c r="BT20" s="631"/>
      <c r="BU20" s="631"/>
      <c r="BV20" s="631"/>
      <c r="BW20" s="535">
        <v>2023</v>
      </c>
      <c r="BX20" s="42"/>
      <c r="BY20" s="42"/>
      <c r="BZ20" s="36"/>
      <c r="CA20" s="35"/>
      <c r="CB20" s="35"/>
      <c r="CC20" s="50"/>
      <c r="CD20" s="55" t="s">
        <v>554</v>
      </c>
      <c r="CE20" s="56"/>
      <c r="CF20" s="56"/>
    </row>
    <row r="21" spans="1:85" ht="57" outlineLevel="1">
      <c r="A21" s="628">
        <v>7</v>
      </c>
      <c r="B21" s="629" t="s">
        <v>555</v>
      </c>
      <c r="C21" s="535" t="s">
        <v>553</v>
      </c>
      <c r="D21" s="535" t="s">
        <v>570</v>
      </c>
      <c r="E21" s="535"/>
      <c r="F21" s="431"/>
      <c r="G21" s="541"/>
      <c r="H21" s="540"/>
      <c r="I21" s="535"/>
      <c r="J21" s="540"/>
      <c r="K21" s="535"/>
      <c r="L21" s="535"/>
      <c r="M21" s="87"/>
      <c r="N21" s="87"/>
      <c r="O21" s="87"/>
      <c r="P21" s="87"/>
      <c r="Q21" s="87"/>
      <c r="R21" s="88"/>
      <c r="S21" s="88"/>
      <c r="T21" s="88"/>
      <c r="U21" s="88"/>
      <c r="V21" s="88"/>
      <c r="W21" s="88">
        <f t="shared" si="3"/>
        <v>94.950264999999973</v>
      </c>
      <c r="X21" s="88"/>
      <c r="Y21" s="88"/>
      <c r="Z21" s="88">
        <f t="shared" si="9"/>
        <v>94.950264999999973</v>
      </c>
      <c r="AA21" s="88"/>
      <c r="AB21" s="88">
        <f>349.725265-254.775</f>
        <v>94.950264999999973</v>
      </c>
      <c r="AC21" s="88"/>
      <c r="AD21" s="88">
        <f t="shared" si="4"/>
        <v>94.950264999999973</v>
      </c>
      <c r="AE21" s="88"/>
      <c r="AF21" s="88"/>
      <c r="AG21" s="88">
        <f t="shared" si="5"/>
        <v>94.950264999999973</v>
      </c>
      <c r="AH21" s="88"/>
      <c r="AI21" s="88"/>
      <c r="AJ21" s="88">
        <f>349.725265-254.775</f>
        <v>94.950264999999973</v>
      </c>
      <c r="AK21" s="88"/>
      <c r="AL21" s="88">
        <f t="shared" si="6"/>
        <v>94.950264999999973</v>
      </c>
      <c r="AM21" s="88"/>
      <c r="AN21" s="88"/>
      <c r="AO21" s="88">
        <f t="shared" si="7"/>
        <v>94.950264999999973</v>
      </c>
      <c r="AP21" s="88"/>
      <c r="AQ21" s="88"/>
      <c r="AR21" s="88">
        <f>349.725265-254.775</f>
        <v>94.950264999999973</v>
      </c>
      <c r="AS21" s="88"/>
      <c r="AT21" s="88">
        <f t="shared" si="8"/>
        <v>0</v>
      </c>
      <c r="AU21" s="88"/>
      <c r="AV21" s="88"/>
      <c r="AW21" s="88"/>
      <c r="AX21" s="88"/>
      <c r="AY21" s="88"/>
      <c r="AZ21" s="88"/>
      <c r="BA21" s="89"/>
      <c r="BB21" s="89"/>
      <c r="BC21" s="89"/>
      <c r="BD21" s="89"/>
      <c r="BE21" s="89"/>
      <c r="BF21" s="89"/>
      <c r="BG21" s="89"/>
      <c r="BH21" s="89"/>
      <c r="BI21" s="631"/>
      <c r="BJ21" s="631"/>
      <c r="BK21" s="631"/>
      <c r="BL21" s="631"/>
      <c r="BM21" s="631"/>
      <c r="BN21" s="631"/>
      <c r="BO21" s="631"/>
      <c r="BP21" s="631"/>
      <c r="BQ21" s="631"/>
      <c r="BR21" s="631"/>
      <c r="BS21" s="631"/>
      <c r="BT21" s="631"/>
      <c r="BU21" s="631"/>
      <c r="BV21" s="631"/>
      <c r="BW21" s="535">
        <v>2023</v>
      </c>
      <c r="BX21" s="42"/>
      <c r="BY21" s="42"/>
      <c r="BZ21" s="40"/>
      <c r="CA21" s="39"/>
      <c r="CB21" s="39"/>
      <c r="CC21" s="63"/>
      <c r="CD21" s="57" t="s">
        <v>554</v>
      </c>
      <c r="CE21" s="79"/>
      <c r="CF21" s="57" t="s">
        <v>556</v>
      </c>
    </row>
    <row r="22" spans="1:85" ht="57" outlineLevel="1">
      <c r="A22" s="628">
        <v>8</v>
      </c>
      <c r="B22" s="629" t="s">
        <v>557</v>
      </c>
      <c r="C22" s="535" t="s">
        <v>553</v>
      </c>
      <c r="D22" s="535" t="s">
        <v>570</v>
      </c>
      <c r="E22" s="535"/>
      <c r="F22" s="431"/>
      <c r="G22" s="541"/>
      <c r="H22" s="540"/>
      <c r="I22" s="535"/>
      <c r="J22" s="540"/>
      <c r="K22" s="535"/>
      <c r="L22" s="535"/>
      <c r="M22" s="87"/>
      <c r="N22" s="87"/>
      <c r="O22" s="87"/>
      <c r="P22" s="87"/>
      <c r="Q22" s="87"/>
      <c r="R22" s="88"/>
      <c r="S22" s="88"/>
      <c r="T22" s="88"/>
      <c r="U22" s="88"/>
      <c r="V22" s="88"/>
      <c r="W22" s="88">
        <f t="shared" si="3"/>
        <v>492</v>
      </c>
      <c r="X22" s="88"/>
      <c r="Y22" s="88"/>
      <c r="Z22" s="88">
        <f t="shared" si="9"/>
        <v>492</v>
      </c>
      <c r="AA22" s="88"/>
      <c r="AB22" s="88">
        <v>492</v>
      </c>
      <c r="AC22" s="88"/>
      <c r="AD22" s="88">
        <f t="shared" si="4"/>
        <v>492</v>
      </c>
      <c r="AE22" s="88"/>
      <c r="AF22" s="88"/>
      <c r="AG22" s="88">
        <f t="shared" si="5"/>
        <v>492</v>
      </c>
      <c r="AH22" s="88"/>
      <c r="AI22" s="88"/>
      <c r="AJ22" s="88">
        <v>492</v>
      </c>
      <c r="AK22" s="88"/>
      <c r="AL22" s="88">
        <f t="shared" si="6"/>
        <v>492</v>
      </c>
      <c r="AM22" s="88"/>
      <c r="AN22" s="88"/>
      <c r="AO22" s="88">
        <f t="shared" si="7"/>
        <v>492</v>
      </c>
      <c r="AP22" s="88"/>
      <c r="AQ22" s="88"/>
      <c r="AR22" s="88">
        <v>492</v>
      </c>
      <c r="AS22" s="88"/>
      <c r="AT22" s="88">
        <f t="shared" si="8"/>
        <v>0</v>
      </c>
      <c r="AU22" s="88"/>
      <c r="AV22" s="88"/>
      <c r="AW22" s="88"/>
      <c r="AX22" s="88"/>
      <c r="AY22" s="88"/>
      <c r="AZ22" s="88"/>
      <c r="BA22" s="89"/>
      <c r="BB22" s="89"/>
      <c r="BC22" s="89"/>
      <c r="BD22" s="89"/>
      <c r="BE22" s="89"/>
      <c r="BF22" s="89"/>
      <c r="BG22" s="89"/>
      <c r="BH22" s="89"/>
      <c r="BI22" s="631"/>
      <c r="BJ22" s="631"/>
      <c r="BK22" s="631"/>
      <c r="BL22" s="631"/>
      <c r="BM22" s="631"/>
      <c r="BN22" s="631"/>
      <c r="BO22" s="631"/>
      <c r="BP22" s="631"/>
      <c r="BQ22" s="631"/>
      <c r="BR22" s="631"/>
      <c r="BS22" s="631"/>
      <c r="BT22" s="631"/>
      <c r="BU22" s="631"/>
      <c r="BV22" s="631"/>
      <c r="BW22" s="535">
        <v>2023</v>
      </c>
      <c r="BX22" s="42"/>
      <c r="BY22" s="42"/>
      <c r="BZ22" s="40"/>
      <c r="CA22" s="39"/>
      <c r="CB22" s="39"/>
      <c r="CC22" s="63"/>
      <c r="CD22" s="57" t="s">
        <v>558</v>
      </c>
      <c r="CE22" s="79"/>
      <c r="CF22" s="64"/>
    </row>
    <row r="23" spans="1:85" ht="71.25" customHeight="1" outlineLevel="1">
      <c r="A23" s="628">
        <v>9</v>
      </c>
      <c r="B23" s="629" t="s">
        <v>559</v>
      </c>
      <c r="C23" s="535" t="s">
        <v>542</v>
      </c>
      <c r="D23" s="535" t="s">
        <v>570</v>
      </c>
      <c r="E23" s="535"/>
      <c r="F23" s="431"/>
      <c r="G23" s="541"/>
      <c r="H23" s="540"/>
      <c r="I23" s="535"/>
      <c r="J23" s="540"/>
      <c r="K23" s="535"/>
      <c r="L23" s="535"/>
      <c r="M23" s="87"/>
      <c r="N23" s="87"/>
      <c r="O23" s="87"/>
      <c r="P23" s="87"/>
      <c r="Q23" s="87"/>
      <c r="R23" s="88"/>
      <c r="S23" s="88"/>
      <c r="T23" s="88"/>
      <c r="U23" s="88"/>
      <c r="V23" s="88"/>
      <c r="W23" s="88">
        <f t="shared" si="3"/>
        <v>601</v>
      </c>
      <c r="X23" s="88"/>
      <c r="Y23" s="88"/>
      <c r="Z23" s="88">
        <f t="shared" si="9"/>
        <v>601</v>
      </c>
      <c r="AA23" s="88">
        <v>0</v>
      </c>
      <c r="AB23" s="88">
        <v>601</v>
      </c>
      <c r="AC23" s="88"/>
      <c r="AD23" s="88">
        <f t="shared" si="4"/>
        <v>601</v>
      </c>
      <c r="AE23" s="88"/>
      <c r="AF23" s="88"/>
      <c r="AG23" s="88">
        <f t="shared" si="5"/>
        <v>601</v>
      </c>
      <c r="AH23" s="88"/>
      <c r="AI23" s="88"/>
      <c r="AJ23" s="88">
        <v>601</v>
      </c>
      <c r="AK23" s="88"/>
      <c r="AL23" s="88">
        <f t="shared" si="6"/>
        <v>601</v>
      </c>
      <c r="AM23" s="88"/>
      <c r="AN23" s="88"/>
      <c r="AO23" s="88">
        <f t="shared" si="7"/>
        <v>601</v>
      </c>
      <c r="AP23" s="88"/>
      <c r="AQ23" s="88"/>
      <c r="AR23" s="88">
        <v>601</v>
      </c>
      <c r="AS23" s="88"/>
      <c r="AT23" s="88">
        <f t="shared" si="8"/>
        <v>0</v>
      </c>
      <c r="AU23" s="88"/>
      <c r="AV23" s="88"/>
      <c r="AW23" s="632">
        <f>SUM(AX23:AZ23)</f>
        <v>0</v>
      </c>
      <c r="AX23" s="88"/>
      <c r="AY23" s="88"/>
      <c r="AZ23" s="88"/>
      <c r="BA23" s="89"/>
      <c r="BB23" s="89"/>
      <c r="BC23" s="89"/>
      <c r="BD23" s="89"/>
      <c r="BE23" s="89"/>
      <c r="BF23" s="89"/>
      <c r="BG23" s="89"/>
      <c r="BH23" s="89"/>
      <c r="BI23" s="631"/>
      <c r="BJ23" s="631"/>
      <c r="BK23" s="631"/>
      <c r="BL23" s="631"/>
      <c r="BM23" s="631">
        <f>SUM(BN23:BP23)</f>
        <v>0</v>
      </c>
      <c r="BN23" s="631"/>
      <c r="BO23" s="631"/>
      <c r="BP23" s="631"/>
      <c r="BQ23" s="631">
        <f>SUM(BR23:BT23)</f>
        <v>0</v>
      </c>
      <c r="BR23" s="631"/>
      <c r="BS23" s="631"/>
      <c r="BT23" s="631"/>
      <c r="BU23" s="631"/>
      <c r="BV23" s="631"/>
      <c r="BW23" s="535">
        <v>2024</v>
      </c>
      <c r="BX23" s="42"/>
      <c r="BY23" s="42"/>
      <c r="BZ23" s="36"/>
      <c r="CA23" s="35"/>
      <c r="CB23" s="35"/>
      <c r="CC23" s="50"/>
      <c r="CD23" s="55" t="s">
        <v>560</v>
      </c>
      <c r="CE23" s="79"/>
      <c r="CF23" s="56"/>
    </row>
    <row r="24" spans="1:85" ht="105.75" customHeight="1" outlineLevel="1">
      <c r="A24" s="628">
        <v>11</v>
      </c>
      <c r="B24" s="629" t="s">
        <v>563</v>
      </c>
      <c r="C24" s="535" t="s">
        <v>542</v>
      </c>
      <c r="D24" s="535" t="s">
        <v>570</v>
      </c>
      <c r="E24" s="535"/>
      <c r="F24" s="431"/>
      <c r="G24" s="541"/>
      <c r="H24" s="540"/>
      <c r="I24" s="535"/>
      <c r="J24" s="540"/>
      <c r="K24" s="535"/>
      <c r="L24" s="535"/>
      <c r="M24" s="87"/>
      <c r="N24" s="87"/>
      <c r="O24" s="87"/>
      <c r="P24" s="87"/>
      <c r="Q24" s="87"/>
      <c r="R24" s="88"/>
      <c r="S24" s="88"/>
      <c r="T24" s="88"/>
      <c r="U24" s="88"/>
      <c r="V24" s="88"/>
      <c r="W24" s="88">
        <f t="shared" si="3"/>
        <v>460.38844900000004</v>
      </c>
      <c r="X24" s="88"/>
      <c r="Y24" s="88"/>
      <c r="Z24" s="88">
        <f t="shared" si="9"/>
        <v>460.38844900000004</v>
      </c>
      <c r="AA24" s="88">
        <v>0</v>
      </c>
      <c r="AB24" s="88">
        <f>636.826-176.437551</f>
        <v>460.38844900000004</v>
      </c>
      <c r="AC24" s="88"/>
      <c r="AD24" s="88">
        <f t="shared" si="4"/>
        <v>460.38844900000004</v>
      </c>
      <c r="AE24" s="88"/>
      <c r="AF24" s="88"/>
      <c r="AG24" s="88">
        <f t="shared" si="5"/>
        <v>460.38844900000004</v>
      </c>
      <c r="AH24" s="88"/>
      <c r="AI24" s="88"/>
      <c r="AJ24" s="88">
        <f>636.826-176.437551</f>
        <v>460.38844900000004</v>
      </c>
      <c r="AK24" s="88"/>
      <c r="AL24" s="88">
        <f t="shared" si="6"/>
        <v>460.38844900000004</v>
      </c>
      <c r="AM24" s="88"/>
      <c r="AN24" s="88"/>
      <c r="AO24" s="88">
        <f t="shared" si="7"/>
        <v>460.38844900000004</v>
      </c>
      <c r="AP24" s="88"/>
      <c r="AQ24" s="88"/>
      <c r="AR24" s="88">
        <f>636.826-176.437551</f>
        <v>460.38844900000004</v>
      </c>
      <c r="AS24" s="88"/>
      <c r="AT24" s="88">
        <f t="shared" si="8"/>
        <v>0</v>
      </c>
      <c r="AU24" s="88"/>
      <c r="AV24" s="88"/>
      <c r="AW24" s="88">
        <f>SUM(AX24:AZ24)</f>
        <v>0</v>
      </c>
      <c r="AX24" s="88"/>
      <c r="AY24" s="88"/>
      <c r="AZ24" s="88"/>
      <c r="BA24" s="89"/>
      <c r="BB24" s="89"/>
      <c r="BC24" s="89"/>
      <c r="BD24" s="89"/>
      <c r="BE24" s="89"/>
      <c r="BF24" s="89"/>
      <c r="BG24" s="89"/>
      <c r="BH24" s="89"/>
      <c r="BI24" s="631"/>
      <c r="BJ24" s="631"/>
      <c r="BK24" s="631"/>
      <c r="BL24" s="631"/>
      <c r="BM24" s="631">
        <f>SUM(BN24:BP24)</f>
        <v>0</v>
      </c>
      <c r="BN24" s="631"/>
      <c r="BO24" s="631"/>
      <c r="BP24" s="631"/>
      <c r="BQ24" s="631">
        <f>SUM(BR24:BT24)</f>
        <v>0</v>
      </c>
      <c r="BR24" s="631"/>
      <c r="BS24" s="631"/>
      <c r="BT24" s="631"/>
      <c r="BU24" s="631"/>
      <c r="BV24" s="631"/>
      <c r="BW24" s="535">
        <v>2024</v>
      </c>
      <c r="BX24" s="42"/>
      <c r="BY24" s="42"/>
      <c r="BZ24" s="36"/>
      <c r="CA24" s="35"/>
      <c r="CB24" s="35"/>
      <c r="CC24" s="50"/>
      <c r="CD24" s="55" t="s">
        <v>564</v>
      </c>
      <c r="CE24" s="79"/>
      <c r="CF24" s="57" t="s">
        <v>565</v>
      </c>
    </row>
    <row r="25" spans="1:85" ht="77.25" customHeight="1" outlineLevel="1">
      <c r="A25" s="628">
        <v>12</v>
      </c>
      <c r="B25" s="629" t="s">
        <v>566</v>
      </c>
      <c r="C25" s="535" t="s">
        <v>542</v>
      </c>
      <c r="D25" s="535" t="s">
        <v>570</v>
      </c>
      <c r="E25" s="535"/>
      <c r="F25" s="431"/>
      <c r="G25" s="541"/>
      <c r="H25" s="540"/>
      <c r="I25" s="535"/>
      <c r="J25" s="540"/>
      <c r="K25" s="535"/>
      <c r="L25" s="535"/>
      <c r="M25" s="87"/>
      <c r="N25" s="87"/>
      <c r="O25" s="87"/>
      <c r="P25" s="87"/>
      <c r="Q25" s="87"/>
      <c r="R25" s="88"/>
      <c r="S25" s="88"/>
      <c r="T25" s="88"/>
      <c r="U25" s="88"/>
      <c r="V25" s="88"/>
      <c r="W25" s="88">
        <f t="shared" si="3"/>
        <v>83</v>
      </c>
      <c r="X25" s="88"/>
      <c r="Y25" s="88"/>
      <c r="Z25" s="88">
        <f t="shared" si="9"/>
        <v>83</v>
      </c>
      <c r="AA25" s="88">
        <v>0</v>
      </c>
      <c r="AB25" s="88">
        <v>83</v>
      </c>
      <c r="AC25" s="88"/>
      <c r="AD25" s="88">
        <f t="shared" si="4"/>
        <v>83</v>
      </c>
      <c r="AE25" s="88"/>
      <c r="AF25" s="88"/>
      <c r="AG25" s="88">
        <f t="shared" si="5"/>
        <v>83</v>
      </c>
      <c r="AH25" s="88"/>
      <c r="AI25" s="88"/>
      <c r="AJ25" s="88">
        <v>83</v>
      </c>
      <c r="AK25" s="88"/>
      <c r="AL25" s="88">
        <f t="shared" si="6"/>
        <v>83</v>
      </c>
      <c r="AM25" s="88"/>
      <c r="AN25" s="88"/>
      <c r="AO25" s="88">
        <f t="shared" si="7"/>
        <v>83</v>
      </c>
      <c r="AP25" s="88"/>
      <c r="AQ25" s="88"/>
      <c r="AR25" s="88">
        <v>83</v>
      </c>
      <c r="AS25" s="88"/>
      <c r="AT25" s="88">
        <f t="shared" si="8"/>
        <v>0</v>
      </c>
      <c r="AU25" s="88"/>
      <c r="AV25" s="88"/>
      <c r="AW25" s="88">
        <f>SUM(AX25:AZ25)</f>
        <v>0</v>
      </c>
      <c r="AX25" s="88"/>
      <c r="AY25" s="88"/>
      <c r="AZ25" s="88"/>
      <c r="BA25" s="89"/>
      <c r="BB25" s="89"/>
      <c r="BC25" s="89"/>
      <c r="BD25" s="89"/>
      <c r="BE25" s="89"/>
      <c r="BF25" s="89"/>
      <c r="BG25" s="89"/>
      <c r="BH25" s="89"/>
      <c r="BI25" s="631"/>
      <c r="BJ25" s="631"/>
      <c r="BK25" s="631"/>
      <c r="BL25" s="631"/>
      <c r="BM25" s="631">
        <f>SUM(BN25:BP25)</f>
        <v>0</v>
      </c>
      <c r="BN25" s="631"/>
      <c r="BO25" s="631"/>
      <c r="BP25" s="631"/>
      <c r="BQ25" s="631">
        <f>SUM(BR25:BT25)</f>
        <v>0</v>
      </c>
      <c r="BR25" s="631"/>
      <c r="BS25" s="631"/>
      <c r="BT25" s="631"/>
      <c r="BU25" s="631"/>
      <c r="BV25" s="631"/>
      <c r="BW25" s="535">
        <v>2024</v>
      </c>
      <c r="BX25" s="42"/>
      <c r="BY25" s="42"/>
      <c r="BZ25" s="36"/>
      <c r="CA25" s="35"/>
      <c r="CB25" s="35"/>
      <c r="CC25" s="50"/>
      <c r="CD25" s="55" t="s">
        <v>567</v>
      </c>
      <c r="CE25" s="79"/>
      <c r="CF25" s="56"/>
    </row>
    <row r="26" spans="1:85" ht="81" customHeight="1" outlineLevel="1">
      <c r="A26" s="628">
        <v>13</v>
      </c>
      <c r="B26" s="629" t="s">
        <v>568</v>
      </c>
      <c r="C26" s="535" t="s">
        <v>77</v>
      </c>
      <c r="D26" s="535" t="s">
        <v>570</v>
      </c>
      <c r="E26" s="535"/>
      <c r="F26" s="431"/>
      <c r="G26" s="541"/>
      <c r="H26" s="540"/>
      <c r="I26" s="535"/>
      <c r="J26" s="540"/>
      <c r="K26" s="535"/>
      <c r="L26" s="535"/>
      <c r="M26" s="87"/>
      <c r="N26" s="87"/>
      <c r="O26" s="87"/>
      <c r="P26" s="87"/>
      <c r="Q26" s="87"/>
      <c r="R26" s="88"/>
      <c r="S26" s="88"/>
      <c r="T26" s="88"/>
      <c r="U26" s="88"/>
      <c r="V26" s="88"/>
      <c r="W26" s="88">
        <f t="shared" si="3"/>
        <v>751</v>
      </c>
      <c r="X26" s="88"/>
      <c r="Y26" s="88"/>
      <c r="Z26" s="88">
        <f t="shared" si="9"/>
        <v>751</v>
      </c>
      <c r="AA26" s="88">
        <v>0</v>
      </c>
      <c r="AB26" s="88">
        <f>559+192</f>
        <v>751</v>
      </c>
      <c r="AC26" s="88"/>
      <c r="AD26" s="88">
        <f t="shared" si="4"/>
        <v>0</v>
      </c>
      <c r="AE26" s="88"/>
      <c r="AF26" s="88"/>
      <c r="AG26" s="88">
        <f t="shared" si="5"/>
        <v>0</v>
      </c>
      <c r="AH26" s="88"/>
      <c r="AI26" s="88"/>
      <c r="AJ26" s="88"/>
      <c r="AK26" s="88"/>
      <c r="AL26" s="88">
        <f t="shared" si="6"/>
        <v>0</v>
      </c>
      <c r="AM26" s="88"/>
      <c r="AN26" s="88"/>
      <c r="AO26" s="88">
        <f t="shared" si="7"/>
        <v>0</v>
      </c>
      <c r="AP26" s="88"/>
      <c r="AQ26" s="88"/>
      <c r="AR26" s="88"/>
      <c r="AS26" s="88"/>
      <c r="AT26" s="88">
        <f t="shared" si="8"/>
        <v>0</v>
      </c>
      <c r="AU26" s="88"/>
      <c r="AV26" s="88"/>
      <c r="AW26" s="88">
        <f>SUM(AX26:AZ26)</f>
        <v>0</v>
      </c>
      <c r="AX26" s="88"/>
      <c r="AY26" s="88"/>
      <c r="AZ26" s="88"/>
      <c r="BA26" s="89">
        <f>SUM(BB26:BD26)</f>
        <v>559</v>
      </c>
      <c r="BB26" s="89"/>
      <c r="BC26" s="89">
        <v>559</v>
      </c>
      <c r="BD26" s="89">
        <f>SUM(BE26:BH26)</f>
        <v>0</v>
      </c>
      <c r="BE26" s="89"/>
      <c r="BF26" s="89"/>
      <c r="BG26" s="89"/>
      <c r="BH26" s="89"/>
      <c r="BI26" s="631">
        <f>SUM(BJ26:BL26)</f>
        <v>0</v>
      </c>
      <c r="BJ26" s="631"/>
      <c r="BK26" s="631"/>
      <c r="BL26" s="631"/>
      <c r="BM26" s="631">
        <f>SUM(BN26:BP26)</f>
        <v>0</v>
      </c>
      <c r="BN26" s="631"/>
      <c r="BO26" s="631"/>
      <c r="BP26" s="631"/>
      <c r="BQ26" s="631">
        <f>SUM(BR26:BT26)</f>
        <v>0</v>
      </c>
      <c r="BR26" s="631"/>
      <c r="BS26" s="631"/>
      <c r="BT26" s="631"/>
      <c r="BU26" s="631"/>
      <c r="BV26" s="631"/>
      <c r="BW26" s="535">
        <v>2025</v>
      </c>
      <c r="BX26" s="42"/>
      <c r="BY26" s="42"/>
      <c r="BZ26" s="36"/>
      <c r="CA26" s="35"/>
      <c r="CB26" s="35"/>
      <c r="CC26" s="50"/>
      <c r="CD26" s="55" t="s">
        <v>569</v>
      </c>
      <c r="CE26" s="79"/>
      <c r="CF26" s="56"/>
    </row>
    <row r="27" spans="1:85" ht="52.5" customHeight="1" outlineLevel="1">
      <c r="A27" s="628">
        <v>14</v>
      </c>
      <c r="B27" s="629" t="s">
        <v>541</v>
      </c>
      <c r="C27" s="535" t="s">
        <v>542</v>
      </c>
      <c r="D27" s="535" t="s">
        <v>570</v>
      </c>
      <c r="E27" s="535"/>
      <c r="F27" s="431"/>
      <c r="G27" s="541"/>
      <c r="H27" s="540"/>
      <c r="I27" s="535"/>
      <c r="J27" s="540"/>
      <c r="K27" s="535"/>
      <c r="L27" s="535"/>
      <c r="M27" s="87"/>
      <c r="N27" s="87"/>
      <c r="O27" s="87"/>
      <c r="P27" s="87"/>
      <c r="Q27" s="87"/>
      <c r="R27" s="88"/>
      <c r="S27" s="88"/>
      <c r="T27" s="88"/>
      <c r="U27" s="88"/>
      <c r="V27" s="88"/>
      <c r="W27" s="88">
        <f t="shared" si="3"/>
        <v>120</v>
      </c>
      <c r="X27" s="88"/>
      <c r="Y27" s="88"/>
      <c r="Z27" s="88">
        <f t="shared" si="9"/>
        <v>120</v>
      </c>
      <c r="AA27" s="88">
        <v>0</v>
      </c>
      <c r="AB27" s="88">
        <v>120</v>
      </c>
      <c r="AC27" s="88"/>
      <c r="AD27" s="88">
        <f t="shared" si="4"/>
        <v>120</v>
      </c>
      <c r="AE27" s="88"/>
      <c r="AF27" s="88"/>
      <c r="AG27" s="88">
        <f t="shared" si="5"/>
        <v>120</v>
      </c>
      <c r="AH27" s="88"/>
      <c r="AI27" s="88"/>
      <c r="AJ27" s="88">
        <v>120</v>
      </c>
      <c r="AK27" s="88"/>
      <c r="AL27" s="88">
        <f t="shared" si="6"/>
        <v>120</v>
      </c>
      <c r="AM27" s="88"/>
      <c r="AN27" s="88"/>
      <c r="AO27" s="88">
        <f t="shared" si="7"/>
        <v>120</v>
      </c>
      <c r="AP27" s="88"/>
      <c r="AQ27" s="88"/>
      <c r="AR27" s="88">
        <v>120</v>
      </c>
      <c r="AS27" s="88"/>
      <c r="AT27" s="88">
        <f t="shared" si="8"/>
        <v>0</v>
      </c>
      <c r="AU27" s="88"/>
      <c r="AV27" s="88"/>
      <c r="AW27" s="88">
        <f t="shared" ref="AW27" si="10">SUM(AX27:AZ27)</f>
        <v>0</v>
      </c>
      <c r="AX27" s="88"/>
      <c r="AY27" s="88"/>
      <c r="AZ27" s="88"/>
      <c r="BA27" s="89">
        <f t="shared" ref="BA27" si="11">SUM(BB27:BD27)</f>
        <v>0</v>
      </c>
      <c r="BB27" s="89"/>
      <c r="BC27" s="89"/>
      <c r="BD27" s="89">
        <f t="shared" ref="BD27" si="12">SUM(BE27:BH27)</f>
        <v>0</v>
      </c>
      <c r="BE27" s="89"/>
      <c r="BF27" s="89"/>
      <c r="BG27" s="89"/>
      <c r="BH27" s="89"/>
      <c r="BI27" s="631">
        <f t="shared" ref="BI27" si="13">SUM(BJ27:BL27)</f>
        <v>0</v>
      </c>
      <c r="BJ27" s="631"/>
      <c r="BK27" s="631"/>
      <c r="BL27" s="631"/>
      <c r="BM27" s="631">
        <f t="shared" ref="BM27" si="14">SUM(BN27:BP27)</f>
        <v>0</v>
      </c>
      <c r="BN27" s="631"/>
      <c r="BO27" s="631"/>
      <c r="BP27" s="631"/>
      <c r="BQ27" s="631">
        <f t="shared" ref="BQ27" si="15">SUM(BR27:BT27)</f>
        <v>0</v>
      </c>
      <c r="BR27" s="631"/>
      <c r="BS27" s="631"/>
      <c r="BT27" s="631"/>
      <c r="BU27" s="631"/>
      <c r="BV27" s="631"/>
      <c r="BW27" s="535">
        <v>2023</v>
      </c>
      <c r="BX27" s="42"/>
      <c r="BY27" s="42"/>
      <c r="BZ27" s="60"/>
      <c r="CA27" s="59"/>
      <c r="CB27" s="59"/>
      <c r="CC27" s="50"/>
      <c r="CD27" s="55" t="s">
        <v>329</v>
      </c>
      <c r="CE27" s="56"/>
      <c r="CF27" s="56"/>
    </row>
    <row r="28" spans="1:85" ht="67.5" customHeight="1" outlineLevel="1">
      <c r="A28" s="628">
        <v>16</v>
      </c>
      <c r="B28" s="629" t="s">
        <v>865</v>
      </c>
      <c r="C28" s="535"/>
      <c r="D28" s="535" t="s">
        <v>570</v>
      </c>
      <c r="E28" s="535"/>
      <c r="F28" s="431"/>
      <c r="G28" s="541"/>
      <c r="H28" s="540"/>
      <c r="I28" s="535"/>
      <c r="J28" s="540"/>
      <c r="K28" s="535"/>
      <c r="L28" s="535"/>
      <c r="M28" s="87"/>
      <c r="N28" s="87"/>
      <c r="O28" s="87"/>
      <c r="P28" s="87"/>
      <c r="Q28" s="87"/>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f>AX28+AY28+AZ28</f>
        <v>500</v>
      </c>
      <c r="AU28" s="88"/>
      <c r="AV28" s="88"/>
      <c r="AW28" s="88">
        <f>SUM(AX28:AZ28)</f>
        <v>500</v>
      </c>
      <c r="AX28" s="88"/>
      <c r="AY28" s="88">
        <v>500</v>
      </c>
      <c r="AZ28" s="88"/>
      <c r="BA28" s="89"/>
      <c r="BB28" s="89"/>
      <c r="BC28" s="89"/>
      <c r="BD28" s="89"/>
      <c r="BE28" s="89"/>
      <c r="BF28" s="89"/>
      <c r="BG28" s="89"/>
      <c r="BH28" s="89"/>
      <c r="BI28" s="631"/>
      <c r="BJ28" s="631"/>
      <c r="BK28" s="631"/>
      <c r="BL28" s="631"/>
      <c r="BM28" s="631"/>
      <c r="BN28" s="631"/>
      <c r="BO28" s="631"/>
      <c r="BP28" s="631"/>
      <c r="BQ28" s="631"/>
      <c r="BR28" s="631"/>
      <c r="BS28" s="631"/>
      <c r="BT28" s="631"/>
      <c r="BU28" s="631"/>
      <c r="BV28" s="631"/>
      <c r="BW28" s="535" t="s">
        <v>524</v>
      </c>
      <c r="BX28" s="42"/>
      <c r="BY28" s="42"/>
      <c r="BZ28" s="49"/>
      <c r="CA28" s="41"/>
      <c r="CB28" s="41"/>
    </row>
    <row r="29" spans="1:85" ht="64.5" customHeight="1" outlineLevel="1">
      <c r="A29" s="628">
        <v>17</v>
      </c>
      <c r="B29" s="629" t="s">
        <v>525</v>
      </c>
      <c r="C29" s="535"/>
      <c r="D29" s="535" t="s">
        <v>570</v>
      </c>
      <c r="E29" s="535"/>
      <c r="F29" s="431"/>
      <c r="G29" s="541"/>
      <c r="H29" s="540"/>
      <c r="I29" s="535"/>
      <c r="J29" s="540"/>
      <c r="K29" s="535"/>
      <c r="L29" s="535"/>
      <c r="M29" s="87"/>
      <c r="N29" s="87"/>
      <c r="O29" s="87"/>
      <c r="P29" s="87"/>
      <c r="Q29" s="87"/>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f>AX29+AY29+AZ29</f>
        <v>1500</v>
      </c>
      <c r="AU29" s="88"/>
      <c r="AV29" s="88"/>
      <c r="AW29" s="88"/>
      <c r="AX29" s="88"/>
      <c r="AY29" s="88">
        <v>1500</v>
      </c>
      <c r="AZ29" s="88"/>
      <c r="BA29" s="70"/>
      <c r="BB29" s="70"/>
      <c r="BC29" s="70"/>
      <c r="BD29" s="70"/>
      <c r="BE29" s="70"/>
      <c r="BF29" s="70"/>
      <c r="BG29" s="70"/>
      <c r="BH29" s="70"/>
      <c r="BI29" s="541"/>
      <c r="BJ29" s="541"/>
      <c r="BK29" s="541"/>
      <c r="BL29" s="541"/>
      <c r="BM29" s="541"/>
      <c r="BN29" s="541"/>
      <c r="BO29" s="541"/>
      <c r="BP29" s="541"/>
      <c r="BQ29" s="541"/>
      <c r="BR29" s="541"/>
      <c r="BS29" s="541"/>
      <c r="BT29" s="541"/>
      <c r="BU29" s="541"/>
      <c r="BV29" s="541"/>
      <c r="BW29" s="535" t="s">
        <v>3588</v>
      </c>
      <c r="BX29" s="42"/>
      <c r="BY29" s="42"/>
      <c r="BZ29" s="49"/>
      <c r="CA29" s="41"/>
      <c r="CB29" s="41"/>
    </row>
    <row r="30" spans="1:85" ht="105.75" customHeight="1" outlineLevel="1">
      <c r="A30" s="628">
        <v>18</v>
      </c>
      <c r="B30" s="629" t="s">
        <v>526</v>
      </c>
      <c r="C30" s="535"/>
      <c r="D30" s="535" t="s">
        <v>570</v>
      </c>
      <c r="E30" s="535"/>
      <c r="F30" s="431"/>
      <c r="G30" s="541"/>
      <c r="H30" s="540"/>
      <c r="I30" s="535"/>
      <c r="J30" s="540"/>
      <c r="K30" s="535"/>
      <c r="L30" s="535"/>
      <c r="M30" s="87"/>
      <c r="N30" s="87"/>
      <c r="O30" s="87"/>
      <c r="P30" s="87"/>
      <c r="Q30" s="87"/>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f>AX30+AY30+AZ30</f>
        <v>5100</v>
      </c>
      <c r="AU30" s="88"/>
      <c r="AV30" s="88"/>
      <c r="AW30" s="88"/>
      <c r="AX30" s="88"/>
      <c r="AY30" s="88">
        <v>5100</v>
      </c>
      <c r="AZ30" s="88"/>
      <c r="BA30" s="70"/>
      <c r="BB30" s="70"/>
      <c r="BC30" s="70"/>
      <c r="BD30" s="70"/>
      <c r="BE30" s="70"/>
      <c r="BF30" s="70"/>
      <c r="BG30" s="70"/>
      <c r="BH30" s="70"/>
      <c r="BI30" s="541"/>
      <c r="BJ30" s="541"/>
      <c r="BK30" s="541"/>
      <c r="BL30" s="541"/>
      <c r="BM30" s="541"/>
      <c r="BN30" s="541"/>
      <c r="BO30" s="541"/>
      <c r="BP30" s="541"/>
      <c r="BQ30" s="541"/>
      <c r="BR30" s="541"/>
      <c r="BS30" s="541"/>
      <c r="BT30" s="541"/>
      <c r="BU30" s="541"/>
      <c r="BV30" s="541"/>
      <c r="BW30" s="535" t="s">
        <v>3587</v>
      </c>
      <c r="BX30" s="42"/>
      <c r="BY30" s="42"/>
      <c r="BZ30" s="49"/>
      <c r="CA30" s="41"/>
      <c r="CB30" s="41"/>
    </row>
    <row r="31" spans="1:85" ht="32.25" customHeight="1">
      <c r="A31" s="532" t="s">
        <v>10</v>
      </c>
      <c r="B31" s="532" t="s">
        <v>3665</v>
      </c>
      <c r="C31" s="532"/>
      <c r="D31" s="543"/>
      <c r="E31" s="532"/>
      <c r="F31" s="532"/>
      <c r="G31" s="543"/>
      <c r="H31" s="532"/>
      <c r="I31" s="532"/>
      <c r="J31" s="532"/>
      <c r="K31" s="532"/>
      <c r="L31" s="532"/>
      <c r="M31" s="626">
        <f t="shared" ref="M31:AR31" si="16">M32+M87+M102</f>
        <v>504915.55643200001</v>
      </c>
      <c r="N31" s="626">
        <f t="shared" si="16"/>
        <v>135000</v>
      </c>
      <c r="O31" s="626">
        <f t="shared" si="16"/>
        <v>109100</v>
      </c>
      <c r="P31" s="626">
        <f t="shared" si="16"/>
        <v>262538.29737499997</v>
      </c>
      <c r="Q31" s="626" t="e">
        <f t="shared" si="16"/>
        <v>#VALUE!</v>
      </c>
      <c r="R31" s="626" t="e">
        <f t="shared" si="16"/>
        <v>#VALUE!</v>
      </c>
      <c r="S31" s="626">
        <f t="shared" si="16"/>
        <v>55570.183458</v>
      </c>
      <c r="T31" s="626">
        <f t="shared" si="16"/>
        <v>7719.9989999999998</v>
      </c>
      <c r="U31" s="626">
        <f t="shared" si="16"/>
        <v>0</v>
      </c>
      <c r="V31" s="626">
        <f t="shared" si="16"/>
        <v>47850.184458000003</v>
      </c>
      <c r="W31" s="626">
        <f t="shared" si="16"/>
        <v>215939.67214899999</v>
      </c>
      <c r="X31" s="626">
        <f t="shared" si="16"/>
        <v>0</v>
      </c>
      <c r="Y31" s="626">
        <f t="shared" si="16"/>
        <v>70000</v>
      </c>
      <c r="Z31" s="626">
        <f t="shared" si="16"/>
        <v>192261.67214899999</v>
      </c>
      <c r="AA31" s="626">
        <f t="shared" si="16"/>
        <v>50205.19</v>
      </c>
      <c r="AB31" s="626">
        <f t="shared" si="16"/>
        <v>153504.463215</v>
      </c>
      <c r="AC31" s="626">
        <f t="shared" si="16"/>
        <v>12230.018934</v>
      </c>
      <c r="AD31" s="626">
        <f t="shared" si="16"/>
        <v>114143.44764899999</v>
      </c>
      <c r="AE31" s="626">
        <f t="shared" si="16"/>
        <v>0</v>
      </c>
      <c r="AF31" s="626">
        <f t="shared" si="16"/>
        <v>0</v>
      </c>
      <c r="AG31" s="626">
        <f t="shared" si="16"/>
        <v>114143.44764899999</v>
      </c>
      <c r="AH31" s="626">
        <f t="shared" si="16"/>
        <v>45544</v>
      </c>
      <c r="AI31" s="626">
        <f t="shared" si="16"/>
        <v>4340</v>
      </c>
      <c r="AJ31" s="626">
        <f t="shared" si="16"/>
        <v>52029.428715000002</v>
      </c>
      <c r="AK31" s="626">
        <f t="shared" si="16"/>
        <v>12230.018934</v>
      </c>
      <c r="AL31" s="626">
        <f t="shared" si="16"/>
        <v>109303.922079</v>
      </c>
      <c r="AM31" s="626">
        <f t="shared" si="16"/>
        <v>0</v>
      </c>
      <c r="AN31" s="626">
        <f t="shared" si="16"/>
        <v>0</v>
      </c>
      <c r="AO31" s="626">
        <f t="shared" si="16"/>
        <v>109303.922079</v>
      </c>
      <c r="AP31" s="626">
        <f t="shared" si="16"/>
        <v>45488.455902999995</v>
      </c>
      <c r="AQ31" s="626">
        <f t="shared" si="16"/>
        <v>4284.7536149999996</v>
      </c>
      <c r="AR31" s="626">
        <f t="shared" si="16"/>
        <v>47330.943068</v>
      </c>
      <c r="AS31" s="626">
        <f t="shared" ref="AS31:BV31" si="17">AS32+AS87+AS102</f>
        <v>12199.769493</v>
      </c>
      <c r="AT31" s="626">
        <f t="shared" si="17"/>
        <v>921.19</v>
      </c>
      <c r="AU31" s="626">
        <f t="shared" si="17"/>
        <v>0</v>
      </c>
      <c r="AV31" s="626">
        <f t="shared" si="17"/>
        <v>0</v>
      </c>
      <c r="AW31" s="626">
        <f t="shared" si="17"/>
        <v>921.19</v>
      </c>
      <c r="AX31" s="626">
        <f t="shared" si="17"/>
        <v>321.19</v>
      </c>
      <c r="AY31" s="626">
        <f t="shared" si="17"/>
        <v>600</v>
      </c>
      <c r="AZ31" s="626">
        <f t="shared" si="17"/>
        <v>0</v>
      </c>
      <c r="BA31" s="626">
        <f t="shared" si="17"/>
        <v>306.12810999999999</v>
      </c>
      <c r="BB31" s="626">
        <f t="shared" si="17"/>
        <v>0</v>
      </c>
      <c r="BC31" s="626">
        <f t="shared" si="17"/>
        <v>0</v>
      </c>
      <c r="BD31" s="626">
        <f t="shared" si="17"/>
        <v>306.12810999999999</v>
      </c>
      <c r="BE31" s="626">
        <f t="shared" si="17"/>
        <v>306.12810999999999</v>
      </c>
      <c r="BF31" s="626">
        <f t="shared" si="17"/>
        <v>0</v>
      </c>
      <c r="BG31" s="626">
        <f t="shared" si="17"/>
        <v>0</v>
      </c>
      <c r="BH31" s="626">
        <f t="shared" si="17"/>
        <v>0</v>
      </c>
      <c r="BI31" s="626">
        <f t="shared" si="17"/>
        <v>466.70191799999998</v>
      </c>
      <c r="BJ31" s="626">
        <f t="shared" si="17"/>
        <v>0</v>
      </c>
      <c r="BK31" s="626">
        <f t="shared" si="17"/>
        <v>0</v>
      </c>
      <c r="BL31" s="626">
        <f t="shared" si="17"/>
        <v>466.70191799999998</v>
      </c>
      <c r="BM31" s="626">
        <f t="shared" si="17"/>
        <v>466.70191799999998</v>
      </c>
      <c r="BN31" s="626">
        <f t="shared" si="17"/>
        <v>0</v>
      </c>
      <c r="BO31" s="626">
        <f t="shared" si="17"/>
        <v>0</v>
      </c>
      <c r="BP31" s="626">
        <f t="shared" si="17"/>
        <v>466.70191799999998</v>
      </c>
      <c r="BQ31" s="626">
        <f t="shared" si="17"/>
        <v>119130</v>
      </c>
      <c r="BR31" s="626">
        <f t="shared" si="17"/>
        <v>0</v>
      </c>
      <c r="BS31" s="626">
        <f t="shared" si="17"/>
        <v>104248</v>
      </c>
      <c r="BT31" s="626">
        <f t="shared" si="17"/>
        <v>14882</v>
      </c>
      <c r="BU31" s="626">
        <f t="shared" si="17"/>
        <v>0</v>
      </c>
      <c r="BV31" s="626">
        <f t="shared" si="17"/>
        <v>466.70191799999998</v>
      </c>
      <c r="BW31" s="532" t="s">
        <v>3692</v>
      </c>
      <c r="BX31" s="627"/>
      <c r="BY31" s="627"/>
      <c r="BZ31" s="34"/>
      <c r="CA31" s="33"/>
      <c r="CB31" s="33"/>
      <c r="CD31" s="26"/>
      <c r="CE31" s="26"/>
      <c r="CF31" s="26"/>
      <c r="CG31" s="223"/>
    </row>
    <row r="32" spans="1:85" ht="37.5" customHeight="1">
      <c r="A32" s="536" t="s">
        <v>12</v>
      </c>
      <c r="B32" s="633" t="s">
        <v>322</v>
      </c>
      <c r="C32" s="634"/>
      <c r="D32" s="634"/>
      <c r="E32" s="634"/>
      <c r="F32" s="634"/>
      <c r="G32" s="634"/>
      <c r="H32" s="634"/>
      <c r="I32" s="634"/>
      <c r="J32" s="634"/>
      <c r="K32" s="634"/>
      <c r="L32" s="634"/>
      <c r="M32" s="635">
        <f>M33+M38+M44+M78</f>
        <v>383817.13743200002</v>
      </c>
      <c r="N32" s="635">
        <f t="shared" ref="N32:BV32" si="18">N33+N38+N44+N78</f>
        <v>135000</v>
      </c>
      <c r="O32" s="635">
        <f t="shared" si="18"/>
        <v>39100</v>
      </c>
      <c r="P32" s="635">
        <f t="shared" si="18"/>
        <v>207538.43227699999</v>
      </c>
      <c r="Q32" s="635">
        <f t="shared" si="18"/>
        <v>0</v>
      </c>
      <c r="R32" s="635">
        <f t="shared" si="18"/>
        <v>0</v>
      </c>
      <c r="S32" s="635">
        <f t="shared" si="18"/>
        <v>44332.680458000003</v>
      </c>
      <c r="T32" s="635">
        <f t="shared" si="18"/>
        <v>0</v>
      </c>
      <c r="U32" s="635">
        <f t="shared" si="18"/>
        <v>0</v>
      </c>
      <c r="V32" s="635">
        <f t="shared" si="18"/>
        <v>44332.680458000003</v>
      </c>
      <c r="W32" s="635">
        <f t="shared" si="18"/>
        <v>143038.311051</v>
      </c>
      <c r="X32" s="635">
        <f t="shared" si="18"/>
        <v>0</v>
      </c>
      <c r="Y32" s="635">
        <f t="shared" si="18"/>
        <v>0</v>
      </c>
      <c r="Z32" s="635">
        <f t="shared" si="18"/>
        <v>142254.311051</v>
      </c>
      <c r="AA32" s="635">
        <f t="shared" si="18"/>
        <v>40272.804006999999</v>
      </c>
      <c r="AB32" s="635">
        <f t="shared" si="18"/>
        <v>90535.488109999991</v>
      </c>
      <c r="AC32" s="635">
        <f t="shared" si="18"/>
        <v>12230.018934</v>
      </c>
      <c r="AD32" s="635">
        <f t="shared" si="18"/>
        <v>98393.201550999991</v>
      </c>
      <c r="AE32" s="635">
        <f t="shared" si="18"/>
        <v>0</v>
      </c>
      <c r="AF32" s="635">
        <f t="shared" si="18"/>
        <v>0</v>
      </c>
      <c r="AG32" s="635">
        <f t="shared" si="18"/>
        <v>98393.201550999991</v>
      </c>
      <c r="AH32" s="635">
        <f t="shared" si="18"/>
        <v>37351.81</v>
      </c>
      <c r="AI32" s="635">
        <f t="shared" si="18"/>
        <v>2599.8040069999997</v>
      </c>
      <c r="AJ32" s="635">
        <f t="shared" si="18"/>
        <v>46211.568610000002</v>
      </c>
      <c r="AK32" s="635">
        <f t="shared" si="18"/>
        <v>12230.018934</v>
      </c>
      <c r="AL32" s="635">
        <f t="shared" si="18"/>
        <v>93572.308980999995</v>
      </c>
      <c r="AM32" s="635">
        <f t="shared" si="18"/>
        <v>0</v>
      </c>
      <c r="AN32" s="635">
        <f t="shared" si="18"/>
        <v>0</v>
      </c>
      <c r="AO32" s="635">
        <f t="shared" si="18"/>
        <v>93572.308980999995</v>
      </c>
      <c r="AP32" s="635">
        <f t="shared" si="18"/>
        <v>37310.565902999995</v>
      </c>
      <c r="AQ32" s="635">
        <f t="shared" si="18"/>
        <v>2544.5576220000003</v>
      </c>
      <c r="AR32" s="635">
        <f t="shared" si="18"/>
        <v>41517.415962999999</v>
      </c>
      <c r="AS32" s="635">
        <f t="shared" si="18"/>
        <v>12199.769493</v>
      </c>
      <c r="AT32" s="635">
        <f t="shared" si="18"/>
        <v>421.19</v>
      </c>
      <c r="AU32" s="635">
        <f t="shared" si="18"/>
        <v>0</v>
      </c>
      <c r="AV32" s="635">
        <f t="shared" si="18"/>
        <v>0</v>
      </c>
      <c r="AW32" s="635">
        <f t="shared" si="18"/>
        <v>421.19</v>
      </c>
      <c r="AX32" s="635">
        <f t="shared" si="18"/>
        <v>321.19</v>
      </c>
      <c r="AY32" s="635">
        <f t="shared" si="18"/>
        <v>100</v>
      </c>
      <c r="AZ32" s="635">
        <f t="shared" si="18"/>
        <v>0</v>
      </c>
      <c r="BA32" s="635">
        <f t="shared" si="18"/>
        <v>306.12810999999999</v>
      </c>
      <c r="BB32" s="635">
        <f t="shared" si="18"/>
        <v>0</v>
      </c>
      <c r="BC32" s="635">
        <f t="shared" si="18"/>
        <v>0</v>
      </c>
      <c r="BD32" s="635">
        <f t="shared" si="18"/>
        <v>306.12810999999999</v>
      </c>
      <c r="BE32" s="635">
        <f t="shared" si="18"/>
        <v>306.12810999999999</v>
      </c>
      <c r="BF32" s="635">
        <f t="shared" si="18"/>
        <v>0</v>
      </c>
      <c r="BG32" s="635">
        <f t="shared" si="18"/>
        <v>0</v>
      </c>
      <c r="BH32" s="635">
        <f t="shared" si="18"/>
        <v>0</v>
      </c>
      <c r="BI32" s="635">
        <f t="shared" si="18"/>
        <v>465.301918</v>
      </c>
      <c r="BJ32" s="635">
        <f t="shared" si="18"/>
        <v>0</v>
      </c>
      <c r="BK32" s="635">
        <f t="shared" si="18"/>
        <v>0</v>
      </c>
      <c r="BL32" s="635">
        <f t="shared" si="18"/>
        <v>465.301918</v>
      </c>
      <c r="BM32" s="635">
        <f t="shared" si="18"/>
        <v>465.301918</v>
      </c>
      <c r="BN32" s="635">
        <f t="shared" si="18"/>
        <v>0</v>
      </c>
      <c r="BO32" s="635">
        <f t="shared" si="18"/>
        <v>0</v>
      </c>
      <c r="BP32" s="635">
        <f t="shared" si="18"/>
        <v>465.301918</v>
      </c>
      <c r="BQ32" s="635">
        <f t="shared" si="18"/>
        <v>14882</v>
      </c>
      <c r="BR32" s="635">
        <f t="shared" si="18"/>
        <v>0</v>
      </c>
      <c r="BS32" s="635">
        <f t="shared" si="18"/>
        <v>0</v>
      </c>
      <c r="BT32" s="635">
        <f t="shared" si="18"/>
        <v>14882</v>
      </c>
      <c r="BU32" s="635">
        <f t="shared" si="18"/>
        <v>0</v>
      </c>
      <c r="BV32" s="635">
        <f t="shared" si="18"/>
        <v>465.301918</v>
      </c>
      <c r="BW32" s="634"/>
      <c r="BX32" s="627"/>
      <c r="BY32" s="627"/>
      <c r="BZ32" s="34"/>
      <c r="CA32" s="33"/>
      <c r="CB32" s="33"/>
      <c r="CD32" s="26"/>
      <c r="CE32" s="26"/>
      <c r="CF32" s="26"/>
      <c r="CG32" s="223"/>
    </row>
    <row r="33" spans="1:84" ht="36.75" customHeight="1">
      <c r="A33" s="553" t="s">
        <v>45</v>
      </c>
      <c r="B33" s="533" t="s">
        <v>46</v>
      </c>
      <c r="C33" s="533"/>
      <c r="D33" s="533"/>
      <c r="E33" s="533"/>
      <c r="F33" s="533"/>
      <c r="G33" s="533"/>
      <c r="H33" s="533"/>
      <c r="I33" s="533"/>
      <c r="J33" s="533"/>
      <c r="K33" s="533"/>
      <c r="L33" s="533"/>
      <c r="M33" s="636">
        <f t="shared" ref="M33:BV33" si="19">SUM(M34:M37)</f>
        <v>0</v>
      </c>
      <c r="N33" s="636">
        <f t="shared" si="19"/>
        <v>0</v>
      </c>
      <c r="O33" s="636">
        <f t="shared" si="19"/>
        <v>0</v>
      </c>
      <c r="P33" s="636">
        <f t="shared" si="19"/>
        <v>0</v>
      </c>
      <c r="Q33" s="636">
        <f t="shared" si="19"/>
        <v>0</v>
      </c>
      <c r="R33" s="636">
        <f t="shared" si="19"/>
        <v>0</v>
      </c>
      <c r="S33" s="636">
        <f t="shared" si="19"/>
        <v>0</v>
      </c>
      <c r="T33" s="636">
        <f t="shared" si="19"/>
        <v>0</v>
      </c>
      <c r="U33" s="636">
        <f t="shared" si="19"/>
        <v>0</v>
      </c>
      <c r="V33" s="636">
        <f t="shared" si="19"/>
        <v>0</v>
      </c>
      <c r="W33" s="636">
        <f t="shared" si="19"/>
        <v>623.5146719999999</v>
      </c>
      <c r="X33" s="636">
        <f t="shared" si="19"/>
        <v>0</v>
      </c>
      <c r="Y33" s="636">
        <f t="shared" si="19"/>
        <v>0</v>
      </c>
      <c r="Z33" s="636">
        <f t="shared" si="19"/>
        <v>623.5146719999999</v>
      </c>
      <c r="AA33" s="636">
        <f t="shared" si="19"/>
        <v>0</v>
      </c>
      <c r="AB33" s="636">
        <f t="shared" si="19"/>
        <v>623.5146719999999</v>
      </c>
      <c r="AC33" s="636">
        <f t="shared" si="19"/>
        <v>0</v>
      </c>
      <c r="AD33" s="636">
        <f t="shared" si="19"/>
        <v>623.5146719999999</v>
      </c>
      <c r="AE33" s="636">
        <f t="shared" si="19"/>
        <v>0</v>
      </c>
      <c r="AF33" s="636">
        <f t="shared" si="19"/>
        <v>0</v>
      </c>
      <c r="AG33" s="636">
        <f t="shared" si="19"/>
        <v>623.5146719999999</v>
      </c>
      <c r="AH33" s="636">
        <f t="shared" si="19"/>
        <v>0</v>
      </c>
      <c r="AI33" s="636">
        <f t="shared" si="19"/>
        <v>0</v>
      </c>
      <c r="AJ33" s="636">
        <f t="shared" si="19"/>
        <v>623.5146719999999</v>
      </c>
      <c r="AK33" s="636">
        <f t="shared" si="19"/>
        <v>0</v>
      </c>
      <c r="AL33" s="636">
        <f t="shared" si="19"/>
        <v>623.5146719999999</v>
      </c>
      <c r="AM33" s="636">
        <f t="shared" si="19"/>
        <v>0</v>
      </c>
      <c r="AN33" s="636">
        <f t="shared" si="19"/>
        <v>0</v>
      </c>
      <c r="AO33" s="636">
        <f t="shared" si="19"/>
        <v>623.5146719999999</v>
      </c>
      <c r="AP33" s="636">
        <f t="shared" si="19"/>
        <v>0</v>
      </c>
      <c r="AQ33" s="636">
        <f t="shared" si="19"/>
        <v>0</v>
      </c>
      <c r="AR33" s="636">
        <f t="shared" si="19"/>
        <v>623.5146719999999</v>
      </c>
      <c r="AS33" s="636">
        <f t="shared" si="19"/>
        <v>0</v>
      </c>
      <c r="AT33" s="636">
        <f t="shared" si="19"/>
        <v>0</v>
      </c>
      <c r="AU33" s="636">
        <f t="shared" si="19"/>
        <v>0</v>
      </c>
      <c r="AV33" s="636">
        <f t="shared" si="19"/>
        <v>0</v>
      </c>
      <c r="AW33" s="636">
        <f t="shared" si="19"/>
        <v>0</v>
      </c>
      <c r="AX33" s="636">
        <f t="shared" si="19"/>
        <v>0</v>
      </c>
      <c r="AY33" s="636">
        <f t="shared" si="19"/>
        <v>0</v>
      </c>
      <c r="AZ33" s="636">
        <f t="shared" si="19"/>
        <v>0</v>
      </c>
      <c r="BA33" s="636">
        <f t="shared" si="19"/>
        <v>0</v>
      </c>
      <c r="BB33" s="636">
        <f t="shared" si="19"/>
        <v>0</v>
      </c>
      <c r="BC33" s="636">
        <f t="shared" si="19"/>
        <v>0</v>
      </c>
      <c r="BD33" s="636">
        <f t="shared" si="19"/>
        <v>0</v>
      </c>
      <c r="BE33" s="636">
        <f t="shared" si="19"/>
        <v>0</v>
      </c>
      <c r="BF33" s="636">
        <f t="shared" si="19"/>
        <v>0</v>
      </c>
      <c r="BG33" s="636">
        <f t="shared" si="19"/>
        <v>0</v>
      </c>
      <c r="BH33" s="636">
        <f t="shared" si="19"/>
        <v>0</v>
      </c>
      <c r="BI33" s="636">
        <f t="shared" si="19"/>
        <v>0</v>
      </c>
      <c r="BJ33" s="636">
        <f t="shared" si="19"/>
        <v>0</v>
      </c>
      <c r="BK33" s="636">
        <f t="shared" si="19"/>
        <v>0</v>
      </c>
      <c r="BL33" s="636">
        <f t="shared" si="19"/>
        <v>0</v>
      </c>
      <c r="BM33" s="636">
        <f t="shared" si="19"/>
        <v>0</v>
      </c>
      <c r="BN33" s="636">
        <f t="shared" si="19"/>
        <v>0</v>
      </c>
      <c r="BO33" s="636">
        <f t="shared" si="19"/>
        <v>0</v>
      </c>
      <c r="BP33" s="636">
        <f t="shared" si="19"/>
        <v>0</v>
      </c>
      <c r="BQ33" s="636">
        <f t="shared" si="19"/>
        <v>0</v>
      </c>
      <c r="BR33" s="636">
        <f t="shared" si="19"/>
        <v>0</v>
      </c>
      <c r="BS33" s="636">
        <f t="shared" si="19"/>
        <v>0</v>
      </c>
      <c r="BT33" s="636">
        <f t="shared" si="19"/>
        <v>0</v>
      </c>
      <c r="BU33" s="636">
        <f t="shared" si="19"/>
        <v>0</v>
      </c>
      <c r="BV33" s="636">
        <f t="shared" si="19"/>
        <v>0</v>
      </c>
      <c r="BW33" s="533"/>
      <c r="BX33" s="627" t="e">
        <f>#REF!</f>
        <v>#REF!</v>
      </c>
      <c r="BY33" s="627" t="e">
        <f>#REF!</f>
        <v>#REF!</v>
      </c>
      <c r="BZ33" s="38"/>
      <c r="CA33" s="37" t="e">
        <f>#REF!</f>
        <v>#REF!</v>
      </c>
      <c r="CB33" s="37" t="e">
        <f>#REF!</f>
        <v>#REF!</v>
      </c>
    </row>
    <row r="34" spans="1:84" ht="65.25" customHeight="1" outlineLevel="1">
      <c r="A34" s="628">
        <v>1</v>
      </c>
      <c r="B34" s="549" t="s">
        <v>323</v>
      </c>
      <c r="C34" s="535" t="s">
        <v>324</v>
      </c>
      <c r="D34" s="541" t="s">
        <v>322</v>
      </c>
      <c r="E34" s="535" t="s">
        <v>10</v>
      </c>
      <c r="F34" s="431"/>
      <c r="G34" s="628" t="s">
        <v>325</v>
      </c>
      <c r="H34" s="540"/>
      <c r="I34" s="535"/>
      <c r="J34" s="540"/>
      <c r="K34" s="540"/>
      <c r="L34" s="535"/>
      <c r="M34" s="87"/>
      <c r="N34" s="87"/>
      <c r="O34" s="87"/>
      <c r="P34" s="87"/>
      <c r="Q34" s="87"/>
      <c r="R34" s="87" t="s">
        <v>325</v>
      </c>
      <c r="S34" s="88">
        <f>SUM(T34:V34)</f>
        <v>0</v>
      </c>
      <c r="T34" s="88"/>
      <c r="U34" s="88"/>
      <c r="V34" s="88"/>
      <c r="W34" s="88">
        <f t="shared" ref="W34:W37" si="20">AA34+AB34+AC34</f>
        <v>282.19499999999999</v>
      </c>
      <c r="X34" s="88"/>
      <c r="Y34" s="88"/>
      <c r="Z34" s="88">
        <f t="shared" ref="Z34:Z36" si="21">SUM(AA34:AC34)</f>
        <v>282.19499999999999</v>
      </c>
      <c r="AA34" s="88">
        <v>0</v>
      </c>
      <c r="AB34" s="88">
        <v>282.19499999999999</v>
      </c>
      <c r="AC34" s="88"/>
      <c r="AD34" s="88">
        <f>SUM(AE34:AG34)</f>
        <v>282.19499999999999</v>
      </c>
      <c r="AE34" s="88"/>
      <c r="AF34" s="88"/>
      <c r="AG34" s="88">
        <f>SUM(AH34:AK34)</f>
        <v>282.19499999999999</v>
      </c>
      <c r="AH34" s="88"/>
      <c r="AI34" s="88"/>
      <c r="AJ34" s="88">
        <v>282.19499999999999</v>
      </c>
      <c r="AK34" s="88"/>
      <c r="AL34" s="88">
        <f>SUM(AM34:AO34)</f>
        <v>282.19499999999999</v>
      </c>
      <c r="AM34" s="88"/>
      <c r="AN34" s="88"/>
      <c r="AO34" s="88">
        <f>SUM(AP34:AS34)</f>
        <v>282.19499999999999</v>
      </c>
      <c r="AP34" s="88"/>
      <c r="AQ34" s="88"/>
      <c r="AR34" s="88">
        <v>282.19499999999999</v>
      </c>
      <c r="AS34" s="88"/>
      <c r="AT34" s="88">
        <f t="shared" ref="AT34:AT37" si="22">AX34+AY34+AZ34</f>
        <v>0</v>
      </c>
      <c r="AU34" s="88"/>
      <c r="AV34" s="88"/>
      <c r="AW34" s="88">
        <f>SUM(AX34:AZ34)</f>
        <v>0</v>
      </c>
      <c r="AX34" s="88"/>
      <c r="AY34" s="88"/>
      <c r="AZ34" s="88"/>
      <c r="BA34" s="89">
        <f>SUM(BB34:BD34)</f>
        <v>0</v>
      </c>
      <c r="BB34" s="89"/>
      <c r="BC34" s="89"/>
      <c r="BD34" s="89">
        <f>SUM(BE34:BH34)</f>
        <v>0</v>
      </c>
      <c r="BE34" s="89"/>
      <c r="BF34" s="89"/>
      <c r="BG34" s="89"/>
      <c r="BH34" s="89"/>
      <c r="BI34" s="631">
        <f>SUM(BJ34:BL34)</f>
        <v>0</v>
      </c>
      <c r="BJ34" s="631"/>
      <c r="BK34" s="631"/>
      <c r="BL34" s="631"/>
      <c r="BM34" s="631">
        <f>SUM(BN34:BP34)</f>
        <v>0</v>
      </c>
      <c r="BN34" s="631"/>
      <c r="BO34" s="631"/>
      <c r="BP34" s="631"/>
      <c r="BQ34" s="631">
        <f>SUM(BR34:BT34)</f>
        <v>0</v>
      </c>
      <c r="BR34" s="631"/>
      <c r="BS34" s="631"/>
      <c r="BT34" s="631"/>
      <c r="BU34" s="631"/>
      <c r="BV34" s="631"/>
      <c r="BW34" s="535"/>
      <c r="BX34" s="42"/>
      <c r="BY34" s="42"/>
      <c r="BZ34" s="40"/>
      <c r="CA34" s="39"/>
      <c r="CB34" s="39"/>
      <c r="CC34" s="31" t="s">
        <v>326</v>
      </c>
    </row>
    <row r="35" spans="1:84" ht="48" customHeight="1" outlineLevel="1">
      <c r="A35" s="628">
        <v>2</v>
      </c>
      <c r="B35" s="549" t="s">
        <v>327</v>
      </c>
      <c r="C35" s="535" t="s">
        <v>324</v>
      </c>
      <c r="D35" s="541" t="s">
        <v>322</v>
      </c>
      <c r="E35" s="535" t="s">
        <v>10</v>
      </c>
      <c r="F35" s="431"/>
      <c r="G35" s="628" t="s">
        <v>325</v>
      </c>
      <c r="H35" s="540"/>
      <c r="I35" s="535"/>
      <c r="J35" s="540"/>
      <c r="K35" s="540"/>
      <c r="L35" s="535"/>
      <c r="M35" s="87"/>
      <c r="N35" s="87"/>
      <c r="O35" s="87"/>
      <c r="P35" s="87"/>
      <c r="Q35" s="87"/>
      <c r="R35" s="87" t="s">
        <v>325</v>
      </c>
      <c r="S35" s="88">
        <f>SUM(T35:V35)</f>
        <v>0</v>
      </c>
      <c r="T35" s="88"/>
      <c r="U35" s="88"/>
      <c r="V35" s="88"/>
      <c r="W35" s="88">
        <f t="shared" si="20"/>
        <v>233.49</v>
      </c>
      <c r="X35" s="88"/>
      <c r="Y35" s="88"/>
      <c r="Z35" s="88">
        <f t="shared" si="21"/>
        <v>233.49</v>
      </c>
      <c r="AA35" s="88">
        <v>0</v>
      </c>
      <c r="AB35" s="88">
        <v>233.49</v>
      </c>
      <c r="AC35" s="88"/>
      <c r="AD35" s="88">
        <f>SUM(AE35:AG35)</f>
        <v>233.49</v>
      </c>
      <c r="AE35" s="88"/>
      <c r="AF35" s="88"/>
      <c r="AG35" s="88">
        <f>SUM(AH35:AK35)</f>
        <v>233.49</v>
      </c>
      <c r="AH35" s="88"/>
      <c r="AI35" s="88"/>
      <c r="AJ35" s="88">
        <v>233.49</v>
      </c>
      <c r="AK35" s="88"/>
      <c r="AL35" s="88">
        <f>SUM(AM35:AO35)</f>
        <v>233.49</v>
      </c>
      <c r="AM35" s="88"/>
      <c r="AN35" s="88"/>
      <c r="AO35" s="88">
        <f>SUM(AP35:AS35)</f>
        <v>233.49</v>
      </c>
      <c r="AP35" s="88"/>
      <c r="AQ35" s="88"/>
      <c r="AR35" s="88">
        <v>233.49</v>
      </c>
      <c r="AS35" s="88"/>
      <c r="AT35" s="88">
        <f t="shared" si="22"/>
        <v>0</v>
      </c>
      <c r="AU35" s="88"/>
      <c r="AV35" s="88"/>
      <c r="AW35" s="88">
        <f>SUM(AX35:AZ35)</f>
        <v>0</v>
      </c>
      <c r="AX35" s="88"/>
      <c r="AY35" s="88"/>
      <c r="AZ35" s="88"/>
      <c r="BA35" s="89">
        <f>SUM(BB35:BD35)</f>
        <v>0</v>
      </c>
      <c r="BB35" s="89"/>
      <c r="BC35" s="89"/>
      <c r="BD35" s="89">
        <f>SUM(BE35:BH35)</f>
        <v>0</v>
      </c>
      <c r="BE35" s="89"/>
      <c r="BF35" s="89"/>
      <c r="BG35" s="89"/>
      <c r="BH35" s="89"/>
      <c r="BI35" s="631">
        <f>SUM(BJ35:BL35)</f>
        <v>0</v>
      </c>
      <c r="BJ35" s="631"/>
      <c r="BK35" s="631"/>
      <c r="BL35" s="631"/>
      <c r="BM35" s="631">
        <f>SUM(BN35:BP35)</f>
        <v>0</v>
      </c>
      <c r="BN35" s="631"/>
      <c r="BO35" s="631"/>
      <c r="BP35" s="631"/>
      <c r="BQ35" s="631">
        <f>SUM(BR35:BT35)</f>
        <v>0</v>
      </c>
      <c r="BR35" s="631"/>
      <c r="BS35" s="631"/>
      <c r="BT35" s="631"/>
      <c r="BU35" s="631"/>
      <c r="BV35" s="631"/>
      <c r="BW35" s="535"/>
      <c r="BX35" s="42"/>
      <c r="BY35" s="42"/>
      <c r="BZ35" s="40"/>
      <c r="CA35" s="39"/>
      <c r="CB35" s="39"/>
      <c r="CC35" s="31" t="s">
        <v>326</v>
      </c>
    </row>
    <row r="36" spans="1:84" ht="48" customHeight="1" outlineLevel="1">
      <c r="A36" s="628">
        <v>3</v>
      </c>
      <c r="B36" s="549" t="s">
        <v>328</v>
      </c>
      <c r="C36" s="535" t="s">
        <v>324</v>
      </c>
      <c r="D36" s="541" t="s">
        <v>322</v>
      </c>
      <c r="E36" s="535" t="s">
        <v>49</v>
      </c>
      <c r="F36" s="431"/>
      <c r="G36" s="628" t="s">
        <v>325</v>
      </c>
      <c r="H36" s="540"/>
      <c r="I36" s="535"/>
      <c r="J36" s="540"/>
      <c r="K36" s="540"/>
      <c r="L36" s="535"/>
      <c r="M36" s="87"/>
      <c r="N36" s="87"/>
      <c r="O36" s="87"/>
      <c r="P36" s="87"/>
      <c r="Q36" s="87"/>
      <c r="R36" s="87" t="s">
        <v>325</v>
      </c>
      <c r="S36" s="88">
        <f>SUM(T36:V36)</f>
        <v>0</v>
      </c>
      <c r="T36" s="88"/>
      <c r="U36" s="88"/>
      <c r="V36" s="88"/>
      <c r="W36" s="88">
        <f t="shared" si="20"/>
        <v>1.62</v>
      </c>
      <c r="X36" s="88"/>
      <c r="Y36" s="88"/>
      <c r="Z36" s="88">
        <f t="shared" si="21"/>
        <v>1.62</v>
      </c>
      <c r="AA36" s="88">
        <v>0</v>
      </c>
      <c r="AB36" s="88">
        <v>1.62</v>
      </c>
      <c r="AC36" s="88"/>
      <c r="AD36" s="88">
        <f>SUM(AE36:AG36)</f>
        <v>1.62</v>
      </c>
      <c r="AE36" s="88"/>
      <c r="AF36" s="88"/>
      <c r="AG36" s="88">
        <f>SUM(AH36:AK36)</f>
        <v>1.62</v>
      </c>
      <c r="AH36" s="88"/>
      <c r="AI36" s="88"/>
      <c r="AJ36" s="88">
        <v>1.62</v>
      </c>
      <c r="AK36" s="88"/>
      <c r="AL36" s="88">
        <f>SUM(AM36:AO36)</f>
        <v>1.62</v>
      </c>
      <c r="AM36" s="88"/>
      <c r="AN36" s="88"/>
      <c r="AO36" s="88">
        <f>SUM(AP36:AS36)</f>
        <v>1.62</v>
      </c>
      <c r="AP36" s="88"/>
      <c r="AQ36" s="88"/>
      <c r="AR36" s="88">
        <v>1.62</v>
      </c>
      <c r="AS36" s="88"/>
      <c r="AT36" s="88">
        <f t="shared" si="22"/>
        <v>0</v>
      </c>
      <c r="AU36" s="88"/>
      <c r="AV36" s="88"/>
      <c r="AW36" s="88">
        <f>SUM(AX36:AZ36)</f>
        <v>0</v>
      </c>
      <c r="AX36" s="88"/>
      <c r="AY36" s="88"/>
      <c r="AZ36" s="88"/>
      <c r="BA36" s="89">
        <f>SUM(BB36:BD36)</f>
        <v>0</v>
      </c>
      <c r="BB36" s="89"/>
      <c r="BC36" s="89"/>
      <c r="BD36" s="89">
        <f>SUM(BE36:BH36)</f>
        <v>0</v>
      </c>
      <c r="BE36" s="89"/>
      <c r="BF36" s="89"/>
      <c r="BG36" s="89"/>
      <c r="BH36" s="89"/>
      <c r="BI36" s="631">
        <f>SUM(BJ36:BL36)</f>
        <v>0</v>
      </c>
      <c r="BJ36" s="631"/>
      <c r="BK36" s="631"/>
      <c r="BL36" s="631"/>
      <c r="BM36" s="631">
        <f>SUM(BN36:BP36)</f>
        <v>0</v>
      </c>
      <c r="BN36" s="631"/>
      <c r="BO36" s="631"/>
      <c r="BP36" s="631"/>
      <c r="BQ36" s="631">
        <f>SUM(BR36:BT36)</f>
        <v>0</v>
      </c>
      <c r="BR36" s="631"/>
      <c r="BS36" s="631"/>
      <c r="BT36" s="631"/>
      <c r="BU36" s="631"/>
      <c r="BV36" s="631"/>
      <c r="BW36" s="535"/>
      <c r="BX36" s="42"/>
      <c r="BY36" s="42"/>
      <c r="BZ36" s="40"/>
      <c r="CA36" s="39"/>
      <c r="CB36" s="39"/>
      <c r="CC36" s="31" t="s">
        <v>329</v>
      </c>
    </row>
    <row r="37" spans="1:84" ht="75.75" customHeight="1" outlineLevel="1">
      <c r="A37" s="628">
        <v>4</v>
      </c>
      <c r="B37" s="549" t="s">
        <v>330</v>
      </c>
      <c r="C37" s="535" t="s">
        <v>324</v>
      </c>
      <c r="D37" s="541" t="s">
        <v>322</v>
      </c>
      <c r="E37" s="535" t="s">
        <v>49</v>
      </c>
      <c r="F37" s="431"/>
      <c r="G37" s="628" t="s">
        <v>325</v>
      </c>
      <c r="H37" s="540"/>
      <c r="I37" s="535"/>
      <c r="J37" s="540"/>
      <c r="K37" s="540"/>
      <c r="L37" s="535"/>
      <c r="M37" s="87"/>
      <c r="N37" s="87"/>
      <c r="O37" s="87"/>
      <c r="P37" s="87"/>
      <c r="Q37" s="87"/>
      <c r="R37" s="87" t="s">
        <v>325</v>
      </c>
      <c r="S37" s="88">
        <f>SUM(T37:V37)</f>
        <v>0</v>
      </c>
      <c r="T37" s="88"/>
      <c r="U37" s="88"/>
      <c r="V37" s="88"/>
      <c r="W37" s="88">
        <f t="shared" si="20"/>
        <v>106.209672</v>
      </c>
      <c r="X37" s="88"/>
      <c r="Y37" s="88"/>
      <c r="Z37" s="88">
        <f>SUM(AA37:AC37)</f>
        <v>106.209672</v>
      </c>
      <c r="AA37" s="88">
        <v>0</v>
      </c>
      <c r="AB37" s="88">
        <v>106.209672</v>
      </c>
      <c r="AC37" s="88"/>
      <c r="AD37" s="88">
        <f>SUM(AE37:AG37)</f>
        <v>106.209672</v>
      </c>
      <c r="AE37" s="88"/>
      <c r="AF37" s="88"/>
      <c r="AG37" s="88">
        <f>SUM(AH37:AK37)</f>
        <v>106.209672</v>
      </c>
      <c r="AH37" s="88"/>
      <c r="AI37" s="88"/>
      <c r="AJ37" s="88">
        <v>106.209672</v>
      </c>
      <c r="AK37" s="88"/>
      <c r="AL37" s="88">
        <f>SUM(AM37:AO37)</f>
        <v>106.209672</v>
      </c>
      <c r="AM37" s="88"/>
      <c r="AN37" s="88"/>
      <c r="AO37" s="88">
        <f>SUM(AP37:AS37)</f>
        <v>106.209672</v>
      </c>
      <c r="AP37" s="88"/>
      <c r="AQ37" s="88"/>
      <c r="AR37" s="88">
        <v>106.209672</v>
      </c>
      <c r="AS37" s="88"/>
      <c r="AT37" s="88">
        <f t="shared" si="22"/>
        <v>0</v>
      </c>
      <c r="AU37" s="88"/>
      <c r="AV37" s="88"/>
      <c r="AW37" s="88">
        <f>SUM(AX37:AZ37)</f>
        <v>0</v>
      </c>
      <c r="AX37" s="88"/>
      <c r="AY37" s="88"/>
      <c r="AZ37" s="88"/>
      <c r="BA37" s="89">
        <f>SUM(BB37:BD37)</f>
        <v>0</v>
      </c>
      <c r="BB37" s="89"/>
      <c r="BC37" s="89"/>
      <c r="BD37" s="89">
        <f>SUM(BE37:BH37)</f>
        <v>0</v>
      </c>
      <c r="BE37" s="89"/>
      <c r="BF37" s="89"/>
      <c r="BG37" s="89"/>
      <c r="BH37" s="89"/>
      <c r="BI37" s="631">
        <f>SUM(BJ37:BL37)</f>
        <v>0</v>
      </c>
      <c r="BJ37" s="631"/>
      <c r="BK37" s="631"/>
      <c r="BL37" s="631"/>
      <c r="BM37" s="631">
        <f>SUM(BN37:BP37)</f>
        <v>0</v>
      </c>
      <c r="BN37" s="631"/>
      <c r="BO37" s="631"/>
      <c r="BP37" s="631"/>
      <c r="BQ37" s="631">
        <f>SUM(BR37:BT37)</f>
        <v>0</v>
      </c>
      <c r="BR37" s="631"/>
      <c r="BS37" s="631"/>
      <c r="BT37" s="631"/>
      <c r="BU37" s="631"/>
      <c r="BV37" s="631"/>
      <c r="BW37" s="535"/>
      <c r="BX37" s="42"/>
      <c r="BY37" s="42"/>
      <c r="BZ37" s="40"/>
      <c r="CA37" s="39"/>
      <c r="CB37" s="39"/>
      <c r="CC37" s="31" t="s">
        <v>329</v>
      </c>
    </row>
    <row r="38" spans="1:84" ht="44.25" customHeight="1">
      <c r="A38" s="553" t="s">
        <v>45</v>
      </c>
      <c r="B38" s="533" t="s">
        <v>47</v>
      </c>
      <c r="C38" s="533"/>
      <c r="D38" s="533"/>
      <c r="E38" s="533"/>
      <c r="F38" s="533"/>
      <c r="G38" s="533"/>
      <c r="H38" s="533"/>
      <c r="I38" s="533"/>
      <c r="J38" s="533"/>
      <c r="K38" s="533"/>
      <c r="L38" s="533"/>
      <c r="M38" s="636">
        <f>SUM(M39:M43)</f>
        <v>81658.889811000001</v>
      </c>
      <c r="N38" s="636">
        <f t="shared" ref="N38:BV38" si="23">SUM(N39:N43)</f>
        <v>0</v>
      </c>
      <c r="O38" s="636">
        <f t="shared" si="23"/>
        <v>0</v>
      </c>
      <c r="P38" s="636">
        <f t="shared" si="23"/>
        <v>81658.889811000001</v>
      </c>
      <c r="Q38" s="636">
        <f t="shared" si="23"/>
        <v>0</v>
      </c>
      <c r="R38" s="636">
        <f t="shared" si="23"/>
        <v>0</v>
      </c>
      <c r="S38" s="636">
        <f t="shared" si="23"/>
        <v>44332.680458000003</v>
      </c>
      <c r="T38" s="636">
        <f t="shared" si="23"/>
        <v>0</v>
      </c>
      <c r="U38" s="636">
        <f t="shared" si="23"/>
        <v>0</v>
      </c>
      <c r="V38" s="636">
        <f t="shared" si="23"/>
        <v>44332.680458000003</v>
      </c>
      <c r="W38" s="636">
        <f t="shared" si="23"/>
        <v>30034.936137000001</v>
      </c>
      <c r="X38" s="636">
        <f t="shared" si="23"/>
        <v>0</v>
      </c>
      <c r="Y38" s="636">
        <f t="shared" si="23"/>
        <v>0</v>
      </c>
      <c r="Z38" s="636">
        <f t="shared" si="23"/>
        <v>30034.936137000001</v>
      </c>
      <c r="AA38" s="636">
        <f t="shared" si="23"/>
        <v>4249.9658509999999</v>
      </c>
      <c r="AB38" s="636">
        <f t="shared" si="23"/>
        <v>22966.970286</v>
      </c>
      <c r="AC38" s="636">
        <f t="shared" si="23"/>
        <v>2818</v>
      </c>
      <c r="AD38" s="636">
        <f t="shared" si="23"/>
        <v>30034.936137000001</v>
      </c>
      <c r="AE38" s="636">
        <f t="shared" si="23"/>
        <v>0</v>
      </c>
      <c r="AF38" s="636">
        <f t="shared" si="23"/>
        <v>0</v>
      </c>
      <c r="AG38" s="636">
        <f t="shared" si="23"/>
        <v>30034.936137000001</v>
      </c>
      <c r="AH38" s="636">
        <f t="shared" si="23"/>
        <v>4249.9658509999999</v>
      </c>
      <c r="AI38" s="636">
        <f t="shared" si="23"/>
        <v>0</v>
      </c>
      <c r="AJ38" s="636">
        <f t="shared" si="23"/>
        <v>22966.970286</v>
      </c>
      <c r="AK38" s="636">
        <f t="shared" si="23"/>
        <v>2818</v>
      </c>
      <c r="AL38" s="636">
        <f t="shared" si="23"/>
        <v>27144.858506</v>
      </c>
      <c r="AM38" s="636">
        <f t="shared" si="23"/>
        <v>0</v>
      </c>
      <c r="AN38" s="636">
        <f t="shared" si="23"/>
        <v>0</v>
      </c>
      <c r="AO38" s="636">
        <f t="shared" si="23"/>
        <v>27144.858506</v>
      </c>
      <c r="AP38" s="636">
        <f t="shared" si="23"/>
        <v>4249.9658509999999</v>
      </c>
      <c r="AQ38" s="636">
        <f t="shared" si="23"/>
        <v>0</v>
      </c>
      <c r="AR38" s="636">
        <f t="shared" si="23"/>
        <v>20076.892655</v>
      </c>
      <c r="AS38" s="636">
        <f t="shared" si="23"/>
        <v>2818</v>
      </c>
      <c r="AT38" s="636">
        <f t="shared" si="23"/>
        <v>0</v>
      </c>
      <c r="AU38" s="636">
        <f t="shared" si="23"/>
        <v>0</v>
      </c>
      <c r="AV38" s="636">
        <f t="shared" si="23"/>
        <v>0</v>
      </c>
      <c r="AW38" s="636">
        <f t="shared" si="23"/>
        <v>0</v>
      </c>
      <c r="AX38" s="636">
        <f t="shared" si="23"/>
        <v>0</v>
      </c>
      <c r="AY38" s="636">
        <f t="shared" si="23"/>
        <v>0</v>
      </c>
      <c r="AZ38" s="636">
        <f t="shared" si="23"/>
        <v>0</v>
      </c>
      <c r="BA38" s="636">
        <f t="shared" si="23"/>
        <v>0</v>
      </c>
      <c r="BB38" s="636">
        <f t="shared" si="23"/>
        <v>0</v>
      </c>
      <c r="BC38" s="636">
        <f t="shared" si="23"/>
        <v>0</v>
      </c>
      <c r="BD38" s="636">
        <f t="shared" si="23"/>
        <v>0</v>
      </c>
      <c r="BE38" s="636">
        <f t="shared" si="23"/>
        <v>0</v>
      </c>
      <c r="BF38" s="636">
        <f t="shared" si="23"/>
        <v>0</v>
      </c>
      <c r="BG38" s="636">
        <f t="shared" si="23"/>
        <v>0</v>
      </c>
      <c r="BH38" s="636">
        <f t="shared" si="23"/>
        <v>0</v>
      </c>
      <c r="BI38" s="636">
        <f t="shared" si="23"/>
        <v>0</v>
      </c>
      <c r="BJ38" s="636">
        <f t="shared" si="23"/>
        <v>0</v>
      </c>
      <c r="BK38" s="636">
        <f t="shared" si="23"/>
        <v>0</v>
      </c>
      <c r="BL38" s="636">
        <f t="shared" si="23"/>
        <v>0</v>
      </c>
      <c r="BM38" s="636">
        <f t="shared" si="23"/>
        <v>0</v>
      </c>
      <c r="BN38" s="636">
        <f t="shared" si="23"/>
        <v>0</v>
      </c>
      <c r="BO38" s="636">
        <f t="shared" si="23"/>
        <v>0</v>
      </c>
      <c r="BP38" s="636">
        <f t="shared" si="23"/>
        <v>0</v>
      </c>
      <c r="BQ38" s="636">
        <f t="shared" si="23"/>
        <v>0</v>
      </c>
      <c r="BR38" s="636">
        <f t="shared" si="23"/>
        <v>0</v>
      </c>
      <c r="BS38" s="636">
        <f t="shared" si="23"/>
        <v>0</v>
      </c>
      <c r="BT38" s="636">
        <f t="shared" si="23"/>
        <v>0</v>
      </c>
      <c r="BU38" s="636">
        <f t="shared" si="23"/>
        <v>0</v>
      </c>
      <c r="BV38" s="636">
        <f t="shared" si="23"/>
        <v>0</v>
      </c>
      <c r="BW38" s="533"/>
      <c r="BX38" s="627">
        <f ca="1">SUM(BX39:BX44)</f>
        <v>30054</v>
      </c>
      <c r="BY38" s="627">
        <f ca="1">SUM(BY39:BY44)</f>
        <v>2599.8040069999997</v>
      </c>
      <c r="BZ38" s="38"/>
      <c r="CA38" s="37">
        <f ca="1">SUM(CA39:CA44)</f>
        <v>0</v>
      </c>
      <c r="CB38" s="37">
        <f ca="1">SUM(CB39:CB44)</f>
        <v>0</v>
      </c>
    </row>
    <row r="39" spans="1:84" ht="30.75" outlineLevel="1">
      <c r="A39" s="628">
        <v>1</v>
      </c>
      <c r="B39" s="549" t="s">
        <v>331</v>
      </c>
      <c r="C39" s="535" t="s">
        <v>324</v>
      </c>
      <c r="D39" s="541" t="s">
        <v>322</v>
      </c>
      <c r="E39" s="535" t="s">
        <v>49</v>
      </c>
      <c r="F39" s="431" t="s">
        <v>48</v>
      </c>
      <c r="G39" s="628" t="s">
        <v>325</v>
      </c>
      <c r="H39" s="540">
        <v>7864217</v>
      </c>
      <c r="I39" s="535" t="s">
        <v>81</v>
      </c>
      <c r="J39" s="540">
        <v>2020</v>
      </c>
      <c r="K39" s="540" t="s">
        <v>332</v>
      </c>
      <c r="L39" s="535" t="s">
        <v>333</v>
      </c>
      <c r="M39" s="87">
        <v>4200</v>
      </c>
      <c r="N39" s="87"/>
      <c r="O39" s="87"/>
      <c r="P39" s="87">
        <v>4200</v>
      </c>
      <c r="Q39" s="87" t="s">
        <v>334</v>
      </c>
      <c r="R39" s="87" t="s">
        <v>325</v>
      </c>
      <c r="S39" s="88">
        <f>SUM(T39:V39)</f>
        <v>3666.422</v>
      </c>
      <c r="T39" s="88"/>
      <c r="U39" s="88"/>
      <c r="V39" s="88">
        <v>3666.422</v>
      </c>
      <c r="W39" s="88">
        <f t="shared" ref="W39:W42" si="24">AA39+AB39+AC39</f>
        <v>49.880999999999972</v>
      </c>
      <c r="X39" s="88"/>
      <c r="Y39" s="88"/>
      <c r="Z39" s="88">
        <f>SUM(AA39:AC39)</f>
        <v>49.880999999999972</v>
      </c>
      <c r="AA39" s="88">
        <v>0</v>
      </c>
      <c r="AB39" s="88">
        <v>49.880999999999972</v>
      </c>
      <c r="AC39" s="88"/>
      <c r="AD39" s="88">
        <f>SUM(AE39:AG39)</f>
        <v>49.880999999999972</v>
      </c>
      <c r="AE39" s="88"/>
      <c r="AF39" s="88"/>
      <c r="AG39" s="88">
        <f>SUM(AH39:AK39)</f>
        <v>49.880999999999972</v>
      </c>
      <c r="AH39" s="88"/>
      <c r="AI39" s="88"/>
      <c r="AJ39" s="88">
        <v>49.880999999999972</v>
      </c>
      <c r="AK39" s="88"/>
      <c r="AL39" s="88">
        <f>SUM(AM39:AO39)</f>
        <v>49.880999999999972</v>
      </c>
      <c r="AM39" s="88"/>
      <c r="AN39" s="88"/>
      <c r="AO39" s="88">
        <f>SUM(AP39:AS39)</f>
        <v>49.880999999999972</v>
      </c>
      <c r="AP39" s="88"/>
      <c r="AQ39" s="88"/>
      <c r="AR39" s="88">
        <v>49.880999999999972</v>
      </c>
      <c r="AS39" s="88"/>
      <c r="AT39" s="88">
        <f t="shared" ref="AT39:AT42" si="25">AX39+AY39+AZ39</f>
        <v>0</v>
      </c>
      <c r="AU39" s="88"/>
      <c r="AV39" s="88"/>
      <c r="AW39" s="88">
        <f>SUM(AX39:AZ39)</f>
        <v>0</v>
      </c>
      <c r="AX39" s="88"/>
      <c r="AY39" s="88"/>
      <c r="AZ39" s="88"/>
      <c r="BA39" s="89">
        <f>SUM(BB39:BD39)</f>
        <v>0</v>
      </c>
      <c r="BB39" s="89"/>
      <c r="BC39" s="89"/>
      <c r="BD39" s="89">
        <f>SUM(BE39:BH39)</f>
        <v>0</v>
      </c>
      <c r="BE39" s="89"/>
      <c r="BF39" s="89"/>
      <c r="BG39" s="89"/>
      <c r="BH39" s="89"/>
      <c r="BI39" s="631">
        <f>SUM(BJ39:BL39)</f>
        <v>0</v>
      </c>
      <c r="BJ39" s="631"/>
      <c r="BK39" s="631"/>
      <c r="BL39" s="631"/>
      <c r="BM39" s="631">
        <f>SUM(BN39:BP39)</f>
        <v>0</v>
      </c>
      <c r="BN39" s="631"/>
      <c r="BO39" s="631"/>
      <c r="BP39" s="631"/>
      <c r="BQ39" s="631">
        <f>SUM(BR39:BT39)</f>
        <v>0</v>
      </c>
      <c r="BR39" s="631"/>
      <c r="BS39" s="631"/>
      <c r="BT39" s="631"/>
      <c r="BU39" s="631"/>
      <c r="BV39" s="631"/>
      <c r="BW39" s="535" t="s">
        <v>867</v>
      </c>
      <c r="BX39" s="42"/>
      <c r="BY39" s="42"/>
      <c r="BZ39" s="36"/>
      <c r="CA39" s="35"/>
      <c r="CB39" s="35"/>
      <c r="CD39" s="28"/>
      <c r="CE39" s="28"/>
      <c r="CF39" s="28"/>
    </row>
    <row r="40" spans="1:84" ht="61.5" outlineLevel="1">
      <c r="A40" s="628">
        <v>2</v>
      </c>
      <c r="B40" s="549" t="s">
        <v>335</v>
      </c>
      <c r="C40" s="535" t="s">
        <v>324</v>
      </c>
      <c r="D40" s="541" t="s">
        <v>322</v>
      </c>
      <c r="E40" s="535" t="s">
        <v>49</v>
      </c>
      <c r="F40" s="431" t="s">
        <v>336</v>
      </c>
      <c r="G40" s="628" t="s">
        <v>325</v>
      </c>
      <c r="H40" s="540">
        <v>7831369</v>
      </c>
      <c r="I40" s="535" t="s">
        <v>69</v>
      </c>
      <c r="J40" s="540">
        <v>2020</v>
      </c>
      <c r="K40" s="540" t="s">
        <v>337</v>
      </c>
      <c r="L40" s="535" t="s">
        <v>338</v>
      </c>
      <c r="M40" s="87">
        <v>4991.9328109999997</v>
      </c>
      <c r="N40" s="87"/>
      <c r="O40" s="87"/>
      <c r="P40" s="87">
        <v>4991.9328109999997</v>
      </c>
      <c r="Q40" s="87" t="s">
        <v>339</v>
      </c>
      <c r="R40" s="87" t="s">
        <v>325</v>
      </c>
      <c r="S40" s="88">
        <f>SUM(T40:V40)</f>
        <v>3313.2579999999998</v>
      </c>
      <c r="T40" s="88"/>
      <c r="U40" s="88"/>
      <c r="V40" s="88">
        <v>3313.2579999999998</v>
      </c>
      <c r="W40" s="88">
        <f t="shared" si="24"/>
        <v>542.97799999999995</v>
      </c>
      <c r="X40" s="88"/>
      <c r="Y40" s="88"/>
      <c r="Z40" s="88">
        <f>SUM(AA40:AC40)</f>
        <v>542.97799999999995</v>
      </c>
      <c r="AA40" s="88">
        <v>0</v>
      </c>
      <c r="AB40" s="88">
        <v>542.97799999999995</v>
      </c>
      <c r="AC40" s="88"/>
      <c r="AD40" s="88">
        <f>SUM(AE40:AG40)</f>
        <v>542.97799999999995</v>
      </c>
      <c r="AE40" s="88"/>
      <c r="AF40" s="88"/>
      <c r="AG40" s="88">
        <f>SUM(AH40:AK40)</f>
        <v>542.97799999999995</v>
      </c>
      <c r="AH40" s="88"/>
      <c r="AI40" s="88"/>
      <c r="AJ40" s="88">
        <v>542.97799999999995</v>
      </c>
      <c r="AK40" s="88"/>
      <c r="AL40" s="88">
        <f>SUM(AM40:AO40)</f>
        <v>542.97799999999995</v>
      </c>
      <c r="AM40" s="88"/>
      <c r="AN40" s="88"/>
      <c r="AO40" s="88">
        <f>SUM(AP40:AS40)</f>
        <v>542.97799999999995</v>
      </c>
      <c r="AP40" s="88"/>
      <c r="AQ40" s="88"/>
      <c r="AR40" s="88">
        <v>542.97799999999995</v>
      </c>
      <c r="AS40" s="88"/>
      <c r="AT40" s="88">
        <f t="shared" si="25"/>
        <v>0</v>
      </c>
      <c r="AU40" s="88"/>
      <c r="AV40" s="88"/>
      <c r="AW40" s="88">
        <f>SUM(AX40:AZ40)</f>
        <v>0</v>
      </c>
      <c r="AX40" s="88"/>
      <c r="AY40" s="88"/>
      <c r="AZ40" s="88"/>
      <c r="BA40" s="89">
        <f>SUM(BB40:BD40)</f>
        <v>0</v>
      </c>
      <c r="BB40" s="89"/>
      <c r="BC40" s="89"/>
      <c r="BD40" s="89">
        <f>SUM(BE40:BH40)</f>
        <v>0</v>
      </c>
      <c r="BE40" s="89"/>
      <c r="BF40" s="89"/>
      <c r="BG40" s="89"/>
      <c r="BH40" s="89"/>
      <c r="BI40" s="631">
        <f>SUM(BJ40:BL40)</f>
        <v>0</v>
      </c>
      <c r="BJ40" s="631"/>
      <c r="BK40" s="631"/>
      <c r="BL40" s="631"/>
      <c r="BM40" s="631">
        <f>SUM(BN40:BP40)</f>
        <v>0</v>
      </c>
      <c r="BN40" s="631"/>
      <c r="BO40" s="631"/>
      <c r="BP40" s="631"/>
      <c r="BQ40" s="631">
        <f>SUM(BR40:BT40)</f>
        <v>0</v>
      </c>
      <c r="BR40" s="631"/>
      <c r="BS40" s="631"/>
      <c r="BT40" s="631"/>
      <c r="BU40" s="631"/>
      <c r="BV40" s="631"/>
      <c r="BW40" s="535" t="s">
        <v>867</v>
      </c>
      <c r="BX40" s="42"/>
      <c r="BY40" s="42"/>
      <c r="BZ40" s="36"/>
      <c r="CA40" s="35"/>
      <c r="CB40" s="35"/>
      <c r="CD40" s="28"/>
      <c r="CE40" s="28"/>
      <c r="CF40" s="28"/>
    </row>
    <row r="41" spans="1:84" ht="92.25" outlineLevel="1">
      <c r="A41" s="628">
        <v>3</v>
      </c>
      <c r="B41" s="549" t="s">
        <v>340</v>
      </c>
      <c r="C41" s="535" t="s">
        <v>324</v>
      </c>
      <c r="D41" s="541" t="s">
        <v>322</v>
      </c>
      <c r="E41" s="535" t="s">
        <v>49</v>
      </c>
      <c r="F41" s="431" t="s">
        <v>48</v>
      </c>
      <c r="G41" s="628" t="s">
        <v>325</v>
      </c>
      <c r="H41" s="540">
        <v>7713157</v>
      </c>
      <c r="I41" s="535" t="s">
        <v>50</v>
      </c>
      <c r="J41" s="540">
        <v>2019</v>
      </c>
      <c r="K41" s="540" t="s">
        <v>341</v>
      </c>
      <c r="L41" s="535" t="s">
        <v>342</v>
      </c>
      <c r="M41" s="87">
        <v>38116.031000000003</v>
      </c>
      <c r="N41" s="87"/>
      <c r="O41" s="87"/>
      <c r="P41" s="87">
        <v>38116.031000000003</v>
      </c>
      <c r="Q41" s="87" t="s">
        <v>343</v>
      </c>
      <c r="R41" s="87" t="s">
        <v>325</v>
      </c>
      <c r="S41" s="88">
        <f>SUM(T41:V41)</f>
        <v>31287.751149</v>
      </c>
      <c r="T41" s="88"/>
      <c r="U41" s="88"/>
      <c r="V41" s="88">
        <v>31287.751149</v>
      </c>
      <c r="W41" s="88">
        <f t="shared" si="24"/>
        <v>1189.9658509999999</v>
      </c>
      <c r="X41" s="88"/>
      <c r="Y41" s="88"/>
      <c r="Z41" s="88">
        <f>SUM(AA41:AC41)</f>
        <v>1189.9658509999999</v>
      </c>
      <c r="AA41" s="88">
        <v>1189.9658509999999</v>
      </c>
      <c r="AB41" s="88"/>
      <c r="AC41" s="88"/>
      <c r="AD41" s="88">
        <f>SUM(AE41:AG41)</f>
        <v>1189.9658509999999</v>
      </c>
      <c r="AE41" s="88"/>
      <c r="AF41" s="88"/>
      <c r="AG41" s="88">
        <f>SUM(AH41:AK41)</f>
        <v>1189.9658509999999</v>
      </c>
      <c r="AH41" s="88">
        <v>1189.9658509999999</v>
      </c>
      <c r="AI41" s="88"/>
      <c r="AJ41" s="88"/>
      <c r="AK41" s="88"/>
      <c r="AL41" s="88">
        <f>SUM(AM41:AO41)</f>
        <v>1189.9658509999999</v>
      </c>
      <c r="AM41" s="88"/>
      <c r="AN41" s="88"/>
      <c r="AO41" s="88">
        <f>SUM(AP41:AS41)</f>
        <v>1189.9658509999999</v>
      </c>
      <c r="AP41" s="88">
        <v>1189.9658509999999</v>
      </c>
      <c r="AQ41" s="88"/>
      <c r="AR41" s="88"/>
      <c r="AS41" s="88"/>
      <c r="AT41" s="88">
        <f t="shared" si="25"/>
        <v>0</v>
      </c>
      <c r="AU41" s="88"/>
      <c r="AV41" s="88"/>
      <c r="AW41" s="88">
        <f>SUM(AX41:AZ41)</f>
        <v>0</v>
      </c>
      <c r="AX41" s="88"/>
      <c r="AY41" s="88"/>
      <c r="AZ41" s="88"/>
      <c r="BA41" s="89">
        <f>SUM(BB41:BD41)</f>
        <v>0</v>
      </c>
      <c r="BB41" s="89"/>
      <c r="BC41" s="89"/>
      <c r="BD41" s="89">
        <f>SUM(BE41:BH41)</f>
        <v>0</v>
      </c>
      <c r="BE41" s="89"/>
      <c r="BF41" s="89"/>
      <c r="BG41" s="89"/>
      <c r="BH41" s="89"/>
      <c r="BI41" s="631">
        <f>SUM(BJ41:BL41)</f>
        <v>0</v>
      </c>
      <c r="BJ41" s="631"/>
      <c r="BK41" s="631"/>
      <c r="BL41" s="631"/>
      <c r="BM41" s="631">
        <f>SUM(BN41:BP41)</f>
        <v>0</v>
      </c>
      <c r="BN41" s="631"/>
      <c r="BO41" s="631"/>
      <c r="BP41" s="631"/>
      <c r="BQ41" s="631">
        <f>SUM(BR41:BT41)</f>
        <v>0</v>
      </c>
      <c r="BR41" s="631"/>
      <c r="BS41" s="631"/>
      <c r="BT41" s="631"/>
      <c r="BU41" s="631"/>
      <c r="BV41" s="631"/>
      <c r="BW41" s="535" t="s">
        <v>867</v>
      </c>
      <c r="BX41" s="42">
        <v>1189.9658509999999</v>
      </c>
      <c r="BY41" s="42"/>
      <c r="BZ41" s="36"/>
      <c r="CA41" s="35"/>
      <c r="CB41" s="35"/>
      <c r="CD41" s="28"/>
      <c r="CE41" s="28"/>
      <c r="CF41" s="28"/>
    </row>
    <row r="42" spans="1:84" ht="92.25" outlineLevel="1">
      <c r="A42" s="628">
        <v>4</v>
      </c>
      <c r="B42" s="549" t="s">
        <v>344</v>
      </c>
      <c r="C42" s="535" t="s">
        <v>324</v>
      </c>
      <c r="D42" s="541" t="s">
        <v>322</v>
      </c>
      <c r="E42" s="535" t="s">
        <v>49</v>
      </c>
      <c r="F42" s="431" t="s">
        <v>345</v>
      </c>
      <c r="G42" s="628" t="s">
        <v>325</v>
      </c>
      <c r="H42" s="540">
        <v>7866531</v>
      </c>
      <c r="I42" s="535" t="s">
        <v>71</v>
      </c>
      <c r="J42" s="540">
        <v>2021</v>
      </c>
      <c r="K42" s="535" t="s">
        <v>346</v>
      </c>
      <c r="L42" s="535" t="s">
        <v>347</v>
      </c>
      <c r="M42" s="87">
        <v>26350.925999999999</v>
      </c>
      <c r="N42" s="87"/>
      <c r="O42" s="87"/>
      <c r="P42" s="87">
        <v>26350.925999999999</v>
      </c>
      <c r="Q42" s="87" t="s">
        <v>348</v>
      </c>
      <c r="R42" s="87" t="s">
        <v>325</v>
      </c>
      <c r="S42" s="88">
        <f>SUM(T42:V42)</f>
        <v>4825.2579610000003</v>
      </c>
      <c r="T42" s="88"/>
      <c r="U42" s="88"/>
      <c r="V42" s="88">
        <v>4825.2579610000003</v>
      </c>
      <c r="W42" s="88">
        <f t="shared" si="24"/>
        <v>21525.668039</v>
      </c>
      <c r="X42" s="88"/>
      <c r="Y42" s="88"/>
      <c r="Z42" s="88">
        <f>SUM(AA42:AC42)</f>
        <v>21525.668039</v>
      </c>
      <c r="AA42" s="88">
        <v>0</v>
      </c>
      <c r="AB42" s="88">
        <v>21525.668039</v>
      </c>
      <c r="AC42" s="88"/>
      <c r="AD42" s="88">
        <f>SUM(AE42:AG42)</f>
        <v>21525.668039</v>
      </c>
      <c r="AE42" s="88"/>
      <c r="AF42" s="88"/>
      <c r="AG42" s="88">
        <f>SUM(AH42:AK42)</f>
        <v>21525.668039</v>
      </c>
      <c r="AH42" s="88"/>
      <c r="AI42" s="88"/>
      <c r="AJ42" s="88">
        <v>21525.668039</v>
      </c>
      <c r="AK42" s="88"/>
      <c r="AL42" s="88">
        <f>SUM(AM42:AO42)</f>
        <v>18758.493003</v>
      </c>
      <c r="AM42" s="88"/>
      <c r="AN42" s="88"/>
      <c r="AO42" s="88">
        <f>SUM(AP42:AS42)</f>
        <v>18758.493003</v>
      </c>
      <c r="AP42" s="88"/>
      <c r="AQ42" s="88"/>
      <c r="AR42" s="88">
        <v>18758.493003</v>
      </c>
      <c r="AS42" s="88"/>
      <c r="AT42" s="88">
        <f t="shared" si="25"/>
        <v>0</v>
      </c>
      <c r="AU42" s="88"/>
      <c r="AV42" s="88"/>
      <c r="AW42" s="88">
        <f>SUM(AX42:AZ42)</f>
        <v>0</v>
      </c>
      <c r="AX42" s="88"/>
      <c r="AY42" s="88"/>
      <c r="AZ42" s="88"/>
      <c r="BA42" s="89">
        <f>SUM(BB42:BD42)</f>
        <v>0</v>
      </c>
      <c r="BB42" s="89"/>
      <c r="BC42" s="89"/>
      <c r="BD42" s="89">
        <f>SUM(BE42:BH42)</f>
        <v>0</v>
      </c>
      <c r="BE42" s="89"/>
      <c r="BF42" s="89"/>
      <c r="BG42" s="89"/>
      <c r="BH42" s="89"/>
      <c r="BI42" s="631">
        <f>SUM(BJ42:BL42)</f>
        <v>0</v>
      </c>
      <c r="BJ42" s="631"/>
      <c r="BK42" s="631"/>
      <c r="BL42" s="631"/>
      <c r="BM42" s="631">
        <f>SUM(BN42:BP42)</f>
        <v>0</v>
      </c>
      <c r="BN42" s="631"/>
      <c r="BO42" s="631"/>
      <c r="BP42" s="631"/>
      <c r="BQ42" s="631">
        <f>SUM(BR42:BT42)</f>
        <v>0</v>
      </c>
      <c r="BR42" s="631"/>
      <c r="BS42" s="631"/>
      <c r="BT42" s="631"/>
      <c r="BU42" s="631"/>
      <c r="BV42" s="631"/>
      <c r="BW42" s="535" t="s">
        <v>867</v>
      </c>
      <c r="BX42" s="42"/>
      <c r="BY42" s="42"/>
      <c r="BZ42" s="36"/>
      <c r="CA42" s="35"/>
      <c r="CB42" s="35"/>
      <c r="CD42" s="28"/>
      <c r="CE42" s="28"/>
      <c r="CF42" s="28"/>
    </row>
    <row r="43" spans="1:84" ht="30.75" outlineLevel="1">
      <c r="A43" s="628">
        <v>5</v>
      </c>
      <c r="B43" s="549" t="s">
        <v>349</v>
      </c>
      <c r="C43" s="535" t="s">
        <v>324</v>
      </c>
      <c r="D43" s="541" t="s">
        <v>322</v>
      </c>
      <c r="E43" s="535" t="s">
        <v>49</v>
      </c>
      <c r="F43" s="431" t="s">
        <v>105</v>
      </c>
      <c r="G43" s="628" t="s">
        <v>325</v>
      </c>
      <c r="H43" s="540">
        <v>7913664</v>
      </c>
      <c r="I43" s="535" t="s">
        <v>71</v>
      </c>
      <c r="J43" s="540">
        <v>2021</v>
      </c>
      <c r="K43" s="540" t="s">
        <v>350</v>
      </c>
      <c r="L43" s="535" t="s">
        <v>351</v>
      </c>
      <c r="M43" s="87">
        <v>8000</v>
      </c>
      <c r="N43" s="87"/>
      <c r="O43" s="87"/>
      <c r="P43" s="87">
        <v>8000</v>
      </c>
      <c r="Q43" s="87" t="s">
        <v>352</v>
      </c>
      <c r="R43" s="87" t="s">
        <v>325</v>
      </c>
      <c r="S43" s="88">
        <f>SUM(T43:V43)</f>
        <v>1239.991348</v>
      </c>
      <c r="T43" s="88"/>
      <c r="U43" s="88"/>
      <c r="V43" s="88">
        <v>1239.991348</v>
      </c>
      <c r="W43" s="88">
        <f>AA43+AB43+AC43</f>
        <v>6726.4432470000002</v>
      </c>
      <c r="X43" s="88"/>
      <c r="Y43" s="88"/>
      <c r="Z43" s="88">
        <f>SUM(AA43:AC43)</f>
        <v>6726.4432470000002</v>
      </c>
      <c r="AA43" s="88">
        <v>3060</v>
      </c>
      <c r="AB43" s="88">
        <v>848.44324700000004</v>
      </c>
      <c r="AC43" s="88">
        <v>2818</v>
      </c>
      <c r="AD43" s="88">
        <f>SUM(AE43:AG43)</f>
        <v>6726.4432470000002</v>
      </c>
      <c r="AE43" s="88"/>
      <c r="AF43" s="88"/>
      <c r="AG43" s="88">
        <f>SUM(AH43:AK43)</f>
        <v>6726.4432470000002</v>
      </c>
      <c r="AH43" s="88">
        <v>3060</v>
      </c>
      <c r="AI43" s="88"/>
      <c r="AJ43" s="88">
        <v>848.44324700000004</v>
      </c>
      <c r="AK43" s="88">
        <v>2818</v>
      </c>
      <c r="AL43" s="88">
        <f>SUM(AM43:AO43)</f>
        <v>6603.5406519999997</v>
      </c>
      <c r="AM43" s="88"/>
      <c r="AN43" s="88"/>
      <c r="AO43" s="88">
        <f>SUM(AP43:AS43)</f>
        <v>6603.5406519999997</v>
      </c>
      <c r="AP43" s="88">
        <v>3060</v>
      </c>
      <c r="AQ43" s="88"/>
      <c r="AR43" s="88">
        <f>1965.532-V43</f>
        <v>725.54065199999991</v>
      </c>
      <c r="AS43" s="88">
        <v>2818</v>
      </c>
      <c r="AT43" s="88">
        <f>AX43+AY43+AZ43</f>
        <v>0</v>
      </c>
      <c r="AU43" s="88"/>
      <c r="AV43" s="88"/>
      <c r="AW43" s="88">
        <f>SUM(AX43:AZ43)</f>
        <v>0</v>
      </c>
      <c r="AX43" s="88"/>
      <c r="AY43" s="88"/>
      <c r="AZ43" s="88"/>
      <c r="BA43" s="89">
        <f>SUM(BB43:BD43)</f>
        <v>0</v>
      </c>
      <c r="BB43" s="89"/>
      <c r="BC43" s="89"/>
      <c r="BD43" s="89">
        <f>SUM(BE43:BH43)</f>
        <v>0</v>
      </c>
      <c r="BE43" s="89"/>
      <c r="BF43" s="89"/>
      <c r="BG43" s="89"/>
      <c r="BH43" s="89"/>
      <c r="BI43" s="631">
        <f>SUM(BJ43:BL43)</f>
        <v>0</v>
      </c>
      <c r="BJ43" s="631"/>
      <c r="BK43" s="631"/>
      <c r="BL43" s="631"/>
      <c r="BM43" s="631">
        <f>SUM(BN43:BP43)</f>
        <v>0</v>
      </c>
      <c r="BN43" s="631"/>
      <c r="BO43" s="631"/>
      <c r="BP43" s="631"/>
      <c r="BQ43" s="631">
        <f>SUM(BR43:BT43)</f>
        <v>0</v>
      </c>
      <c r="BR43" s="631"/>
      <c r="BS43" s="631"/>
      <c r="BT43" s="631"/>
      <c r="BU43" s="631"/>
      <c r="BV43" s="631"/>
      <c r="BW43" s="535" t="s">
        <v>867</v>
      </c>
      <c r="BX43" s="42">
        <v>3060</v>
      </c>
      <c r="BY43" s="42"/>
      <c r="BZ43" s="36"/>
      <c r="CA43" s="35"/>
      <c r="CB43" s="35"/>
      <c r="CD43" s="28"/>
      <c r="CE43" s="28"/>
      <c r="CF43" s="28"/>
    </row>
    <row r="44" spans="1:84" ht="46.5" customHeight="1">
      <c r="A44" s="553" t="s">
        <v>45</v>
      </c>
      <c r="B44" s="533" t="s">
        <v>51</v>
      </c>
      <c r="C44" s="533"/>
      <c r="D44" s="533"/>
      <c r="E44" s="533"/>
      <c r="F44" s="533"/>
      <c r="G44" s="533"/>
      <c r="H44" s="533"/>
      <c r="I44" s="533"/>
      <c r="J44" s="533"/>
      <c r="K44" s="533"/>
      <c r="L44" s="533"/>
      <c r="M44" s="636">
        <f>SUM(M45:M77)</f>
        <v>262137.40462099999</v>
      </c>
      <c r="N44" s="636">
        <f t="shared" ref="N44:BV44" si="26">SUM(N45:N77)</f>
        <v>135000</v>
      </c>
      <c r="O44" s="636">
        <f t="shared" si="26"/>
        <v>39100</v>
      </c>
      <c r="P44" s="636">
        <f t="shared" si="26"/>
        <v>85858.699465999991</v>
      </c>
      <c r="Q44" s="636">
        <f t="shared" si="26"/>
        <v>0</v>
      </c>
      <c r="R44" s="636">
        <f t="shared" si="26"/>
        <v>0</v>
      </c>
      <c r="S44" s="636">
        <f t="shared" si="26"/>
        <v>0</v>
      </c>
      <c r="T44" s="636">
        <f t="shared" si="26"/>
        <v>0</v>
      </c>
      <c r="U44" s="636">
        <f t="shared" si="26"/>
        <v>0</v>
      </c>
      <c r="V44" s="636">
        <f t="shared" si="26"/>
        <v>0</v>
      </c>
      <c r="W44" s="636">
        <f t="shared" si="26"/>
        <v>81909.017242000002</v>
      </c>
      <c r="X44" s="636">
        <f t="shared" si="26"/>
        <v>0</v>
      </c>
      <c r="Y44" s="636">
        <f t="shared" si="26"/>
        <v>0</v>
      </c>
      <c r="Z44" s="636">
        <f t="shared" si="26"/>
        <v>81909.017242000002</v>
      </c>
      <c r="AA44" s="636">
        <f t="shared" si="26"/>
        <v>35238.838155999998</v>
      </c>
      <c r="AB44" s="636">
        <f t="shared" si="26"/>
        <v>37258.160151999989</v>
      </c>
      <c r="AC44" s="636">
        <f t="shared" si="26"/>
        <v>9412.0189339999997</v>
      </c>
      <c r="AD44" s="636">
        <f t="shared" si="26"/>
        <v>66698.750741999989</v>
      </c>
      <c r="AE44" s="636">
        <f t="shared" si="26"/>
        <v>0</v>
      </c>
      <c r="AF44" s="636">
        <f t="shared" si="26"/>
        <v>0</v>
      </c>
      <c r="AG44" s="636">
        <f t="shared" si="26"/>
        <v>66698.750741999989</v>
      </c>
      <c r="AH44" s="636">
        <f t="shared" si="26"/>
        <v>32317.844149</v>
      </c>
      <c r="AI44" s="636">
        <f t="shared" si="26"/>
        <v>2599.8040069999997</v>
      </c>
      <c r="AJ44" s="636">
        <f t="shared" si="26"/>
        <v>22369.083651999998</v>
      </c>
      <c r="AK44" s="636">
        <f t="shared" si="26"/>
        <v>9412.0189339999997</v>
      </c>
      <c r="AL44" s="636">
        <f t="shared" si="26"/>
        <v>64767.935802999993</v>
      </c>
      <c r="AM44" s="636">
        <f t="shared" si="26"/>
        <v>0</v>
      </c>
      <c r="AN44" s="636">
        <f t="shared" si="26"/>
        <v>0</v>
      </c>
      <c r="AO44" s="636">
        <f t="shared" si="26"/>
        <v>64767.935802999993</v>
      </c>
      <c r="AP44" s="636">
        <f t="shared" si="26"/>
        <v>32276.600051999998</v>
      </c>
      <c r="AQ44" s="636">
        <f t="shared" si="26"/>
        <v>2544.5576220000003</v>
      </c>
      <c r="AR44" s="636">
        <f t="shared" si="26"/>
        <v>20565.008635999999</v>
      </c>
      <c r="AS44" s="636">
        <f t="shared" si="26"/>
        <v>9381.7694929999998</v>
      </c>
      <c r="AT44" s="636">
        <f t="shared" si="26"/>
        <v>421.19</v>
      </c>
      <c r="AU44" s="636">
        <f t="shared" si="26"/>
        <v>0</v>
      </c>
      <c r="AV44" s="636">
        <f t="shared" si="26"/>
        <v>0</v>
      </c>
      <c r="AW44" s="636">
        <f t="shared" si="26"/>
        <v>421.19</v>
      </c>
      <c r="AX44" s="636">
        <f t="shared" si="26"/>
        <v>321.19</v>
      </c>
      <c r="AY44" s="636">
        <f t="shared" si="26"/>
        <v>100</v>
      </c>
      <c r="AZ44" s="636">
        <f t="shared" si="26"/>
        <v>0</v>
      </c>
      <c r="BA44" s="636">
        <f t="shared" si="26"/>
        <v>306.12810999999999</v>
      </c>
      <c r="BB44" s="636">
        <f t="shared" si="26"/>
        <v>0</v>
      </c>
      <c r="BC44" s="636">
        <f t="shared" si="26"/>
        <v>0</v>
      </c>
      <c r="BD44" s="636">
        <f t="shared" si="26"/>
        <v>306.12810999999999</v>
      </c>
      <c r="BE44" s="636">
        <f t="shared" si="26"/>
        <v>306.12810999999999</v>
      </c>
      <c r="BF44" s="636">
        <f t="shared" si="26"/>
        <v>0</v>
      </c>
      <c r="BG44" s="636">
        <f t="shared" si="26"/>
        <v>0</v>
      </c>
      <c r="BH44" s="636">
        <f t="shared" si="26"/>
        <v>0</v>
      </c>
      <c r="BI44" s="636">
        <f t="shared" si="26"/>
        <v>465.301918</v>
      </c>
      <c r="BJ44" s="636">
        <f t="shared" si="26"/>
        <v>0</v>
      </c>
      <c r="BK44" s="636">
        <f t="shared" si="26"/>
        <v>0</v>
      </c>
      <c r="BL44" s="636">
        <f t="shared" si="26"/>
        <v>465.301918</v>
      </c>
      <c r="BM44" s="636">
        <f t="shared" si="26"/>
        <v>465.301918</v>
      </c>
      <c r="BN44" s="636">
        <f t="shared" si="26"/>
        <v>0</v>
      </c>
      <c r="BO44" s="636">
        <f t="shared" si="26"/>
        <v>0</v>
      </c>
      <c r="BP44" s="636">
        <f t="shared" si="26"/>
        <v>465.301918</v>
      </c>
      <c r="BQ44" s="636">
        <f t="shared" si="26"/>
        <v>14882</v>
      </c>
      <c r="BR44" s="636">
        <f t="shared" si="26"/>
        <v>0</v>
      </c>
      <c r="BS44" s="636">
        <f t="shared" si="26"/>
        <v>0</v>
      </c>
      <c r="BT44" s="636">
        <f t="shared" si="26"/>
        <v>14882</v>
      </c>
      <c r="BU44" s="636">
        <f t="shared" si="26"/>
        <v>0</v>
      </c>
      <c r="BV44" s="636">
        <f t="shared" si="26"/>
        <v>465.301918</v>
      </c>
      <c r="BW44" s="533"/>
      <c r="BX44" s="627">
        <f ca="1">SUM(BX45:BX90)+BX57+#REF!</f>
        <v>25804.034148999999</v>
      </c>
      <c r="BY44" s="627">
        <f ca="1">SUM(BY45:BY90)+BY57+#REF!</f>
        <v>2599.8040069999997</v>
      </c>
      <c r="BZ44" s="38"/>
      <c r="CA44" s="37">
        <f ca="1">SUM(CA45:CA90)+CA57+#REF!</f>
        <v>0</v>
      </c>
      <c r="CB44" s="37">
        <f ca="1">SUM(CB45:CB90)+CB57+#REF!</f>
        <v>0</v>
      </c>
    </row>
    <row r="45" spans="1:84" ht="50.25" customHeight="1" outlineLevel="1">
      <c r="A45" s="628">
        <v>1</v>
      </c>
      <c r="B45" s="549" t="s">
        <v>353</v>
      </c>
      <c r="C45" s="535" t="s">
        <v>324</v>
      </c>
      <c r="D45" s="541" t="s">
        <v>322</v>
      </c>
      <c r="E45" s="535" t="s">
        <v>49</v>
      </c>
      <c r="F45" s="431" t="s">
        <v>48</v>
      </c>
      <c r="G45" s="628" t="s">
        <v>325</v>
      </c>
      <c r="H45" s="540">
        <v>7898001</v>
      </c>
      <c r="I45" s="535" t="s">
        <v>73</v>
      </c>
      <c r="J45" s="540">
        <v>2021</v>
      </c>
      <c r="K45" s="540" t="s">
        <v>354</v>
      </c>
      <c r="L45" s="535" t="s">
        <v>355</v>
      </c>
      <c r="M45" s="87">
        <v>1628</v>
      </c>
      <c r="N45" s="87"/>
      <c r="O45" s="87"/>
      <c r="P45" s="87">
        <v>1628</v>
      </c>
      <c r="Q45" s="87" t="s">
        <v>356</v>
      </c>
      <c r="R45" s="87" t="s">
        <v>325</v>
      </c>
      <c r="S45" s="88">
        <f t="shared" ref="S45:S69" si="27">SUM(T45:V45)</f>
        <v>0</v>
      </c>
      <c r="T45" s="88"/>
      <c r="U45" s="88"/>
      <c r="V45" s="88"/>
      <c r="W45" s="88">
        <f t="shared" ref="W45:W47" si="28">AA45+AB45+AC45</f>
        <v>1593.509</v>
      </c>
      <c r="X45" s="88"/>
      <c r="Y45" s="88"/>
      <c r="Z45" s="88">
        <f t="shared" ref="Z45:Z69" si="29">SUM(AA45:AC45)</f>
        <v>1593.509</v>
      </c>
      <c r="AA45" s="88">
        <v>1593.509</v>
      </c>
      <c r="AB45" s="88"/>
      <c r="AC45" s="88"/>
      <c r="AD45" s="88">
        <f t="shared" ref="AD45:AD69" si="30">SUM(AE45:AG45)</f>
        <v>1593.509</v>
      </c>
      <c r="AE45" s="88"/>
      <c r="AF45" s="88"/>
      <c r="AG45" s="88">
        <f t="shared" ref="AG45:AG69" si="31">SUM(AH45:AK45)</f>
        <v>1593.509</v>
      </c>
      <c r="AH45" s="88">
        <v>1593.509</v>
      </c>
      <c r="AI45" s="88"/>
      <c r="AJ45" s="88"/>
      <c r="AK45" s="88"/>
      <c r="AL45" s="88">
        <f t="shared" ref="AL45:AL69" si="32">SUM(AM45:AO45)</f>
        <v>1593.509</v>
      </c>
      <c r="AM45" s="88"/>
      <c r="AN45" s="88"/>
      <c r="AO45" s="88">
        <f t="shared" ref="AO45:AO69" si="33">SUM(AP45:AS45)</f>
        <v>1593.509</v>
      </c>
      <c r="AP45" s="88">
        <v>1593.509</v>
      </c>
      <c r="AQ45" s="88"/>
      <c r="AR45" s="88"/>
      <c r="AS45" s="88"/>
      <c r="AT45" s="88">
        <f t="shared" ref="AT45:AT47" si="34">AX45+AY45+AZ45</f>
        <v>0</v>
      </c>
      <c r="AU45" s="88"/>
      <c r="AV45" s="88"/>
      <c r="AW45" s="88">
        <f t="shared" ref="AW45:AW69" si="35">SUM(AX45:AZ45)</f>
        <v>0</v>
      </c>
      <c r="AX45" s="88"/>
      <c r="AY45" s="88"/>
      <c r="AZ45" s="88"/>
      <c r="BA45" s="89">
        <f t="shared" ref="BA45:BA69" si="36">SUM(BB45:BD45)</f>
        <v>0</v>
      </c>
      <c r="BB45" s="89"/>
      <c r="BC45" s="89"/>
      <c r="BD45" s="89">
        <f t="shared" ref="BD45:BD69" si="37">SUM(BE45:BH45)</f>
        <v>0</v>
      </c>
      <c r="BE45" s="89"/>
      <c r="BF45" s="89"/>
      <c r="BG45" s="89"/>
      <c r="BH45" s="89"/>
      <c r="BI45" s="631">
        <f t="shared" ref="BI45:BI69" si="38">SUM(BJ45:BL45)</f>
        <v>0</v>
      </c>
      <c r="BJ45" s="631"/>
      <c r="BK45" s="631"/>
      <c r="BL45" s="631"/>
      <c r="BM45" s="631">
        <f t="shared" ref="BM45:BM69" si="39">SUM(BN45:BP45)</f>
        <v>0</v>
      </c>
      <c r="BN45" s="631"/>
      <c r="BO45" s="631"/>
      <c r="BP45" s="631"/>
      <c r="BQ45" s="631">
        <f t="shared" ref="BQ45:BQ69" si="40">SUM(BR45:BT45)</f>
        <v>0</v>
      </c>
      <c r="BR45" s="631"/>
      <c r="BS45" s="631"/>
      <c r="BT45" s="631"/>
      <c r="BU45" s="631"/>
      <c r="BV45" s="631"/>
      <c r="BW45" s="535" t="s">
        <v>867</v>
      </c>
      <c r="BX45" s="42">
        <v>1593.509</v>
      </c>
      <c r="BY45" s="42"/>
      <c r="BZ45" s="36"/>
      <c r="CA45" s="35"/>
      <c r="CB45" s="35"/>
      <c r="CD45" s="28"/>
      <c r="CE45" s="28"/>
      <c r="CF45" s="28"/>
    </row>
    <row r="46" spans="1:84" ht="50.25" customHeight="1" outlineLevel="1">
      <c r="A46" s="628">
        <v>2</v>
      </c>
      <c r="B46" s="549" t="s">
        <v>357</v>
      </c>
      <c r="C46" s="535" t="s">
        <v>324</v>
      </c>
      <c r="D46" s="541" t="s">
        <v>322</v>
      </c>
      <c r="E46" s="535" t="s">
        <v>49</v>
      </c>
      <c r="F46" s="431" t="s">
        <v>48</v>
      </c>
      <c r="G46" s="628" t="s">
        <v>325</v>
      </c>
      <c r="H46" s="540">
        <v>7897879</v>
      </c>
      <c r="I46" s="535" t="s">
        <v>73</v>
      </c>
      <c r="J46" s="540">
        <v>2021</v>
      </c>
      <c r="K46" s="540" t="s">
        <v>358</v>
      </c>
      <c r="L46" s="535" t="s">
        <v>359</v>
      </c>
      <c r="M46" s="87">
        <v>1506.2180000000001</v>
      </c>
      <c r="N46" s="87"/>
      <c r="O46" s="87"/>
      <c r="P46" s="87">
        <v>1506.2180000000001</v>
      </c>
      <c r="Q46" s="87" t="s">
        <v>360</v>
      </c>
      <c r="R46" s="87" t="s">
        <v>325</v>
      </c>
      <c r="S46" s="88">
        <f t="shared" si="27"/>
        <v>0</v>
      </c>
      <c r="T46" s="88"/>
      <c r="U46" s="88"/>
      <c r="V46" s="88"/>
      <c r="W46" s="88">
        <f t="shared" si="28"/>
        <v>1372.0119999999999</v>
      </c>
      <c r="X46" s="88"/>
      <c r="Y46" s="88"/>
      <c r="Z46" s="88">
        <f t="shared" si="29"/>
        <v>1372.0119999999999</v>
      </c>
      <c r="AA46" s="88">
        <v>1372.0119999999999</v>
      </c>
      <c r="AB46" s="88"/>
      <c r="AC46" s="88"/>
      <c r="AD46" s="88">
        <f t="shared" si="30"/>
        <v>1372.0119999999999</v>
      </c>
      <c r="AE46" s="88"/>
      <c r="AF46" s="88"/>
      <c r="AG46" s="88">
        <f t="shared" si="31"/>
        <v>1372.0119999999999</v>
      </c>
      <c r="AH46" s="88">
        <v>1372.0119999999999</v>
      </c>
      <c r="AI46" s="88"/>
      <c r="AJ46" s="88"/>
      <c r="AK46" s="88"/>
      <c r="AL46" s="88">
        <f t="shared" si="32"/>
        <v>1372.0119999999999</v>
      </c>
      <c r="AM46" s="88"/>
      <c r="AN46" s="88"/>
      <c r="AO46" s="88">
        <f t="shared" si="33"/>
        <v>1372.0119999999999</v>
      </c>
      <c r="AP46" s="88">
        <v>1372.0119999999999</v>
      </c>
      <c r="AQ46" s="88"/>
      <c r="AR46" s="88"/>
      <c r="AS46" s="88"/>
      <c r="AT46" s="88">
        <f t="shared" si="34"/>
        <v>0</v>
      </c>
      <c r="AU46" s="88"/>
      <c r="AV46" s="88"/>
      <c r="AW46" s="88">
        <f t="shared" si="35"/>
        <v>0</v>
      </c>
      <c r="AX46" s="88"/>
      <c r="AY46" s="88"/>
      <c r="AZ46" s="88"/>
      <c r="BA46" s="89">
        <f t="shared" si="36"/>
        <v>0</v>
      </c>
      <c r="BB46" s="89"/>
      <c r="BC46" s="89"/>
      <c r="BD46" s="89">
        <f t="shared" si="37"/>
        <v>0</v>
      </c>
      <c r="BE46" s="89"/>
      <c r="BF46" s="89"/>
      <c r="BG46" s="89"/>
      <c r="BH46" s="89"/>
      <c r="BI46" s="631">
        <f t="shared" si="38"/>
        <v>0</v>
      </c>
      <c r="BJ46" s="631"/>
      <c r="BK46" s="631"/>
      <c r="BL46" s="631"/>
      <c r="BM46" s="631">
        <f t="shared" si="39"/>
        <v>0</v>
      </c>
      <c r="BN46" s="631"/>
      <c r="BO46" s="631"/>
      <c r="BP46" s="631"/>
      <c r="BQ46" s="631">
        <f t="shared" si="40"/>
        <v>0</v>
      </c>
      <c r="BR46" s="631"/>
      <c r="BS46" s="631"/>
      <c r="BT46" s="631"/>
      <c r="BU46" s="631"/>
      <c r="BV46" s="631"/>
      <c r="BW46" s="535" t="s">
        <v>867</v>
      </c>
      <c r="BX46" s="42">
        <v>1372.0119999999999</v>
      </c>
      <c r="BY46" s="42"/>
      <c r="BZ46" s="36"/>
      <c r="CA46" s="35"/>
      <c r="CB46" s="35"/>
      <c r="CD46" s="28"/>
      <c r="CE46" s="28"/>
      <c r="CF46" s="28"/>
    </row>
    <row r="47" spans="1:84" ht="50.25" customHeight="1" outlineLevel="1">
      <c r="A47" s="628">
        <v>3</v>
      </c>
      <c r="B47" s="549" t="s">
        <v>361</v>
      </c>
      <c r="C47" s="535" t="s">
        <v>324</v>
      </c>
      <c r="D47" s="541" t="s">
        <v>322</v>
      </c>
      <c r="E47" s="535" t="s">
        <v>49</v>
      </c>
      <c r="F47" s="431" t="s">
        <v>48</v>
      </c>
      <c r="G47" s="628" t="s">
        <v>325</v>
      </c>
      <c r="H47" s="540">
        <v>7902447</v>
      </c>
      <c r="I47" s="535" t="s">
        <v>73</v>
      </c>
      <c r="J47" s="540">
        <v>2021</v>
      </c>
      <c r="K47" s="540" t="s">
        <v>362</v>
      </c>
      <c r="L47" s="535" t="s">
        <v>363</v>
      </c>
      <c r="M47" s="87">
        <v>4967.05</v>
      </c>
      <c r="N47" s="87"/>
      <c r="O47" s="87"/>
      <c r="P47" s="87">
        <v>4967.05</v>
      </c>
      <c r="Q47" s="87" t="s">
        <v>364</v>
      </c>
      <c r="R47" s="87" t="s">
        <v>325</v>
      </c>
      <c r="S47" s="88">
        <f t="shared" si="27"/>
        <v>0</v>
      </c>
      <c r="T47" s="88"/>
      <c r="U47" s="88"/>
      <c r="V47" s="88"/>
      <c r="W47" s="88">
        <f t="shared" si="28"/>
        <v>4809.4059999999999</v>
      </c>
      <c r="X47" s="88"/>
      <c r="Y47" s="88"/>
      <c r="Z47" s="88">
        <f t="shared" si="29"/>
        <v>4809.4059999999999</v>
      </c>
      <c r="AA47" s="88">
        <v>870</v>
      </c>
      <c r="AB47" s="88">
        <v>3939.4059999999999</v>
      </c>
      <c r="AC47" s="88"/>
      <c r="AD47" s="88">
        <f t="shared" si="30"/>
        <v>4809.4059999999999</v>
      </c>
      <c r="AE47" s="88"/>
      <c r="AF47" s="88"/>
      <c r="AG47" s="88">
        <f t="shared" si="31"/>
        <v>4809.4059999999999</v>
      </c>
      <c r="AH47" s="88">
        <v>870</v>
      </c>
      <c r="AI47" s="88"/>
      <c r="AJ47" s="88">
        <v>3939.4059999999999</v>
      </c>
      <c r="AK47" s="88"/>
      <c r="AL47" s="88">
        <f t="shared" si="32"/>
        <v>4809.4059999999999</v>
      </c>
      <c r="AM47" s="88"/>
      <c r="AN47" s="88"/>
      <c r="AO47" s="88">
        <f t="shared" si="33"/>
        <v>4809.4059999999999</v>
      </c>
      <c r="AP47" s="88">
        <v>870</v>
      </c>
      <c r="AQ47" s="88"/>
      <c r="AR47" s="88">
        <v>3939.4059999999999</v>
      </c>
      <c r="AS47" s="88"/>
      <c r="AT47" s="88">
        <f t="shared" si="34"/>
        <v>0</v>
      </c>
      <c r="AU47" s="88"/>
      <c r="AV47" s="88"/>
      <c r="AW47" s="88">
        <f t="shared" si="35"/>
        <v>0</v>
      </c>
      <c r="AX47" s="88"/>
      <c r="AY47" s="88"/>
      <c r="AZ47" s="88"/>
      <c r="BA47" s="89">
        <f t="shared" si="36"/>
        <v>0</v>
      </c>
      <c r="BB47" s="89"/>
      <c r="BC47" s="89"/>
      <c r="BD47" s="89">
        <f t="shared" si="37"/>
        <v>0</v>
      </c>
      <c r="BE47" s="89"/>
      <c r="BF47" s="89"/>
      <c r="BG47" s="89"/>
      <c r="BH47" s="89"/>
      <c r="BI47" s="631">
        <f t="shared" si="38"/>
        <v>0</v>
      </c>
      <c r="BJ47" s="631"/>
      <c r="BK47" s="631"/>
      <c r="BL47" s="631"/>
      <c r="BM47" s="631">
        <f t="shared" si="39"/>
        <v>0</v>
      </c>
      <c r="BN47" s="631"/>
      <c r="BO47" s="631"/>
      <c r="BP47" s="631"/>
      <c r="BQ47" s="631">
        <f t="shared" si="40"/>
        <v>0</v>
      </c>
      <c r="BR47" s="631"/>
      <c r="BS47" s="631"/>
      <c r="BT47" s="631"/>
      <c r="BU47" s="631"/>
      <c r="BV47" s="631"/>
      <c r="BW47" s="535" t="s">
        <v>867</v>
      </c>
      <c r="BX47" s="42">
        <v>870</v>
      </c>
      <c r="BY47" s="42"/>
      <c r="BZ47" s="36"/>
      <c r="CA47" s="35"/>
      <c r="CB47" s="35"/>
      <c r="CC47" s="31" t="s">
        <v>365</v>
      </c>
      <c r="CD47" s="899" t="s">
        <v>366</v>
      </c>
      <c r="CE47" s="28"/>
      <c r="CF47" s="28"/>
    </row>
    <row r="48" spans="1:84" ht="85.5" outlineLevel="1">
      <c r="A48" s="628">
        <v>4</v>
      </c>
      <c r="B48" s="549" t="s">
        <v>367</v>
      </c>
      <c r="C48" s="535" t="s">
        <v>324</v>
      </c>
      <c r="D48" s="541" t="s">
        <v>322</v>
      </c>
      <c r="E48" s="535" t="s">
        <v>49</v>
      </c>
      <c r="F48" s="431" t="s">
        <v>48</v>
      </c>
      <c r="G48" s="628" t="s">
        <v>325</v>
      </c>
      <c r="H48" s="540">
        <v>7912506</v>
      </c>
      <c r="I48" s="535" t="s">
        <v>76</v>
      </c>
      <c r="J48" s="540">
        <v>2022</v>
      </c>
      <c r="K48" s="540" t="s">
        <v>368</v>
      </c>
      <c r="L48" s="535" t="s">
        <v>369</v>
      </c>
      <c r="M48" s="87">
        <v>5388.1019999999999</v>
      </c>
      <c r="N48" s="87"/>
      <c r="O48" s="87"/>
      <c r="P48" s="87">
        <v>5388.1019999999999</v>
      </c>
      <c r="Q48" s="87" t="s">
        <v>370</v>
      </c>
      <c r="R48" s="87" t="s">
        <v>325</v>
      </c>
      <c r="S48" s="88">
        <f t="shared" si="27"/>
        <v>0</v>
      </c>
      <c r="T48" s="88"/>
      <c r="U48" s="88"/>
      <c r="V48" s="88"/>
      <c r="W48" s="88">
        <f>AA48+AB48+AC48</f>
        <v>5045.1939710000006</v>
      </c>
      <c r="X48" s="88"/>
      <c r="Y48" s="88"/>
      <c r="Z48" s="88">
        <f t="shared" si="29"/>
        <v>5045.1939710000006</v>
      </c>
      <c r="AA48" s="88">
        <v>5045.1939710000006</v>
      </c>
      <c r="AB48" s="88"/>
      <c r="AC48" s="88"/>
      <c r="AD48" s="88">
        <f t="shared" si="30"/>
        <v>5045.1939710000006</v>
      </c>
      <c r="AE48" s="88"/>
      <c r="AF48" s="88"/>
      <c r="AG48" s="88">
        <f t="shared" si="31"/>
        <v>5045.1939710000006</v>
      </c>
      <c r="AH48" s="88">
        <v>5045.1939710000006</v>
      </c>
      <c r="AI48" s="88"/>
      <c r="AJ48" s="88"/>
      <c r="AK48" s="88"/>
      <c r="AL48" s="88">
        <f t="shared" si="32"/>
        <v>5045.1939709999997</v>
      </c>
      <c r="AM48" s="88"/>
      <c r="AN48" s="88"/>
      <c r="AO48" s="88">
        <f t="shared" si="33"/>
        <v>5045.1939709999997</v>
      </c>
      <c r="AP48" s="88">
        <v>5045.1939709999997</v>
      </c>
      <c r="AQ48" s="88"/>
      <c r="AR48" s="88"/>
      <c r="AS48" s="88"/>
      <c r="AT48" s="88">
        <f>AX48+AY48+AZ48</f>
        <v>0</v>
      </c>
      <c r="AU48" s="88"/>
      <c r="AV48" s="88"/>
      <c r="AW48" s="88">
        <f t="shared" si="35"/>
        <v>0</v>
      </c>
      <c r="AX48" s="88"/>
      <c r="AY48" s="88"/>
      <c r="AZ48" s="88"/>
      <c r="BA48" s="89">
        <f t="shared" si="36"/>
        <v>0</v>
      </c>
      <c r="BB48" s="89"/>
      <c r="BC48" s="89"/>
      <c r="BD48" s="89">
        <f t="shared" si="37"/>
        <v>0</v>
      </c>
      <c r="BE48" s="89"/>
      <c r="BF48" s="89"/>
      <c r="BG48" s="89"/>
      <c r="BH48" s="89"/>
      <c r="BI48" s="631">
        <f t="shared" si="38"/>
        <v>0</v>
      </c>
      <c r="BJ48" s="631"/>
      <c r="BK48" s="631"/>
      <c r="BL48" s="631"/>
      <c r="BM48" s="631">
        <f t="shared" si="39"/>
        <v>0</v>
      </c>
      <c r="BN48" s="631"/>
      <c r="BO48" s="631"/>
      <c r="BP48" s="631"/>
      <c r="BQ48" s="631">
        <f t="shared" si="40"/>
        <v>0</v>
      </c>
      <c r="BR48" s="631"/>
      <c r="BS48" s="631"/>
      <c r="BT48" s="631"/>
      <c r="BU48" s="631"/>
      <c r="BV48" s="631"/>
      <c r="BW48" s="535" t="s">
        <v>867</v>
      </c>
      <c r="BX48" s="42">
        <v>5045.1939710000006</v>
      </c>
      <c r="BY48" s="42"/>
      <c r="BZ48" s="36"/>
      <c r="CA48" s="35"/>
      <c r="CB48" s="35"/>
      <c r="CC48" s="31" t="s">
        <v>371</v>
      </c>
      <c r="CD48" s="899"/>
    </row>
    <row r="49" spans="1:84" ht="85.5" outlineLevel="1">
      <c r="A49" s="628">
        <v>5</v>
      </c>
      <c r="B49" s="549" t="s">
        <v>372</v>
      </c>
      <c r="C49" s="535" t="s">
        <v>324</v>
      </c>
      <c r="D49" s="541" t="s">
        <v>322</v>
      </c>
      <c r="E49" s="535" t="s">
        <v>49</v>
      </c>
      <c r="F49" s="431" t="s">
        <v>48</v>
      </c>
      <c r="G49" s="628" t="s">
        <v>325</v>
      </c>
      <c r="H49" s="540">
        <v>7909588</v>
      </c>
      <c r="I49" s="535" t="s">
        <v>76</v>
      </c>
      <c r="J49" s="540">
        <v>2022</v>
      </c>
      <c r="K49" s="540" t="s">
        <v>373</v>
      </c>
      <c r="L49" s="535" t="s">
        <v>374</v>
      </c>
      <c r="M49" s="87">
        <v>3808</v>
      </c>
      <c r="N49" s="87"/>
      <c r="O49" s="87"/>
      <c r="P49" s="87">
        <v>3808</v>
      </c>
      <c r="Q49" s="87" t="s">
        <v>375</v>
      </c>
      <c r="R49" s="87" t="s">
        <v>325</v>
      </c>
      <c r="S49" s="88">
        <f t="shared" si="27"/>
        <v>0</v>
      </c>
      <c r="T49" s="88"/>
      <c r="U49" s="88"/>
      <c r="V49" s="88"/>
      <c r="W49" s="88">
        <f>AA49+AB49+AC49</f>
        <v>3617.0642269999998</v>
      </c>
      <c r="X49" s="88"/>
      <c r="Y49" s="88"/>
      <c r="Z49" s="88">
        <f t="shared" si="29"/>
        <v>3617.0642269999998</v>
      </c>
      <c r="AA49" s="88">
        <v>3617.0642269999998</v>
      </c>
      <c r="AB49" s="88"/>
      <c r="AC49" s="88"/>
      <c r="AD49" s="88">
        <f t="shared" si="30"/>
        <v>3617.0642269999998</v>
      </c>
      <c r="AE49" s="88"/>
      <c r="AF49" s="88"/>
      <c r="AG49" s="88">
        <f t="shared" si="31"/>
        <v>3617.0642269999998</v>
      </c>
      <c r="AH49" s="88">
        <v>3617.0642269999998</v>
      </c>
      <c r="AI49" s="88"/>
      <c r="AJ49" s="88"/>
      <c r="AK49" s="88"/>
      <c r="AL49" s="88">
        <f t="shared" si="32"/>
        <v>3617.0642269999998</v>
      </c>
      <c r="AM49" s="88"/>
      <c r="AN49" s="88"/>
      <c r="AO49" s="88">
        <f t="shared" si="33"/>
        <v>3617.0642269999998</v>
      </c>
      <c r="AP49" s="88">
        <v>3617.0642269999998</v>
      </c>
      <c r="AQ49" s="88"/>
      <c r="AR49" s="88"/>
      <c r="AS49" s="88"/>
      <c r="AT49" s="88">
        <f>AX49+AY49+AZ49</f>
        <v>0</v>
      </c>
      <c r="AU49" s="88"/>
      <c r="AV49" s="88"/>
      <c r="AW49" s="88">
        <f t="shared" si="35"/>
        <v>0</v>
      </c>
      <c r="AX49" s="88"/>
      <c r="AY49" s="88"/>
      <c r="AZ49" s="88"/>
      <c r="BA49" s="89">
        <f t="shared" si="36"/>
        <v>0</v>
      </c>
      <c r="BB49" s="89"/>
      <c r="BC49" s="89"/>
      <c r="BD49" s="89">
        <f t="shared" si="37"/>
        <v>0</v>
      </c>
      <c r="BE49" s="89"/>
      <c r="BF49" s="89"/>
      <c r="BG49" s="89"/>
      <c r="BH49" s="89"/>
      <c r="BI49" s="631">
        <f t="shared" si="38"/>
        <v>0</v>
      </c>
      <c r="BJ49" s="631"/>
      <c r="BK49" s="631"/>
      <c r="BL49" s="631"/>
      <c r="BM49" s="631">
        <f t="shared" si="39"/>
        <v>0</v>
      </c>
      <c r="BN49" s="631"/>
      <c r="BO49" s="631"/>
      <c r="BP49" s="631"/>
      <c r="BQ49" s="631">
        <f t="shared" si="40"/>
        <v>0</v>
      </c>
      <c r="BR49" s="631"/>
      <c r="BS49" s="631"/>
      <c r="BT49" s="631"/>
      <c r="BU49" s="631"/>
      <c r="BV49" s="631"/>
      <c r="BW49" s="535" t="s">
        <v>867</v>
      </c>
      <c r="BX49" s="42">
        <v>3617.0642269999998</v>
      </c>
      <c r="BY49" s="42"/>
      <c r="BZ49" s="36"/>
      <c r="CA49" s="35"/>
      <c r="CB49" s="35"/>
      <c r="CC49" s="31" t="s">
        <v>376</v>
      </c>
      <c r="CD49" s="899"/>
    </row>
    <row r="50" spans="1:84" ht="61.5" outlineLevel="1">
      <c r="A50" s="628">
        <v>6</v>
      </c>
      <c r="B50" s="549" t="s">
        <v>377</v>
      </c>
      <c r="C50" s="535" t="s">
        <v>324</v>
      </c>
      <c r="D50" s="541" t="s">
        <v>322</v>
      </c>
      <c r="E50" s="535" t="s">
        <v>49</v>
      </c>
      <c r="F50" s="431" t="s">
        <v>48</v>
      </c>
      <c r="G50" s="628" t="s">
        <v>325</v>
      </c>
      <c r="H50" s="540">
        <v>7913666</v>
      </c>
      <c r="I50" s="535" t="s">
        <v>52</v>
      </c>
      <c r="J50" s="540">
        <v>2022</v>
      </c>
      <c r="K50" s="535" t="s">
        <v>378</v>
      </c>
      <c r="L50" s="535" t="s">
        <v>379</v>
      </c>
      <c r="M50" s="87">
        <v>7947.1080000000002</v>
      </c>
      <c r="N50" s="87"/>
      <c r="O50" s="87"/>
      <c r="P50" s="87">
        <v>7947.1080000000002</v>
      </c>
      <c r="Q50" s="87" t="s">
        <v>380</v>
      </c>
      <c r="R50" s="87" t="s">
        <v>325</v>
      </c>
      <c r="S50" s="88">
        <f t="shared" si="27"/>
        <v>0</v>
      </c>
      <c r="T50" s="88"/>
      <c r="U50" s="88"/>
      <c r="V50" s="88"/>
      <c r="W50" s="88">
        <f>AA50+AB50+AC50</f>
        <v>7791.2829999999994</v>
      </c>
      <c r="X50" s="88"/>
      <c r="Y50" s="88"/>
      <c r="Z50" s="88">
        <f t="shared" si="29"/>
        <v>7791.2829999999994</v>
      </c>
      <c r="AA50" s="88">
        <v>1463.8441109999999</v>
      </c>
      <c r="AB50" s="88">
        <v>3701.2830000000004</v>
      </c>
      <c r="AC50" s="88">
        <v>2626.1558890000001</v>
      </c>
      <c r="AD50" s="88">
        <f t="shared" si="30"/>
        <v>7791.2829999999994</v>
      </c>
      <c r="AE50" s="88"/>
      <c r="AF50" s="88"/>
      <c r="AG50" s="88">
        <f t="shared" si="31"/>
        <v>7791.2829999999994</v>
      </c>
      <c r="AH50" s="88">
        <v>604.04010399999993</v>
      </c>
      <c r="AI50" s="88">
        <v>859.80400699999996</v>
      </c>
      <c r="AJ50" s="88">
        <v>3701.2830000000004</v>
      </c>
      <c r="AK50" s="88">
        <v>2626.1558890000001</v>
      </c>
      <c r="AL50" s="88">
        <f t="shared" si="32"/>
        <v>7438.3608700000004</v>
      </c>
      <c r="AM50" s="88"/>
      <c r="AN50" s="88"/>
      <c r="AO50" s="88">
        <f t="shared" si="33"/>
        <v>7438.3608700000004</v>
      </c>
      <c r="AP50" s="88">
        <v>599.37843899999996</v>
      </c>
      <c r="AQ50" s="88">
        <v>804.55762200000004</v>
      </c>
      <c r="AR50" s="88">
        <v>3408.26892</v>
      </c>
      <c r="AS50" s="88">
        <v>2626.1558890000001</v>
      </c>
      <c r="AT50" s="88">
        <f>AX50+AY50+AZ50</f>
        <v>0</v>
      </c>
      <c r="AU50" s="88"/>
      <c r="AV50" s="88"/>
      <c r="AW50" s="88">
        <f t="shared" si="35"/>
        <v>0</v>
      </c>
      <c r="AX50" s="88"/>
      <c r="AY50" s="88"/>
      <c r="AZ50" s="88"/>
      <c r="BA50" s="89">
        <f t="shared" si="36"/>
        <v>0</v>
      </c>
      <c r="BB50" s="89"/>
      <c r="BC50" s="89"/>
      <c r="BD50" s="89">
        <f t="shared" si="37"/>
        <v>0</v>
      </c>
      <c r="BE50" s="89"/>
      <c r="BF50" s="89"/>
      <c r="BG50" s="89"/>
      <c r="BH50" s="89"/>
      <c r="BI50" s="631">
        <f t="shared" si="38"/>
        <v>0</v>
      </c>
      <c r="BJ50" s="631"/>
      <c r="BK50" s="631"/>
      <c r="BL50" s="631"/>
      <c r="BM50" s="631">
        <f t="shared" si="39"/>
        <v>0</v>
      </c>
      <c r="BN50" s="631"/>
      <c r="BO50" s="631"/>
      <c r="BP50" s="631"/>
      <c r="BQ50" s="631">
        <f t="shared" si="40"/>
        <v>0</v>
      </c>
      <c r="BR50" s="631"/>
      <c r="BS50" s="631"/>
      <c r="BT50" s="631"/>
      <c r="BU50" s="631"/>
      <c r="BV50" s="631"/>
      <c r="BW50" s="535" t="s">
        <v>867</v>
      </c>
      <c r="BX50" s="42">
        <v>604.04010399999993</v>
      </c>
      <c r="BY50" s="42">
        <v>859.80400699999996</v>
      </c>
      <c r="BZ50" s="36"/>
      <c r="CA50" s="35"/>
      <c r="CB50" s="35"/>
      <c r="CD50" s="28"/>
      <c r="CE50" s="28"/>
      <c r="CF50" s="28"/>
    </row>
    <row r="51" spans="1:84" ht="64.5" customHeight="1" outlineLevel="1">
      <c r="A51" s="628">
        <v>7</v>
      </c>
      <c r="B51" s="549" t="s">
        <v>381</v>
      </c>
      <c r="C51" s="535" t="s">
        <v>324</v>
      </c>
      <c r="D51" s="541" t="s">
        <v>322</v>
      </c>
      <c r="E51" s="535" t="s">
        <v>49</v>
      </c>
      <c r="F51" s="431" t="s">
        <v>48</v>
      </c>
      <c r="G51" s="628" t="s">
        <v>325</v>
      </c>
      <c r="H51" s="540">
        <v>7910488</v>
      </c>
      <c r="I51" s="535" t="s">
        <v>76</v>
      </c>
      <c r="J51" s="540">
        <v>2022</v>
      </c>
      <c r="K51" s="540" t="s">
        <v>382</v>
      </c>
      <c r="L51" s="535" t="s">
        <v>383</v>
      </c>
      <c r="M51" s="87">
        <v>4842</v>
      </c>
      <c r="N51" s="87"/>
      <c r="O51" s="87"/>
      <c r="P51" s="87">
        <v>4842</v>
      </c>
      <c r="Q51" s="87" t="s">
        <v>384</v>
      </c>
      <c r="R51" s="87" t="s">
        <v>325</v>
      </c>
      <c r="S51" s="88">
        <f t="shared" si="27"/>
        <v>0</v>
      </c>
      <c r="T51" s="88"/>
      <c r="U51" s="88"/>
      <c r="V51" s="88"/>
      <c r="W51" s="88">
        <f>AA51+AB51+AC51</f>
        <v>4715.073081999999</v>
      </c>
      <c r="X51" s="88"/>
      <c r="Y51" s="88"/>
      <c r="Z51" s="88">
        <f t="shared" si="29"/>
        <v>4715.073081999999</v>
      </c>
      <c r="AA51" s="88">
        <v>2554.1806979999997</v>
      </c>
      <c r="AB51" s="88">
        <v>712.23071400000003</v>
      </c>
      <c r="AC51" s="88">
        <v>1448.66167</v>
      </c>
      <c r="AD51" s="88">
        <f t="shared" si="30"/>
        <v>4715.073081999999</v>
      </c>
      <c r="AE51" s="88"/>
      <c r="AF51" s="88"/>
      <c r="AG51" s="88">
        <f t="shared" si="31"/>
        <v>4715.073081999999</v>
      </c>
      <c r="AH51" s="88">
        <v>2554.1806979999997</v>
      </c>
      <c r="AI51" s="88"/>
      <c r="AJ51" s="88">
        <v>712.23071400000003</v>
      </c>
      <c r="AK51" s="88">
        <v>1448.66167</v>
      </c>
      <c r="AL51" s="88">
        <f t="shared" si="32"/>
        <v>4715.0730820000008</v>
      </c>
      <c r="AM51" s="88"/>
      <c r="AN51" s="88"/>
      <c r="AO51" s="88">
        <f t="shared" si="33"/>
        <v>4715.0730820000008</v>
      </c>
      <c r="AP51" s="88">
        <v>2554.1806980000001</v>
      </c>
      <c r="AQ51" s="88"/>
      <c r="AR51" s="88">
        <v>712.23071400000003</v>
      </c>
      <c r="AS51" s="88">
        <f>1233.442736+215.218934</f>
        <v>1448.66167</v>
      </c>
      <c r="AT51" s="88">
        <f>AX51+AY51+AZ51</f>
        <v>0</v>
      </c>
      <c r="AU51" s="88"/>
      <c r="AV51" s="88"/>
      <c r="AW51" s="88">
        <f t="shared" si="35"/>
        <v>0</v>
      </c>
      <c r="AX51" s="88"/>
      <c r="AY51" s="88"/>
      <c r="AZ51" s="88"/>
      <c r="BA51" s="89">
        <f t="shared" si="36"/>
        <v>0</v>
      </c>
      <c r="BB51" s="89"/>
      <c r="BC51" s="89"/>
      <c r="BD51" s="89">
        <f t="shared" si="37"/>
        <v>0</v>
      </c>
      <c r="BE51" s="89"/>
      <c r="BF51" s="89"/>
      <c r="BG51" s="89"/>
      <c r="BH51" s="89"/>
      <c r="BI51" s="631">
        <f t="shared" si="38"/>
        <v>0</v>
      </c>
      <c r="BJ51" s="631"/>
      <c r="BK51" s="631"/>
      <c r="BL51" s="631"/>
      <c r="BM51" s="631">
        <f t="shared" si="39"/>
        <v>0</v>
      </c>
      <c r="BN51" s="631"/>
      <c r="BO51" s="631"/>
      <c r="BP51" s="631"/>
      <c r="BQ51" s="631">
        <f t="shared" si="40"/>
        <v>0</v>
      </c>
      <c r="BR51" s="631"/>
      <c r="BS51" s="631"/>
      <c r="BT51" s="631"/>
      <c r="BU51" s="631"/>
      <c r="BV51" s="631"/>
      <c r="BW51" s="535" t="s">
        <v>867</v>
      </c>
      <c r="BX51" s="42">
        <v>2554.1806979999997</v>
      </c>
      <c r="BY51" s="42"/>
      <c r="BZ51" s="36"/>
      <c r="CA51" s="35"/>
      <c r="CB51" s="35"/>
      <c r="CC51" s="31" t="s">
        <v>385</v>
      </c>
      <c r="CD51" s="28"/>
      <c r="CE51" s="28"/>
      <c r="CF51" s="28"/>
    </row>
    <row r="52" spans="1:84" ht="61.5" outlineLevel="1">
      <c r="A52" s="628">
        <v>8</v>
      </c>
      <c r="B52" s="549" t="s">
        <v>386</v>
      </c>
      <c r="C52" s="535" t="s">
        <v>324</v>
      </c>
      <c r="D52" s="541" t="s">
        <v>322</v>
      </c>
      <c r="E52" s="535" t="s">
        <v>49</v>
      </c>
      <c r="F52" s="431" t="s">
        <v>105</v>
      </c>
      <c r="G52" s="628" t="s">
        <v>325</v>
      </c>
      <c r="H52" s="540">
        <v>7897881</v>
      </c>
      <c r="I52" s="535" t="s">
        <v>76</v>
      </c>
      <c r="J52" s="540">
        <v>2022</v>
      </c>
      <c r="K52" s="535" t="s">
        <v>387</v>
      </c>
      <c r="L52" s="535" t="s">
        <v>388</v>
      </c>
      <c r="M52" s="87">
        <v>1215.3340000000001</v>
      </c>
      <c r="N52" s="87"/>
      <c r="O52" s="87"/>
      <c r="P52" s="87">
        <v>1215.3340000000001</v>
      </c>
      <c r="Q52" s="87" t="s">
        <v>389</v>
      </c>
      <c r="R52" s="87" t="s">
        <v>325</v>
      </c>
      <c r="S52" s="88">
        <f t="shared" si="27"/>
        <v>0</v>
      </c>
      <c r="T52" s="88"/>
      <c r="U52" s="88"/>
      <c r="V52" s="88"/>
      <c r="W52" s="88">
        <f t="shared" ref="W52:W68" si="41">AA52+AB52+AC52</f>
        <v>1157.461</v>
      </c>
      <c r="X52" s="88"/>
      <c r="Y52" s="88"/>
      <c r="Z52" s="88">
        <f t="shared" si="29"/>
        <v>1157.461</v>
      </c>
      <c r="AA52" s="88">
        <v>88</v>
      </c>
      <c r="AB52" s="88">
        <v>1069.461</v>
      </c>
      <c r="AC52" s="88"/>
      <c r="AD52" s="88">
        <f t="shared" si="30"/>
        <v>1157.461</v>
      </c>
      <c r="AE52" s="88"/>
      <c r="AF52" s="88"/>
      <c r="AG52" s="88">
        <f t="shared" si="31"/>
        <v>1157.461</v>
      </c>
      <c r="AH52" s="88">
        <v>88</v>
      </c>
      <c r="AI52" s="88"/>
      <c r="AJ52" s="88">
        <v>1069.461</v>
      </c>
      <c r="AK52" s="88"/>
      <c r="AL52" s="88">
        <f t="shared" si="32"/>
        <v>1075.3890000000001</v>
      </c>
      <c r="AM52" s="88"/>
      <c r="AN52" s="88"/>
      <c r="AO52" s="88">
        <f t="shared" si="33"/>
        <v>1075.3890000000001</v>
      </c>
      <c r="AP52" s="88">
        <v>87.905000000000001</v>
      </c>
      <c r="AQ52" s="88"/>
      <c r="AR52" s="88">
        <v>987.48400000000004</v>
      </c>
      <c r="AS52" s="88"/>
      <c r="AT52" s="88">
        <f t="shared" ref="AT52:AT68" si="42">AX52+AY52+AZ52</f>
        <v>0</v>
      </c>
      <c r="AU52" s="88"/>
      <c r="AV52" s="88"/>
      <c r="AW52" s="88">
        <f t="shared" si="35"/>
        <v>0</v>
      </c>
      <c r="AX52" s="88"/>
      <c r="AY52" s="88"/>
      <c r="AZ52" s="88"/>
      <c r="BA52" s="89">
        <f t="shared" si="36"/>
        <v>0</v>
      </c>
      <c r="BB52" s="89"/>
      <c r="BC52" s="89"/>
      <c r="BD52" s="89">
        <f t="shared" si="37"/>
        <v>0</v>
      </c>
      <c r="BE52" s="89"/>
      <c r="BF52" s="89"/>
      <c r="BG52" s="89"/>
      <c r="BH52" s="89"/>
      <c r="BI52" s="631">
        <f t="shared" si="38"/>
        <v>0</v>
      </c>
      <c r="BJ52" s="631"/>
      <c r="BK52" s="631"/>
      <c r="BL52" s="631"/>
      <c r="BM52" s="631">
        <f t="shared" si="39"/>
        <v>0</v>
      </c>
      <c r="BN52" s="631"/>
      <c r="BO52" s="631"/>
      <c r="BP52" s="631"/>
      <c r="BQ52" s="631">
        <f t="shared" si="40"/>
        <v>0</v>
      </c>
      <c r="BR52" s="631"/>
      <c r="BS52" s="631"/>
      <c r="BT52" s="631"/>
      <c r="BU52" s="631"/>
      <c r="BV52" s="631"/>
      <c r="BW52" s="535" t="s">
        <v>867</v>
      </c>
      <c r="BX52" s="42">
        <v>88</v>
      </c>
      <c r="BY52" s="42"/>
      <c r="BZ52" s="36"/>
      <c r="CA52" s="35"/>
      <c r="CB52" s="35"/>
      <c r="CD52" s="28"/>
      <c r="CE52" s="28"/>
      <c r="CF52" s="28"/>
    </row>
    <row r="53" spans="1:84" ht="50.25" customHeight="1" outlineLevel="1">
      <c r="A53" s="628">
        <v>9</v>
      </c>
      <c r="B53" s="549" t="s">
        <v>390</v>
      </c>
      <c r="C53" s="535" t="s">
        <v>324</v>
      </c>
      <c r="D53" s="541" t="s">
        <v>322</v>
      </c>
      <c r="E53" s="535" t="s">
        <v>49</v>
      </c>
      <c r="F53" s="431" t="s">
        <v>105</v>
      </c>
      <c r="G53" s="628" t="s">
        <v>325</v>
      </c>
      <c r="H53" s="540">
        <v>7897882</v>
      </c>
      <c r="I53" s="535" t="s">
        <v>76</v>
      </c>
      <c r="J53" s="540">
        <v>2022</v>
      </c>
      <c r="K53" s="540" t="s">
        <v>391</v>
      </c>
      <c r="L53" s="535" t="s">
        <v>392</v>
      </c>
      <c r="M53" s="87">
        <v>4154.7037659999996</v>
      </c>
      <c r="N53" s="87"/>
      <c r="O53" s="87"/>
      <c r="P53" s="87">
        <v>4154.7037659999996</v>
      </c>
      <c r="Q53" s="87" t="s">
        <v>393</v>
      </c>
      <c r="R53" s="87" t="s">
        <v>325</v>
      </c>
      <c r="S53" s="88">
        <f t="shared" si="27"/>
        <v>0</v>
      </c>
      <c r="T53" s="88"/>
      <c r="U53" s="88"/>
      <c r="V53" s="88"/>
      <c r="W53" s="88">
        <f t="shared" si="41"/>
        <v>3899.8890000000001</v>
      </c>
      <c r="X53" s="88"/>
      <c r="Y53" s="88"/>
      <c r="Z53" s="88">
        <f t="shared" si="29"/>
        <v>3899.8890000000001</v>
      </c>
      <c r="AA53" s="88">
        <v>1200</v>
      </c>
      <c r="AB53" s="88">
        <v>2699.8890000000001</v>
      </c>
      <c r="AC53" s="88"/>
      <c r="AD53" s="88">
        <f t="shared" si="30"/>
        <v>3899.8890000000001</v>
      </c>
      <c r="AE53" s="88"/>
      <c r="AF53" s="88"/>
      <c r="AG53" s="88">
        <f t="shared" si="31"/>
        <v>3899.8890000000001</v>
      </c>
      <c r="AH53" s="88">
        <v>1200</v>
      </c>
      <c r="AI53" s="88"/>
      <c r="AJ53" s="88">
        <v>2699.8890000000001</v>
      </c>
      <c r="AK53" s="88"/>
      <c r="AL53" s="88">
        <f t="shared" si="32"/>
        <v>3790.348054</v>
      </c>
      <c r="AM53" s="88"/>
      <c r="AN53" s="88"/>
      <c r="AO53" s="88">
        <f t="shared" si="33"/>
        <v>3790.348054</v>
      </c>
      <c r="AP53" s="88">
        <v>1200</v>
      </c>
      <c r="AQ53" s="88"/>
      <c r="AR53" s="88">
        <v>2590.348054</v>
      </c>
      <c r="AS53" s="88"/>
      <c r="AT53" s="88">
        <f t="shared" si="42"/>
        <v>0</v>
      </c>
      <c r="AU53" s="88"/>
      <c r="AV53" s="88"/>
      <c r="AW53" s="88">
        <f t="shared" si="35"/>
        <v>0</v>
      </c>
      <c r="AX53" s="88"/>
      <c r="AY53" s="88"/>
      <c r="AZ53" s="88"/>
      <c r="BA53" s="89">
        <f t="shared" si="36"/>
        <v>0</v>
      </c>
      <c r="BB53" s="89"/>
      <c r="BC53" s="89"/>
      <c r="BD53" s="89">
        <f t="shared" si="37"/>
        <v>0</v>
      </c>
      <c r="BE53" s="89"/>
      <c r="BF53" s="89"/>
      <c r="BG53" s="89"/>
      <c r="BH53" s="89"/>
      <c r="BI53" s="631">
        <f t="shared" si="38"/>
        <v>0</v>
      </c>
      <c r="BJ53" s="631"/>
      <c r="BK53" s="631"/>
      <c r="BL53" s="631"/>
      <c r="BM53" s="631">
        <f t="shared" si="39"/>
        <v>0</v>
      </c>
      <c r="BN53" s="631"/>
      <c r="BO53" s="631"/>
      <c r="BP53" s="631"/>
      <c r="BQ53" s="631">
        <f t="shared" si="40"/>
        <v>0</v>
      </c>
      <c r="BR53" s="631"/>
      <c r="BS53" s="631"/>
      <c r="BT53" s="631"/>
      <c r="BU53" s="631"/>
      <c r="BV53" s="631"/>
      <c r="BW53" s="535" t="s">
        <v>867</v>
      </c>
      <c r="BX53" s="42">
        <v>1200</v>
      </c>
      <c r="BY53" s="42"/>
      <c r="BZ53" s="36"/>
      <c r="CA53" s="35"/>
      <c r="CB53" s="35"/>
      <c r="CD53" s="28"/>
      <c r="CE53" s="28"/>
      <c r="CF53" s="28"/>
    </row>
    <row r="54" spans="1:84" ht="50.25" customHeight="1" outlineLevel="1">
      <c r="A54" s="628">
        <v>10</v>
      </c>
      <c r="B54" s="549" t="s">
        <v>394</v>
      </c>
      <c r="C54" s="535" t="s">
        <v>324</v>
      </c>
      <c r="D54" s="541" t="s">
        <v>322</v>
      </c>
      <c r="E54" s="535" t="s">
        <v>49</v>
      </c>
      <c r="F54" s="431" t="s">
        <v>105</v>
      </c>
      <c r="G54" s="628" t="s">
        <v>325</v>
      </c>
      <c r="H54" s="540">
        <v>7897880</v>
      </c>
      <c r="I54" s="535" t="s">
        <v>76</v>
      </c>
      <c r="J54" s="540">
        <v>2022</v>
      </c>
      <c r="K54" s="540" t="s">
        <v>395</v>
      </c>
      <c r="L54" s="535" t="s">
        <v>396</v>
      </c>
      <c r="M54" s="87">
        <v>750</v>
      </c>
      <c r="N54" s="87"/>
      <c r="O54" s="87"/>
      <c r="P54" s="87">
        <v>750</v>
      </c>
      <c r="Q54" s="87" t="s">
        <v>397</v>
      </c>
      <c r="R54" s="87" t="s">
        <v>325</v>
      </c>
      <c r="S54" s="88">
        <f t="shared" si="27"/>
        <v>0</v>
      </c>
      <c r="T54" s="88"/>
      <c r="U54" s="88"/>
      <c r="V54" s="88"/>
      <c r="W54" s="88">
        <f t="shared" si="41"/>
        <v>749.56799999999998</v>
      </c>
      <c r="X54" s="88"/>
      <c r="Y54" s="88"/>
      <c r="Z54" s="88">
        <f t="shared" si="29"/>
        <v>749.56799999999998</v>
      </c>
      <c r="AA54" s="88">
        <v>50</v>
      </c>
      <c r="AB54" s="88">
        <v>699.56799999999998</v>
      </c>
      <c r="AC54" s="88"/>
      <c r="AD54" s="88">
        <f t="shared" si="30"/>
        <v>749.56799999999998</v>
      </c>
      <c r="AE54" s="88"/>
      <c r="AF54" s="88"/>
      <c r="AG54" s="88">
        <f t="shared" si="31"/>
        <v>749.56799999999998</v>
      </c>
      <c r="AH54" s="88">
        <v>50</v>
      </c>
      <c r="AI54" s="88"/>
      <c r="AJ54" s="88">
        <v>699.56799999999998</v>
      </c>
      <c r="AK54" s="88"/>
      <c r="AL54" s="88">
        <f t="shared" si="32"/>
        <v>733.80391999999995</v>
      </c>
      <c r="AM54" s="88"/>
      <c r="AN54" s="88"/>
      <c r="AO54" s="88">
        <f t="shared" si="33"/>
        <v>733.80391999999995</v>
      </c>
      <c r="AP54" s="88">
        <v>50</v>
      </c>
      <c r="AQ54" s="88"/>
      <c r="AR54" s="88">
        <v>683.80391999999995</v>
      </c>
      <c r="AS54" s="88"/>
      <c r="AT54" s="88">
        <f t="shared" si="42"/>
        <v>0</v>
      </c>
      <c r="AU54" s="88"/>
      <c r="AV54" s="88"/>
      <c r="AW54" s="88">
        <f t="shared" si="35"/>
        <v>0</v>
      </c>
      <c r="AX54" s="88"/>
      <c r="AY54" s="88"/>
      <c r="AZ54" s="88"/>
      <c r="BA54" s="89">
        <f t="shared" si="36"/>
        <v>0</v>
      </c>
      <c r="BB54" s="89"/>
      <c r="BC54" s="89"/>
      <c r="BD54" s="89">
        <f t="shared" si="37"/>
        <v>0</v>
      </c>
      <c r="BE54" s="89"/>
      <c r="BF54" s="89"/>
      <c r="BG54" s="89"/>
      <c r="BH54" s="89"/>
      <c r="BI54" s="631">
        <f t="shared" si="38"/>
        <v>0</v>
      </c>
      <c r="BJ54" s="631"/>
      <c r="BK54" s="631"/>
      <c r="BL54" s="631"/>
      <c r="BM54" s="631">
        <f t="shared" si="39"/>
        <v>0</v>
      </c>
      <c r="BN54" s="631"/>
      <c r="BO54" s="631"/>
      <c r="BP54" s="631"/>
      <c r="BQ54" s="631">
        <f t="shared" si="40"/>
        <v>0</v>
      </c>
      <c r="BR54" s="631"/>
      <c r="BS54" s="631"/>
      <c r="BT54" s="631"/>
      <c r="BU54" s="631"/>
      <c r="BV54" s="631"/>
      <c r="BW54" s="535" t="s">
        <v>867</v>
      </c>
      <c r="BX54" s="42">
        <v>50</v>
      </c>
      <c r="BY54" s="42"/>
      <c r="BZ54" s="36"/>
      <c r="CA54" s="35"/>
      <c r="CB54" s="35"/>
      <c r="CD54" s="28"/>
      <c r="CE54" s="28"/>
      <c r="CF54" s="28"/>
    </row>
    <row r="55" spans="1:84" ht="61.5" outlineLevel="1">
      <c r="A55" s="628">
        <v>11</v>
      </c>
      <c r="B55" s="549" t="s">
        <v>398</v>
      </c>
      <c r="C55" s="535" t="s">
        <v>324</v>
      </c>
      <c r="D55" s="541" t="s">
        <v>322</v>
      </c>
      <c r="E55" s="535" t="s">
        <v>49</v>
      </c>
      <c r="F55" s="431" t="s">
        <v>105</v>
      </c>
      <c r="G55" s="628" t="s">
        <v>325</v>
      </c>
      <c r="H55" s="540">
        <v>7913665</v>
      </c>
      <c r="I55" s="535" t="s">
        <v>71</v>
      </c>
      <c r="J55" s="540">
        <v>2021</v>
      </c>
      <c r="K55" s="540" t="s">
        <v>399</v>
      </c>
      <c r="L55" s="535" t="s">
        <v>400</v>
      </c>
      <c r="M55" s="87">
        <v>4340</v>
      </c>
      <c r="N55" s="87"/>
      <c r="O55" s="87"/>
      <c r="P55" s="87">
        <v>4340</v>
      </c>
      <c r="Q55" s="87" t="s">
        <v>401</v>
      </c>
      <c r="R55" s="87" t="s">
        <v>325</v>
      </c>
      <c r="S55" s="88">
        <f t="shared" si="27"/>
        <v>0</v>
      </c>
      <c r="T55" s="88"/>
      <c r="U55" s="88"/>
      <c r="V55" s="88"/>
      <c r="W55" s="88">
        <f t="shared" si="41"/>
        <v>4335</v>
      </c>
      <c r="X55" s="88"/>
      <c r="Y55" s="88"/>
      <c r="Z55" s="88">
        <f t="shared" si="29"/>
        <v>4335</v>
      </c>
      <c r="AA55" s="88">
        <v>1740</v>
      </c>
      <c r="AB55" s="88">
        <v>2595</v>
      </c>
      <c r="AC55" s="88"/>
      <c r="AD55" s="88">
        <f t="shared" si="30"/>
        <v>4335</v>
      </c>
      <c r="AE55" s="88"/>
      <c r="AF55" s="88"/>
      <c r="AG55" s="88">
        <f t="shared" si="31"/>
        <v>4335</v>
      </c>
      <c r="AH55" s="88"/>
      <c r="AI55" s="88">
        <v>1740</v>
      </c>
      <c r="AJ55" s="88">
        <v>2595</v>
      </c>
      <c r="AK55" s="88"/>
      <c r="AL55" s="88">
        <f t="shared" si="32"/>
        <v>4230.2530000000006</v>
      </c>
      <c r="AM55" s="88"/>
      <c r="AN55" s="88"/>
      <c r="AO55" s="88">
        <f t="shared" si="33"/>
        <v>4230.2530000000006</v>
      </c>
      <c r="AP55" s="88"/>
      <c r="AQ55" s="88">
        <v>1740</v>
      </c>
      <c r="AR55" s="88">
        <v>2490.2530000000002</v>
      </c>
      <c r="AS55" s="88"/>
      <c r="AT55" s="88">
        <f t="shared" si="42"/>
        <v>0</v>
      </c>
      <c r="AU55" s="88"/>
      <c r="AV55" s="88"/>
      <c r="AW55" s="88">
        <f t="shared" si="35"/>
        <v>0</v>
      </c>
      <c r="AX55" s="88"/>
      <c r="AY55" s="88"/>
      <c r="AZ55" s="88"/>
      <c r="BA55" s="89">
        <f t="shared" si="36"/>
        <v>0</v>
      </c>
      <c r="BB55" s="89"/>
      <c r="BC55" s="89"/>
      <c r="BD55" s="89">
        <f t="shared" si="37"/>
        <v>0</v>
      </c>
      <c r="BE55" s="89"/>
      <c r="BF55" s="89"/>
      <c r="BG55" s="89"/>
      <c r="BH55" s="89"/>
      <c r="BI55" s="631">
        <f t="shared" si="38"/>
        <v>0</v>
      </c>
      <c r="BJ55" s="631"/>
      <c r="BK55" s="631"/>
      <c r="BL55" s="631"/>
      <c r="BM55" s="631">
        <f t="shared" si="39"/>
        <v>0</v>
      </c>
      <c r="BN55" s="631"/>
      <c r="BO55" s="631"/>
      <c r="BP55" s="631"/>
      <c r="BQ55" s="631">
        <f t="shared" si="40"/>
        <v>0</v>
      </c>
      <c r="BR55" s="631"/>
      <c r="BS55" s="631"/>
      <c r="BT55" s="631"/>
      <c r="BU55" s="631"/>
      <c r="BV55" s="631"/>
      <c r="BW55" s="535" t="s">
        <v>867</v>
      </c>
      <c r="BX55" s="42"/>
      <c r="BY55" s="42">
        <v>1740</v>
      </c>
      <c r="BZ55" s="36"/>
      <c r="CA55" s="35"/>
      <c r="CB55" s="35"/>
      <c r="CD55" s="28"/>
      <c r="CE55" s="28"/>
      <c r="CF55" s="28"/>
    </row>
    <row r="56" spans="1:84" ht="114" outlineLevel="1">
      <c r="A56" s="628">
        <v>12</v>
      </c>
      <c r="B56" s="549" t="s">
        <v>402</v>
      </c>
      <c r="C56" s="535" t="s">
        <v>324</v>
      </c>
      <c r="D56" s="541" t="s">
        <v>322</v>
      </c>
      <c r="E56" s="535" t="s">
        <v>49</v>
      </c>
      <c r="F56" s="431" t="s">
        <v>105</v>
      </c>
      <c r="G56" s="628" t="s">
        <v>403</v>
      </c>
      <c r="H56" s="540">
        <v>7928807</v>
      </c>
      <c r="I56" s="535" t="s">
        <v>73</v>
      </c>
      <c r="J56" s="540">
        <v>2021</v>
      </c>
      <c r="K56" s="540" t="s">
        <v>404</v>
      </c>
      <c r="L56" s="535" t="s">
        <v>405</v>
      </c>
      <c r="M56" s="87">
        <v>11163</v>
      </c>
      <c r="N56" s="87"/>
      <c r="O56" s="87"/>
      <c r="P56" s="87">
        <v>11163</v>
      </c>
      <c r="Q56" s="87" t="s">
        <v>406</v>
      </c>
      <c r="R56" s="87" t="s">
        <v>325</v>
      </c>
      <c r="S56" s="88">
        <f t="shared" si="27"/>
        <v>0</v>
      </c>
      <c r="T56" s="88"/>
      <c r="U56" s="88"/>
      <c r="V56" s="88"/>
      <c r="W56" s="88">
        <f t="shared" si="41"/>
        <v>11163</v>
      </c>
      <c r="X56" s="88"/>
      <c r="Y56" s="88"/>
      <c r="Z56" s="88">
        <f t="shared" si="29"/>
        <v>11163</v>
      </c>
      <c r="AA56" s="88">
        <v>8810.0341489999992</v>
      </c>
      <c r="AB56" s="88">
        <v>1670.1658510000016</v>
      </c>
      <c r="AC56" s="88">
        <f>532.8+150</f>
        <v>682.8</v>
      </c>
      <c r="AD56" s="88">
        <f t="shared" si="30"/>
        <v>11163</v>
      </c>
      <c r="AE56" s="88"/>
      <c r="AF56" s="88"/>
      <c r="AG56" s="88">
        <f t="shared" si="31"/>
        <v>11163</v>
      </c>
      <c r="AH56" s="88">
        <v>8810.0341489999992</v>
      </c>
      <c r="AI56" s="88"/>
      <c r="AJ56" s="88">
        <v>1670.1658510000016</v>
      </c>
      <c r="AK56" s="88">
        <f>532.8+150</f>
        <v>682.8</v>
      </c>
      <c r="AL56" s="88">
        <f t="shared" si="32"/>
        <v>10700.987999999999</v>
      </c>
      <c r="AM56" s="88"/>
      <c r="AN56" s="88"/>
      <c r="AO56" s="88">
        <f t="shared" si="33"/>
        <v>10700.987999999999</v>
      </c>
      <c r="AP56" s="88">
        <v>9378.7949179999996</v>
      </c>
      <c r="AQ56" s="88"/>
      <c r="AR56" s="88">
        <v>639.39308200000005</v>
      </c>
      <c r="AS56" s="88">
        <f>532.8+150</f>
        <v>682.8</v>
      </c>
      <c r="AT56" s="88">
        <f t="shared" si="42"/>
        <v>0</v>
      </c>
      <c r="AU56" s="88"/>
      <c r="AV56" s="88"/>
      <c r="AW56" s="88">
        <f t="shared" si="35"/>
        <v>0</v>
      </c>
      <c r="AX56" s="88"/>
      <c r="AY56" s="88"/>
      <c r="AZ56" s="88"/>
      <c r="BA56" s="89">
        <f t="shared" si="36"/>
        <v>0</v>
      </c>
      <c r="BB56" s="89"/>
      <c r="BC56" s="89"/>
      <c r="BD56" s="89">
        <f t="shared" si="37"/>
        <v>0</v>
      </c>
      <c r="BE56" s="89"/>
      <c r="BF56" s="89"/>
      <c r="BG56" s="89"/>
      <c r="BH56" s="89"/>
      <c r="BI56" s="631">
        <f t="shared" si="38"/>
        <v>0</v>
      </c>
      <c r="BJ56" s="631"/>
      <c r="BK56" s="631"/>
      <c r="BL56" s="631"/>
      <c r="BM56" s="631">
        <f t="shared" si="39"/>
        <v>0</v>
      </c>
      <c r="BN56" s="631"/>
      <c r="BO56" s="631"/>
      <c r="BP56" s="631"/>
      <c r="BQ56" s="631">
        <f t="shared" si="40"/>
        <v>0</v>
      </c>
      <c r="BR56" s="631"/>
      <c r="BS56" s="631"/>
      <c r="BT56" s="631"/>
      <c r="BU56" s="631"/>
      <c r="BV56" s="631"/>
      <c r="BW56" s="535" t="s">
        <v>867</v>
      </c>
      <c r="BX56" s="42">
        <v>8810.0341489999992</v>
      </c>
      <c r="BY56" s="42"/>
      <c r="BZ56" s="36"/>
      <c r="CA56" s="35"/>
      <c r="CB56" s="35"/>
      <c r="CC56" s="31" t="s">
        <v>407</v>
      </c>
      <c r="CD56" s="28"/>
      <c r="CE56" s="28"/>
      <c r="CF56" s="28"/>
    </row>
    <row r="57" spans="1:84" ht="125.1" customHeight="1" outlineLevel="1">
      <c r="A57" s="628">
        <v>13</v>
      </c>
      <c r="B57" s="549" t="s">
        <v>408</v>
      </c>
      <c r="C57" s="535" t="s">
        <v>324</v>
      </c>
      <c r="D57" s="541" t="s">
        <v>322</v>
      </c>
      <c r="E57" s="535" t="s">
        <v>49</v>
      </c>
      <c r="F57" s="431" t="s">
        <v>82</v>
      </c>
      <c r="G57" s="628" t="s">
        <v>325</v>
      </c>
      <c r="H57" s="540">
        <v>7959332</v>
      </c>
      <c r="I57" s="535" t="s">
        <v>76</v>
      </c>
      <c r="J57" s="540">
        <v>2022</v>
      </c>
      <c r="K57" s="540" t="s">
        <v>409</v>
      </c>
      <c r="L57" s="535" t="s">
        <v>410</v>
      </c>
      <c r="M57" s="87">
        <v>1292.1959999999999</v>
      </c>
      <c r="N57" s="87"/>
      <c r="O57" s="87"/>
      <c r="P57" s="87">
        <v>1292.1959999999999</v>
      </c>
      <c r="Q57" s="87" t="s">
        <v>411</v>
      </c>
      <c r="R57" s="87" t="s">
        <v>325</v>
      </c>
      <c r="S57" s="88">
        <f t="shared" si="27"/>
        <v>0</v>
      </c>
      <c r="T57" s="88"/>
      <c r="U57" s="88"/>
      <c r="V57" s="88"/>
      <c r="W57" s="88">
        <f t="shared" si="41"/>
        <v>1184</v>
      </c>
      <c r="X57" s="88"/>
      <c r="Y57" s="88"/>
      <c r="Z57" s="88">
        <f t="shared" si="29"/>
        <v>1184</v>
      </c>
      <c r="AA57" s="88">
        <v>0</v>
      </c>
      <c r="AB57" s="88">
        <v>1184</v>
      </c>
      <c r="AC57" s="88"/>
      <c r="AD57" s="88">
        <f t="shared" si="30"/>
        <v>1184</v>
      </c>
      <c r="AE57" s="88"/>
      <c r="AF57" s="88"/>
      <c r="AG57" s="88">
        <f t="shared" si="31"/>
        <v>1184</v>
      </c>
      <c r="AH57" s="88"/>
      <c r="AI57" s="88"/>
      <c r="AJ57" s="88">
        <v>1184</v>
      </c>
      <c r="AK57" s="88"/>
      <c r="AL57" s="88">
        <f t="shared" si="32"/>
        <v>1153.15644</v>
      </c>
      <c r="AM57" s="88"/>
      <c r="AN57" s="88"/>
      <c r="AO57" s="88">
        <f t="shared" si="33"/>
        <v>1153.15644</v>
      </c>
      <c r="AP57" s="88"/>
      <c r="AQ57" s="88"/>
      <c r="AR57" s="88">
        <v>1153.15644</v>
      </c>
      <c r="AS57" s="88"/>
      <c r="AT57" s="88">
        <f t="shared" si="42"/>
        <v>0</v>
      </c>
      <c r="AU57" s="88"/>
      <c r="AV57" s="88"/>
      <c r="AW57" s="88">
        <f t="shared" si="35"/>
        <v>0</v>
      </c>
      <c r="AX57" s="88"/>
      <c r="AY57" s="88"/>
      <c r="AZ57" s="88"/>
      <c r="BA57" s="89">
        <f t="shared" si="36"/>
        <v>0</v>
      </c>
      <c r="BB57" s="89"/>
      <c r="BC57" s="89"/>
      <c r="BD57" s="89">
        <f t="shared" si="37"/>
        <v>0</v>
      </c>
      <c r="BE57" s="89"/>
      <c r="BF57" s="89"/>
      <c r="BG57" s="89"/>
      <c r="BH57" s="89"/>
      <c r="BI57" s="631">
        <f t="shared" si="38"/>
        <v>0</v>
      </c>
      <c r="BJ57" s="631"/>
      <c r="BK57" s="631"/>
      <c r="BL57" s="631"/>
      <c r="BM57" s="631">
        <f t="shared" si="39"/>
        <v>0</v>
      </c>
      <c r="BN57" s="631"/>
      <c r="BO57" s="631"/>
      <c r="BP57" s="631"/>
      <c r="BQ57" s="631">
        <f t="shared" si="40"/>
        <v>0</v>
      </c>
      <c r="BR57" s="631"/>
      <c r="BS57" s="631"/>
      <c r="BT57" s="631"/>
      <c r="BU57" s="631"/>
      <c r="BV57" s="631"/>
      <c r="BW57" s="535" t="s">
        <v>867</v>
      </c>
      <c r="BX57" s="42"/>
      <c r="BY57" s="42"/>
      <c r="BZ57" s="36"/>
      <c r="CA57" s="35"/>
      <c r="CB57" s="35"/>
      <c r="CD57" s="28"/>
      <c r="CE57" s="28"/>
      <c r="CF57" s="28"/>
    </row>
    <row r="58" spans="1:84" ht="64.5" customHeight="1" outlineLevel="1">
      <c r="A58" s="628">
        <v>14</v>
      </c>
      <c r="B58" s="549" t="s">
        <v>412</v>
      </c>
      <c r="C58" s="535" t="s">
        <v>324</v>
      </c>
      <c r="D58" s="541" t="s">
        <v>322</v>
      </c>
      <c r="E58" s="535" t="s">
        <v>49</v>
      </c>
      <c r="F58" s="431" t="s">
        <v>82</v>
      </c>
      <c r="G58" s="628" t="s">
        <v>325</v>
      </c>
      <c r="H58" s="540">
        <v>7964327</v>
      </c>
      <c r="I58" s="535" t="s">
        <v>76</v>
      </c>
      <c r="J58" s="540">
        <v>2022</v>
      </c>
      <c r="K58" s="540" t="s">
        <v>413</v>
      </c>
      <c r="L58" s="535" t="s">
        <v>414</v>
      </c>
      <c r="M58" s="87">
        <v>4927.8419999999996</v>
      </c>
      <c r="N58" s="87"/>
      <c r="O58" s="87"/>
      <c r="P58" s="87">
        <v>4927.8419999999996</v>
      </c>
      <c r="Q58" s="87" t="s">
        <v>415</v>
      </c>
      <c r="R58" s="87" t="s">
        <v>325</v>
      </c>
      <c r="S58" s="88">
        <f t="shared" si="27"/>
        <v>0</v>
      </c>
      <c r="T58" s="88"/>
      <c r="U58" s="88"/>
      <c r="V58" s="88"/>
      <c r="W58" s="88">
        <f t="shared" si="41"/>
        <v>4601.6861920000001</v>
      </c>
      <c r="X58" s="88"/>
      <c r="Y58" s="88"/>
      <c r="Z58" s="88">
        <f t="shared" si="29"/>
        <v>4601.6861920000001</v>
      </c>
      <c r="AA58" s="88">
        <v>0</v>
      </c>
      <c r="AB58" s="88">
        <v>1739.8420810000002</v>
      </c>
      <c r="AC58" s="88">
        <v>2861.8441109999999</v>
      </c>
      <c r="AD58" s="88">
        <f t="shared" si="30"/>
        <v>4601.6861920000001</v>
      </c>
      <c r="AE58" s="88"/>
      <c r="AF58" s="88"/>
      <c r="AG58" s="88">
        <f t="shared" si="31"/>
        <v>4601.6861920000001</v>
      </c>
      <c r="AH58" s="88"/>
      <c r="AI58" s="88"/>
      <c r="AJ58" s="88">
        <v>1739.8420810000002</v>
      </c>
      <c r="AK58" s="88">
        <v>2861.8441109999999</v>
      </c>
      <c r="AL58" s="88">
        <f t="shared" si="32"/>
        <v>4469.2151109999995</v>
      </c>
      <c r="AM58" s="88"/>
      <c r="AN58" s="88"/>
      <c r="AO58" s="88">
        <f t="shared" si="33"/>
        <v>4469.2151109999995</v>
      </c>
      <c r="AP58" s="88"/>
      <c r="AQ58" s="88"/>
      <c r="AR58" s="88">
        <v>1607.3710000000001</v>
      </c>
      <c r="AS58" s="88">
        <v>2861.8441109999999</v>
      </c>
      <c r="AT58" s="88">
        <f t="shared" si="42"/>
        <v>0</v>
      </c>
      <c r="AU58" s="88"/>
      <c r="AV58" s="88"/>
      <c r="AW58" s="88">
        <f t="shared" si="35"/>
        <v>0</v>
      </c>
      <c r="AX58" s="88"/>
      <c r="AY58" s="88"/>
      <c r="AZ58" s="88"/>
      <c r="BA58" s="89">
        <f t="shared" si="36"/>
        <v>0</v>
      </c>
      <c r="BB58" s="89"/>
      <c r="BC58" s="89"/>
      <c r="BD58" s="89">
        <f t="shared" si="37"/>
        <v>0</v>
      </c>
      <c r="BE58" s="89"/>
      <c r="BF58" s="89"/>
      <c r="BG58" s="89"/>
      <c r="BH58" s="89"/>
      <c r="BI58" s="631">
        <f t="shared" si="38"/>
        <v>0</v>
      </c>
      <c r="BJ58" s="631"/>
      <c r="BK58" s="631"/>
      <c r="BL58" s="631"/>
      <c r="BM58" s="631">
        <f t="shared" si="39"/>
        <v>0</v>
      </c>
      <c r="BN58" s="631"/>
      <c r="BO58" s="631"/>
      <c r="BP58" s="631"/>
      <c r="BQ58" s="631">
        <f t="shared" si="40"/>
        <v>0</v>
      </c>
      <c r="BR58" s="631"/>
      <c r="BS58" s="631"/>
      <c r="BT58" s="631"/>
      <c r="BU58" s="631"/>
      <c r="BV58" s="631"/>
      <c r="BW58" s="535" t="s">
        <v>867</v>
      </c>
      <c r="BX58" s="42"/>
      <c r="BY58" s="42"/>
      <c r="BZ58" s="36"/>
      <c r="CA58" s="35"/>
      <c r="CB58" s="35"/>
      <c r="CC58" s="31" t="s">
        <v>416</v>
      </c>
      <c r="CD58" s="28"/>
      <c r="CE58" s="28"/>
      <c r="CF58" s="28"/>
    </row>
    <row r="59" spans="1:84" ht="57.75" customHeight="1" outlineLevel="1">
      <c r="A59" s="628">
        <v>15</v>
      </c>
      <c r="B59" s="549" t="s">
        <v>417</v>
      </c>
      <c r="C59" s="535" t="s">
        <v>194</v>
      </c>
      <c r="D59" s="541" t="s">
        <v>322</v>
      </c>
      <c r="E59" s="535" t="s">
        <v>49</v>
      </c>
      <c r="F59" s="431"/>
      <c r="G59" s="628" t="s">
        <v>325</v>
      </c>
      <c r="H59" s="540"/>
      <c r="I59" s="535"/>
      <c r="J59" s="540"/>
      <c r="K59" s="540" t="s">
        <v>418</v>
      </c>
      <c r="L59" s="535" t="s">
        <v>419</v>
      </c>
      <c r="M59" s="87">
        <v>3831.879504</v>
      </c>
      <c r="N59" s="87"/>
      <c r="O59" s="87">
        <v>600</v>
      </c>
      <c r="P59" s="87">
        <v>1709.9952000000001</v>
      </c>
      <c r="Q59" s="87" t="s">
        <v>420</v>
      </c>
      <c r="R59" s="87" t="s">
        <v>325</v>
      </c>
      <c r="S59" s="88">
        <f t="shared" si="27"/>
        <v>0</v>
      </c>
      <c r="T59" s="88"/>
      <c r="U59" s="88"/>
      <c r="V59" s="88"/>
      <c r="W59" s="88">
        <f t="shared" si="41"/>
        <v>476.55726400000003</v>
      </c>
      <c r="X59" s="88"/>
      <c r="Y59" s="88"/>
      <c r="Z59" s="88">
        <f t="shared" si="29"/>
        <v>476.55726400000003</v>
      </c>
      <c r="AA59" s="88">
        <v>0</v>
      </c>
      <c r="AB59" s="88"/>
      <c r="AC59" s="88">
        <v>476.55726400000003</v>
      </c>
      <c r="AD59" s="88">
        <f t="shared" si="30"/>
        <v>476.55726400000003</v>
      </c>
      <c r="AE59" s="88"/>
      <c r="AF59" s="88"/>
      <c r="AG59" s="88">
        <f t="shared" si="31"/>
        <v>476.55726400000003</v>
      </c>
      <c r="AH59" s="88"/>
      <c r="AI59" s="88"/>
      <c r="AJ59" s="88"/>
      <c r="AK59" s="88">
        <v>476.55726400000003</v>
      </c>
      <c r="AL59" s="88">
        <f t="shared" si="32"/>
        <v>476.55726400000003</v>
      </c>
      <c r="AM59" s="88"/>
      <c r="AN59" s="88"/>
      <c r="AO59" s="88">
        <f t="shared" si="33"/>
        <v>476.55726400000003</v>
      </c>
      <c r="AP59" s="88"/>
      <c r="AQ59" s="88"/>
      <c r="AR59" s="88"/>
      <c r="AS59" s="88">
        <v>476.55726400000003</v>
      </c>
      <c r="AT59" s="88">
        <f t="shared" si="42"/>
        <v>0</v>
      </c>
      <c r="AU59" s="88"/>
      <c r="AV59" s="88"/>
      <c r="AW59" s="88">
        <f t="shared" si="35"/>
        <v>0</v>
      </c>
      <c r="AX59" s="88"/>
      <c r="AY59" s="88"/>
      <c r="AZ59" s="88"/>
      <c r="BA59" s="89">
        <f t="shared" si="36"/>
        <v>0</v>
      </c>
      <c r="BB59" s="89"/>
      <c r="BC59" s="89"/>
      <c r="BD59" s="89">
        <f t="shared" si="37"/>
        <v>0</v>
      </c>
      <c r="BE59" s="89"/>
      <c r="BF59" s="89"/>
      <c r="BG59" s="89"/>
      <c r="BH59" s="89"/>
      <c r="BI59" s="631">
        <f t="shared" si="38"/>
        <v>0</v>
      </c>
      <c r="BJ59" s="631"/>
      <c r="BK59" s="631"/>
      <c r="BL59" s="631"/>
      <c r="BM59" s="631">
        <f t="shared" si="39"/>
        <v>0</v>
      </c>
      <c r="BN59" s="631"/>
      <c r="BO59" s="631"/>
      <c r="BP59" s="631"/>
      <c r="BQ59" s="631">
        <f t="shared" si="40"/>
        <v>0</v>
      </c>
      <c r="BR59" s="631"/>
      <c r="BS59" s="631"/>
      <c r="BT59" s="631"/>
      <c r="BU59" s="631"/>
      <c r="BV59" s="631"/>
      <c r="BW59" s="535" t="s">
        <v>867</v>
      </c>
      <c r="BX59" s="42"/>
      <c r="BY59" s="42"/>
      <c r="BZ59" s="36"/>
      <c r="CA59" s="35"/>
      <c r="CB59" s="35"/>
    </row>
    <row r="60" spans="1:84" ht="50.25" customHeight="1" outlineLevel="1">
      <c r="A60" s="628">
        <v>16</v>
      </c>
      <c r="B60" s="549" t="s">
        <v>421</v>
      </c>
      <c r="C60" s="535" t="s">
        <v>194</v>
      </c>
      <c r="D60" s="541" t="s">
        <v>322</v>
      </c>
      <c r="E60" s="535" t="s">
        <v>49</v>
      </c>
      <c r="F60" s="431"/>
      <c r="G60" s="628" t="s">
        <v>325</v>
      </c>
      <c r="H60" s="540"/>
      <c r="I60" s="535">
        <v>2021</v>
      </c>
      <c r="J60" s="540"/>
      <c r="K60" s="540" t="s">
        <v>422</v>
      </c>
      <c r="L60" s="535" t="s">
        <v>423</v>
      </c>
      <c r="M60" s="87">
        <v>288</v>
      </c>
      <c r="N60" s="87"/>
      <c r="O60" s="87"/>
      <c r="P60" s="87">
        <v>288</v>
      </c>
      <c r="Q60" s="87" t="s">
        <v>424</v>
      </c>
      <c r="R60" s="87" t="s">
        <v>325</v>
      </c>
      <c r="S60" s="88">
        <f t="shared" si="27"/>
        <v>0</v>
      </c>
      <c r="T60" s="88"/>
      <c r="U60" s="88"/>
      <c r="V60" s="88"/>
      <c r="W60" s="88">
        <f t="shared" si="41"/>
        <v>290</v>
      </c>
      <c r="X60" s="88"/>
      <c r="Y60" s="88"/>
      <c r="Z60" s="88">
        <f t="shared" si="29"/>
        <v>290</v>
      </c>
      <c r="AA60" s="88">
        <v>0</v>
      </c>
      <c r="AB60" s="88"/>
      <c r="AC60" s="88">
        <v>290</v>
      </c>
      <c r="AD60" s="88">
        <f t="shared" si="30"/>
        <v>290</v>
      </c>
      <c r="AE60" s="88"/>
      <c r="AF60" s="88"/>
      <c r="AG60" s="88">
        <f t="shared" si="31"/>
        <v>290</v>
      </c>
      <c r="AH60" s="88"/>
      <c r="AI60" s="88"/>
      <c r="AJ60" s="88"/>
      <c r="AK60" s="88">
        <v>290</v>
      </c>
      <c r="AL60" s="88">
        <f t="shared" si="32"/>
        <v>285.875</v>
      </c>
      <c r="AM60" s="88"/>
      <c r="AN60" s="88"/>
      <c r="AO60" s="88">
        <f t="shared" si="33"/>
        <v>285.875</v>
      </c>
      <c r="AP60" s="88"/>
      <c r="AQ60" s="88"/>
      <c r="AR60" s="88"/>
      <c r="AS60" s="88">
        <f>287.495-1.62</f>
        <v>285.875</v>
      </c>
      <c r="AT60" s="88">
        <f t="shared" si="42"/>
        <v>0</v>
      </c>
      <c r="AU60" s="88"/>
      <c r="AV60" s="88"/>
      <c r="AW60" s="88">
        <f t="shared" si="35"/>
        <v>0</v>
      </c>
      <c r="AX60" s="88"/>
      <c r="AY60" s="88"/>
      <c r="AZ60" s="88"/>
      <c r="BA60" s="89">
        <f t="shared" si="36"/>
        <v>0</v>
      </c>
      <c r="BB60" s="89"/>
      <c r="BC60" s="89"/>
      <c r="BD60" s="89">
        <f t="shared" si="37"/>
        <v>0</v>
      </c>
      <c r="BE60" s="89"/>
      <c r="BF60" s="89"/>
      <c r="BG60" s="89"/>
      <c r="BH60" s="89"/>
      <c r="BI60" s="631">
        <f t="shared" si="38"/>
        <v>0</v>
      </c>
      <c r="BJ60" s="631"/>
      <c r="BK60" s="631"/>
      <c r="BL60" s="631"/>
      <c r="BM60" s="631">
        <f t="shared" si="39"/>
        <v>0</v>
      </c>
      <c r="BN60" s="631"/>
      <c r="BO60" s="631"/>
      <c r="BP60" s="631"/>
      <c r="BQ60" s="631">
        <f t="shared" si="40"/>
        <v>0</v>
      </c>
      <c r="BR60" s="631"/>
      <c r="BS60" s="631"/>
      <c r="BT60" s="631"/>
      <c r="BU60" s="631"/>
      <c r="BV60" s="631"/>
      <c r="BW60" s="535" t="s">
        <v>867</v>
      </c>
      <c r="BX60" s="42"/>
      <c r="BY60" s="42"/>
      <c r="BZ60" s="36"/>
      <c r="CA60" s="35"/>
      <c r="CB60" s="35"/>
    </row>
    <row r="61" spans="1:84" ht="50.25" customHeight="1" outlineLevel="1">
      <c r="A61" s="628">
        <v>17</v>
      </c>
      <c r="B61" s="549" t="s">
        <v>425</v>
      </c>
      <c r="C61" s="535" t="s">
        <v>264</v>
      </c>
      <c r="D61" s="541" t="s">
        <v>322</v>
      </c>
      <c r="E61" s="535" t="s">
        <v>49</v>
      </c>
      <c r="F61" s="431" t="s">
        <v>82</v>
      </c>
      <c r="G61" s="628" t="s">
        <v>325</v>
      </c>
      <c r="H61" s="540">
        <v>7910752</v>
      </c>
      <c r="I61" s="535">
        <v>2021</v>
      </c>
      <c r="J61" s="540">
        <v>2021</v>
      </c>
      <c r="K61" s="540" t="s">
        <v>426</v>
      </c>
      <c r="L61" s="535" t="s">
        <v>427</v>
      </c>
      <c r="M61" s="87">
        <v>926</v>
      </c>
      <c r="N61" s="87"/>
      <c r="O61" s="87"/>
      <c r="P61" s="87">
        <v>926</v>
      </c>
      <c r="Q61" s="87" t="s">
        <v>428</v>
      </c>
      <c r="R61" s="87" t="s">
        <v>325</v>
      </c>
      <c r="S61" s="88">
        <f t="shared" si="27"/>
        <v>0</v>
      </c>
      <c r="T61" s="88"/>
      <c r="U61" s="88"/>
      <c r="V61" s="88"/>
      <c r="W61" s="88">
        <f t="shared" si="41"/>
        <v>926</v>
      </c>
      <c r="X61" s="88"/>
      <c r="Y61" s="88"/>
      <c r="Z61" s="88">
        <f t="shared" si="29"/>
        <v>926</v>
      </c>
      <c r="AA61" s="88">
        <v>0</v>
      </c>
      <c r="AB61" s="88"/>
      <c r="AC61" s="88">
        <v>926</v>
      </c>
      <c r="AD61" s="88">
        <f t="shared" si="30"/>
        <v>926</v>
      </c>
      <c r="AE61" s="88"/>
      <c r="AF61" s="88"/>
      <c r="AG61" s="88">
        <f t="shared" si="31"/>
        <v>926</v>
      </c>
      <c r="AH61" s="88"/>
      <c r="AI61" s="88"/>
      <c r="AJ61" s="88"/>
      <c r="AK61" s="88">
        <v>926</v>
      </c>
      <c r="AL61" s="88">
        <f t="shared" si="32"/>
        <v>900.52180899999996</v>
      </c>
      <c r="AM61" s="88"/>
      <c r="AN61" s="88"/>
      <c r="AO61" s="88">
        <f t="shared" si="33"/>
        <v>900.52180899999996</v>
      </c>
      <c r="AP61" s="88"/>
      <c r="AQ61" s="88"/>
      <c r="AR61" s="88"/>
      <c r="AS61" s="88">
        <v>900.52180899999996</v>
      </c>
      <c r="AT61" s="88">
        <f t="shared" si="42"/>
        <v>0</v>
      </c>
      <c r="AU61" s="88"/>
      <c r="AV61" s="88"/>
      <c r="AW61" s="88">
        <f t="shared" si="35"/>
        <v>0</v>
      </c>
      <c r="AX61" s="88"/>
      <c r="AY61" s="88"/>
      <c r="AZ61" s="88"/>
      <c r="BA61" s="89">
        <f t="shared" si="36"/>
        <v>0</v>
      </c>
      <c r="BB61" s="89"/>
      <c r="BC61" s="89"/>
      <c r="BD61" s="89">
        <f t="shared" si="37"/>
        <v>0</v>
      </c>
      <c r="BE61" s="89"/>
      <c r="BF61" s="89"/>
      <c r="BG61" s="89"/>
      <c r="BH61" s="89"/>
      <c r="BI61" s="631">
        <f t="shared" si="38"/>
        <v>0</v>
      </c>
      <c r="BJ61" s="631"/>
      <c r="BK61" s="631"/>
      <c r="BL61" s="631"/>
      <c r="BM61" s="631">
        <f t="shared" si="39"/>
        <v>0</v>
      </c>
      <c r="BN61" s="631"/>
      <c r="BO61" s="631"/>
      <c r="BP61" s="631"/>
      <c r="BQ61" s="631">
        <f t="shared" si="40"/>
        <v>0</v>
      </c>
      <c r="BR61" s="631"/>
      <c r="BS61" s="631"/>
      <c r="BT61" s="631"/>
      <c r="BU61" s="631"/>
      <c r="BV61" s="631"/>
      <c r="BW61" s="535" t="s">
        <v>867</v>
      </c>
      <c r="BX61" s="42"/>
      <c r="BY61" s="42"/>
      <c r="BZ61" s="36"/>
      <c r="CA61" s="35"/>
      <c r="CB61" s="35"/>
    </row>
    <row r="62" spans="1:84" ht="60" customHeight="1" outlineLevel="1">
      <c r="A62" s="628">
        <v>18</v>
      </c>
      <c r="B62" s="549" t="s">
        <v>429</v>
      </c>
      <c r="C62" s="535" t="s">
        <v>430</v>
      </c>
      <c r="D62" s="541" t="s">
        <v>322</v>
      </c>
      <c r="E62" s="535" t="s">
        <v>49</v>
      </c>
      <c r="F62" s="431" t="s">
        <v>105</v>
      </c>
      <c r="G62" s="628" t="s">
        <v>325</v>
      </c>
      <c r="H62" s="540">
        <v>7903341</v>
      </c>
      <c r="I62" s="535">
        <v>2021</v>
      </c>
      <c r="J62" s="540">
        <v>2021</v>
      </c>
      <c r="K62" s="540" t="s">
        <v>431</v>
      </c>
      <c r="L62" s="535" t="s">
        <v>432</v>
      </c>
      <c r="M62" s="87">
        <v>367.03235100000001</v>
      </c>
      <c r="N62" s="87"/>
      <c r="O62" s="87"/>
      <c r="P62" s="87">
        <v>100</v>
      </c>
      <c r="Q62" s="87" t="s">
        <v>433</v>
      </c>
      <c r="R62" s="87" t="s">
        <v>325</v>
      </c>
      <c r="S62" s="88">
        <f t="shared" si="27"/>
        <v>0</v>
      </c>
      <c r="T62" s="88"/>
      <c r="U62" s="88"/>
      <c r="V62" s="88"/>
      <c r="W62" s="88">
        <f t="shared" si="41"/>
        <v>100</v>
      </c>
      <c r="X62" s="88"/>
      <c r="Y62" s="88"/>
      <c r="Z62" s="88">
        <f t="shared" si="29"/>
        <v>100</v>
      </c>
      <c r="AA62" s="88">
        <v>0</v>
      </c>
      <c r="AB62" s="88"/>
      <c r="AC62" s="88">
        <v>100</v>
      </c>
      <c r="AD62" s="88">
        <f t="shared" si="30"/>
        <v>100</v>
      </c>
      <c r="AE62" s="88"/>
      <c r="AF62" s="88"/>
      <c r="AG62" s="88">
        <f t="shared" si="31"/>
        <v>100</v>
      </c>
      <c r="AH62" s="88"/>
      <c r="AI62" s="88"/>
      <c r="AJ62" s="88"/>
      <c r="AK62" s="88">
        <v>100</v>
      </c>
      <c r="AL62" s="88">
        <f t="shared" si="32"/>
        <v>99.353750000000005</v>
      </c>
      <c r="AM62" s="88"/>
      <c r="AN62" s="88"/>
      <c r="AO62" s="88">
        <f t="shared" si="33"/>
        <v>99.353750000000005</v>
      </c>
      <c r="AP62" s="88"/>
      <c r="AQ62" s="88"/>
      <c r="AR62" s="88"/>
      <c r="AS62" s="88">
        <v>99.353750000000005</v>
      </c>
      <c r="AT62" s="88">
        <f t="shared" si="42"/>
        <v>0</v>
      </c>
      <c r="AU62" s="88"/>
      <c r="AV62" s="88"/>
      <c r="AW62" s="88">
        <f t="shared" si="35"/>
        <v>0</v>
      </c>
      <c r="AX62" s="88"/>
      <c r="AY62" s="88"/>
      <c r="AZ62" s="88"/>
      <c r="BA62" s="89">
        <f t="shared" si="36"/>
        <v>0</v>
      </c>
      <c r="BB62" s="89"/>
      <c r="BC62" s="89"/>
      <c r="BD62" s="89">
        <f t="shared" si="37"/>
        <v>0</v>
      </c>
      <c r="BE62" s="89"/>
      <c r="BF62" s="89"/>
      <c r="BG62" s="89"/>
      <c r="BH62" s="89"/>
      <c r="BI62" s="631">
        <f t="shared" si="38"/>
        <v>0</v>
      </c>
      <c r="BJ62" s="631"/>
      <c r="BK62" s="631"/>
      <c r="BL62" s="631"/>
      <c r="BM62" s="631">
        <f t="shared" si="39"/>
        <v>0</v>
      </c>
      <c r="BN62" s="631"/>
      <c r="BO62" s="631"/>
      <c r="BP62" s="631"/>
      <c r="BQ62" s="631">
        <f t="shared" si="40"/>
        <v>0</v>
      </c>
      <c r="BR62" s="631"/>
      <c r="BS62" s="631"/>
      <c r="BT62" s="631"/>
      <c r="BU62" s="631"/>
      <c r="BV62" s="631"/>
      <c r="BW62" s="535" t="s">
        <v>867</v>
      </c>
      <c r="BX62" s="42"/>
      <c r="BY62" s="42"/>
      <c r="BZ62" s="36"/>
      <c r="CA62" s="35"/>
      <c r="CB62" s="35"/>
    </row>
    <row r="63" spans="1:84" ht="60.75" customHeight="1" outlineLevel="1">
      <c r="A63" s="628">
        <v>19</v>
      </c>
      <c r="B63" s="549" t="s">
        <v>434</v>
      </c>
      <c r="C63" s="535" t="s">
        <v>430</v>
      </c>
      <c r="D63" s="541" t="s">
        <v>322</v>
      </c>
      <c r="E63" s="535" t="s">
        <v>49</v>
      </c>
      <c r="F63" s="431"/>
      <c r="G63" s="628" t="s">
        <v>403</v>
      </c>
      <c r="H63" s="540">
        <v>8119333</v>
      </c>
      <c r="I63" s="535">
        <v>2024</v>
      </c>
      <c r="J63" s="540">
        <v>2024</v>
      </c>
      <c r="K63" s="540" t="s">
        <v>435</v>
      </c>
      <c r="L63" s="535" t="s">
        <v>436</v>
      </c>
      <c r="M63" s="87">
        <v>275</v>
      </c>
      <c r="N63" s="87"/>
      <c r="O63" s="87"/>
      <c r="P63" s="87">
        <v>250</v>
      </c>
      <c r="Q63" s="87" t="s">
        <v>437</v>
      </c>
      <c r="R63" s="87" t="s">
        <v>325</v>
      </c>
      <c r="S63" s="88">
        <f t="shared" si="27"/>
        <v>0</v>
      </c>
      <c r="T63" s="88"/>
      <c r="U63" s="88"/>
      <c r="V63" s="88"/>
      <c r="W63" s="88">
        <f t="shared" si="41"/>
        <v>250</v>
      </c>
      <c r="X63" s="88"/>
      <c r="Y63" s="88"/>
      <c r="Z63" s="88">
        <f t="shared" si="29"/>
        <v>250</v>
      </c>
      <c r="AA63" s="88">
        <v>250</v>
      </c>
      <c r="AB63" s="88"/>
      <c r="AC63" s="88"/>
      <c r="AD63" s="88">
        <f t="shared" si="30"/>
        <v>250</v>
      </c>
      <c r="AE63" s="88"/>
      <c r="AF63" s="88"/>
      <c r="AG63" s="88">
        <f t="shared" si="31"/>
        <v>250</v>
      </c>
      <c r="AH63" s="88">
        <v>250</v>
      </c>
      <c r="AI63" s="88"/>
      <c r="AJ63" s="88"/>
      <c r="AK63" s="88"/>
      <c r="AL63" s="88">
        <f t="shared" si="32"/>
        <v>250</v>
      </c>
      <c r="AM63" s="88"/>
      <c r="AN63" s="88"/>
      <c r="AO63" s="88">
        <f t="shared" si="33"/>
        <v>250</v>
      </c>
      <c r="AP63" s="88">
        <v>250</v>
      </c>
      <c r="AQ63" s="88"/>
      <c r="AR63" s="88"/>
      <c r="AS63" s="88"/>
      <c r="AT63" s="88">
        <f t="shared" si="42"/>
        <v>0</v>
      </c>
      <c r="AU63" s="88"/>
      <c r="AV63" s="88"/>
      <c r="AW63" s="88">
        <f t="shared" si="35"/>
        <v>0</v>
      </c>
      <c r="AX63" s="88"/>
      <c r="AY63" s="88"/>
      <c r="AZ63" s="88"/>
      <c r="BA63" s="89">
        <f t="shared" si="36"/>
        <v>0</v>
      </c>
      <c r="BB63" s="89"/>
      <c r="BC63" s="89"/>
      <c r="BD63" s="89">
        <f t="shared" si="37"/>
        <v>0</v>
      </c>
      <c r="BE63" s="89"/>
      <c r="BF63" s="89"/>
      <c r="BG63" s="89"/>
      <c r="BH63" s="89"/>
      <c r="BI63" s="631">
        <f t="shared" si="38"/>
        <v>0</v>
      </c>
      <c r="BJ63" s="631"/>
      <c r="BK63" s="631"/>
      <c r="BL63" s="631"/>
      <c r="BM63" s="631">
        <f t="shared" si="39"/>
        <v>0</v>
      </c>
      <c r="BN63" s="631"/>
      <c r="BO63" s="631"/>
      <c r="BP63" s="631"/>
      <c r="BQ63" s="631">
        <f t="shared" si="40"/>
        <v>0</v>
      </c>
      <c r="BR63" s="631"/>
      <c r="BS63" s="631"/>
      <c r="BT63" s="631"/>
      <c r="BU63" s="631"/>
      <c r="BV63" s="631"/>
      <c r="BW63" s="535" t="s">
        <v>867</v>
      </c>
      <c r="BX63" s="42">
        <v>250</v>
      </c>
      <c r="BY63" s="42"/>
      <c r="BZ63" s="36"/>
      <c r="CA63" s="35"/>
      <c r="CB63" s="35"/>
      <c r="CC63" s="31" t="s">
        <v>438</v>
      </c>
      <c r="CD63" s="28"/>
      <c r="CE63" s="28"/>
      <c r="CF63" s="28"/>
    </row>
    <row r="64" spans="1:84" ht="60.75" customHeight="1" outlineLevel="1">
      <c r="A64" s="628">
        <v>20</v>
      </c>
      <c r="B64" s="549" t="s">
        <v>439</v>
      </c>
      <c r="C64" s="535" t="s">
        <v>430</v>
      </c>
      <c r="D64" s="541" t="s">
        <v>322</v>
      </c>
      <c r="E64" s="535" t="s">
        <v>49</v>
      </c>
      <c r="F64" s="431"/>
      <c r="G64" s="628" t="s">
        <v>403</v>
      </c>
      <c r="H64" s="540"/>
      <c r="I64" s="535" t="s">
        <v>83</v>
      </c>
      <c r="J64" s="540">
        <v>2022</v>
      </c>
      <c r="K64" s="540" t="s">
        <v>440</v>
      </c>
      <c r="L64" s="535" t="s">
        <v>441</v>
      </c>
      <c r="M64" s="87">
        <v>148.697</v>
      </c>
      <c r="N64" s="87"/>
      <c r="O64" s="87"/>
      <c r="P64" s="87">
        <v>49.603499999999997</v>
      </c>
      <c r="Q64" s="87"/>
      <c r="R64" s="87" t="s">
        <v>325</v>
      </c>
      <c r="S64" s="88">
        <f t="shared" si="27"/>
        <v>0</v>
      </c>
      <c r="T64" s="88"/>
      <c r="U64" s="88"/>
      <c r="V64" s="88"/>
      <c r="W64" s="88">
        <f t="shared" si="41"/>
        <v>54</v>
      </c>
      <c r="X64" s="88"/>
      <c r="Y64" s="88"/>
      <c r="Z64" s="88">
        <f t="shared" si="29"/>
        <v>54</v>
      </c>
      <c r="AA64" s="88">
        <v>0</v>
      </c>
      <c r="AB64" s="88">
        <v>54</v>
      </c>
      <c r="AC64" s="88"/>
      <c r="AD64" s="88">
        <f t="shared" si="30"/>
        <v>49.603499999999997</v>
      </c>
      <c r="AE64" s="88"/>
      <c r="AF64" s="88"/>
      <c r="AG64" s="88">
        <f t="shared" si="31"/>
        <v>49.603499999999997</v>
      </c>
      <c r="AH64" s="88"/>
      <c r="AI64" s="88"/>
      <c r="AJ64" s="88">
        <v>49.603499999999997</v>
      </c>
      <c r="AK64" s="88"/>
      <c r="AL64" s="88">
        <f t="shared" si="32"/>
        <v>46.658999999999999</v>
      </c>
      <c r="AM64" s="88"/>
      <c r="AN64" s="88"/>
      <c r="AO64" s="88">
        <f t="shared" si="33"/>
        <v>46.658999999999999</v>
      </c>
      <c r="AP64" s="88"/>
      <c r="AQ64" s="88"/>
      <c r="AR64" s="88">
        <v>46.658999999999999</v>
      </c>
      <c r="AS64" s="88"/>
      <c r="AT64" s="88">
        <f t="shared" si="42"/>
        <v>0</v>
      </c>
      <c r="AU64" s="88"/>
      <c r="AV64" s="88"/>
      <c r="AW64" s="88">
        <f t="shared" si="35"/>
        <v>0</v>
      </c>
      <c r="AX64" s="88"/>
      <c r="AY64" s="88"/>
      <c r="AZ64" s="88"/>
      <c r="BA64" s="89">
        <f t="shared" si="36"/>
        <v>0</v>
      </c>
      <c r="BB64" s="89"/>
      <c r="BC64" s="89"/>
      <c r="BD64" s="89">
        <f t="shared" si="37"/>
        <v>0</v>
      </c>
      <c r="BE64" s="89"/>
      <c r="BF64" s="89"/>
      <c r="BG64" s="89"/>
      <c r="BH64" s="89"/>
      <c r="BI64" s="631">
        <f t="shared" si="38"/>
        <v>0</v>
      </c>
      <c r="BJ64" s="631"/>
      <c r="BK64" s="631"/>
      <c r="BL64" s="631"/>
      <c r="BM64" s="631">
        <f t="shared" si="39"/>
        <v>0</v>
      </c>
      <c r="BN64" s="631"/>
      <c r="BO64" s="631"/>
      <c r="BP64" s="631"/>
      <c r="BQ64" s="631">
        <f t="shared" si="40"/>
        <v>0</v>
      </c>
      <c r="BR64" s="631"/>
      <c r="BS64" s="631"/>
      <c r="BT64" s="631"/>
      <c r="BU64" s="631"/>
      <c r="BV64" s="631"/>
      <c r="BW64" s="535"/>
      <c r="BX64" s="42"/>
      <c r="BY64" s="42"/>
      <c r="BZ64" s="36"/>
      <c r="CA64" s="35"/>
      <c r="CB64" s="35"/>
      <c r="CC64" s="31" t="s">
        <v>442</v>
      </c>
    </row>
    <row r="65" spans="1:84" ht="57.75" customHeight="1" outlineLevel="1">
      <c r="A65" s="628">
        <v>21</v>
      </c>
      <c r="B65" s="549" t="s">
        <v>443</v>
      </c>
      <c r="C65" s="535" t="s">
        <v>322</v>
      </c>
      <c r="D65" s="541" t="s">
        <v>322</v>
      </c>
      <c r="E65" s="535" t="s">
        <v>49</v>
      </c>
      <c r="F65" s="431"/>
      <c r="G65" s="628" t="s">
        <v>325</v>
      </c>
      <c r="H65" s="540">
        <v>8119330</v>
      </c>
      <c r="I65" s="535">
        <v>2024</v>
      </c>
      <c r="J65" s="540">
        <v>2024</v>
      </c>
      <c r="K65" s="540" t="s">
        <v>435</v>
      </c>
      <c r="L65" s="535" t="s">
        <v>444</v>
      </c>
      <c r="M65" s="87">
        <v>900</v>
      </c>
      <c r="N65" s="87"/>
      <c r="O65" s="87"/>
      <c r="P65" s="87">
        <v>850</v>
      </c>
      <c r="Q65" s="87" t="s">
        <v>445</v>
      </c>
      <c r="R65" s="87" t="s">
        <v>325</v>
      </c>
      <c r="S65" s="88">
        <f t="shared" si="27"/>
        <v>0</v>
      </c>
      <c r="T65" s="88"/>
      <c r="U65" s="88"/>
      <c r="V65" s="88"/>
      <c r="W65" s="88">
        <f t="shared" si="41"/>
        <v>850</v>
      </c>
      <c r="X65" s="88"/>
      <c r="Y65" s="88"/>
      <c r="Z65" s="88">
        <f t="shared" si="29"/>
        <v>850</v>
      </c>
      <c r="AA65" s="88">
        <v>850</v>
      </c>
      <c r="AB65" s="88"/>
      <c r="AC65" s="88"/>
      <c r="AD65" s="88">
        <f t="shared" si="30"/>
        <v>850</v>
      </c>
      <c r="AE65" s="88"/>
      <c r="AF65" s="88"/>
      <c r="AG65" s="88">
        <f t="shared" si="31"/>
        <v>850</v>
      </c>
      <c r="AH65" s="88">
        <v>850</v>
      </c>
      <c r="AI65" s="88"/>
      <c r="AJ65" s="88"/>
      <c r="AK65" s="88"/>
      <c r="AL65" s="88">
        <f t="shared" si="32"/>
        <v>850</v>
      </c>
      <c r="AM65" s="88"/>
      <c r="AN65" s="88"/>
      <c r="AO65" s="88">
        <f t="shared" si="33"/>
        <v>850</v>
      </c>
      <c r="AP65" s="88">
        <v>850</v>
      </c>
      <c r="AQ65" s="88"/>
      <c r="AR65" s="88"/>
      <c r="AS65" s="88"/>
      <c r="AT65" s="88">
        <f t="shared" si="42"/>
        <v>0</v>
      </c>
      <c r="AU65" s="88"/>
      <c r="AV65" s="88"/>
      <c r="AW65" s="88">
        <f t="shared" si="35"/>
        <v>0</v>
      </c>
      <c r="AX65" s="88"/>
      <c r="AY65" s="88"/>
      <c r="AZ65" s="88"/>
      <c r="BA65" s="89">
        <f t="shared" si="36"/>
        <v>0</v>
      </c>
      <c r="BB65" s="89"/>
      <c r="BC65" s="89"/>
      <c r="BD65" s="89">
        <f t="shared" si="37"/>
        <v>0</v>
      </c>
      <c r="BE65" s="89"/>
      <c r="BF65" s="89"/>
      <c r="BG65" s="89"/>
      <c r="BH65" s="89"/>
      <c r="BI65" s="631">
        <f t="shared" si="38"/>
        <v>0</v>
      </c>
      <c r="BJ65" s="631"/>
      <c r="BK65" s="631"/>
      <c r="BL65" s="631"/>
      <c r="BM65" s="631">
        <f t="shared" si="39"/>
        <v>0</v>
      </c>
      <c r="BN65" s="631"/>
      <c r="BO65" s="631"/>
      <c r="BP65" s="631"/>
      <c r="BQ65" s="631">
        <f t="shared" si="40"/>
        <v>0</v>
      </c>
      <c r="BR65" s="631"/>
      <c r="BS65" s="631"/>
      <c r="BT65" s="631"/>
      <c r="BU65" s="631"/>
      <c r="BV65" s="631"/>
      <c r="BW65" s="535" t="s">
        <v>867</v>
      </c>
      <c r="BX65" s="42">
        <v>850</v>
      </c>
      <c r="BY65" s="42"/>
      <c r="BZ65" s="36"/>
      <c r="CA65" s="35"/>
      <c r="CB65" s="35"/>
      <c r="CD65" s="28"/>
      <c r="CE65" s="28"/>
      <c r="CF65" s="28"/>
    </row>
    <row r="66" spans="1:84" ht="54" customHeight="1" outlineLevel="1">
      <c r="A66" s="628">
        <v>22</v>
      </c>
      <c r="B66" s="549" t="s">
        <v>446</v>
      </c>
      <c r="C66" s="535" t="s">
        <v>322</v>
      </c>
      <c r="D66" s="541" t="s">
        <v>322</v>
      </c>
      <c r="E66" s="535" t="s">
        <v>49</v>
      </c>
      <c r="F66" s="431"/>
      <c r="G66" s="628" t="s">
        <v>325</v>
      </c>
      <c r="H66" s="540"/>
      <c r="I66" s="535" t="s">
        <v>83</v>
      </c>
      <c r="J66" s="540">
        <v>2022</v>
      </c>
      <c r="K66" s="540" t="s">
        <v>440</v>
      </c>
      <c r="L66" s="535" t="s">
        <v>447</v>
      </c>
      <c r="M66" s="87">
        <v>321.88099999999997</v>
      </c>
      <c r="N66" s="87"/>
      <c r="O66" s="87"/>
      <c r="P66" s="87">
        <v>106.18600000000001</v>
      </c>
      <c r="Q66" s="87"/>
      <c r="R66" s="87" t="s">
        <v>325</v>
      </c>
      <c r="S66" s="88">
        <f t="shared" si="27"/>
        <v>0</v>
      </c>
      <c r="T66" s="88"/>
      <c r="U66" s="88"/>
      <c r="V66" s="88"/>
      <c r="W66" s="88">
        <f t="shared" si="41"/>
        <v>108.866</v>
      </c>
      <c r="X66" s="88"/>
      <c r="Y66" s="88"/>
      <c r="Z66" s="88">
        <f t="shared" si="29"/>
        <v>108.866</v>
      </c>
      <c r="AA66" s="88">
        <v>0</v>
      </c>
      <c r="AB66" s="88">
        <v>108.866</v>
      </c>
      <c r="AC66" s="88"/>
      <c r="AD66" s="88">
        <f t="shared" si="30"/>
        <v>106.18600000000001</v>
      </c>
      <c r="AE66" s="88"/>
      <c r="AF66" s="88"/>
      <c r="AG66" s="88">
        <f t="shared" si="31"/>
        <v>106.18600000000001</v>
      </c>
      <c r="AH66" s="88"/>
      <c r="AI66" s="88"/>
      <c r="AJ66" s="88">
        <v>106.18600000000001</v>
      </c>
      <c r="AK66" s="88"/>
      <c r="AL66" s="88">
        <f t="shared" si="32"/>
        <v>104.18600000000001</v>
      </c>
      <c r="AM66" s="88"/>
      <c r="AN66" s="88"/>
      <c r="AO66" s="88">
        <f t="shared" si="33"/>
        <v>104.18600000000001</v>
      </c>
      <c r="AP66" s="88"/>
      <c r="AQ66" s="88"/>
      <c r="AR66" s="88">
        <v>104.18600000000001</v>
      </c>
      <c r="AS66" s="88"/>
      <c r="AT66" s="88">
        <f t="shared" si="42"/>
        <v>0</v>
      </c>
      <c r="AU66" s="88"/>
      <c r="AV66" s="88"/>
      <c r="AW66" s="88">
        <f t="shared" si="35"/>
        <v>0</v>
      </c>
      <c r="AX66" s="88"/>
      <c r="AY66" s="88"/>
      <c r="AZ66" s="88"/>
      <c r="BA66" s="89">
        <f t="shared" si="36"/>
        <v>0</v>
      </c>
      <c r="BB66" s="89"/>
      <c r="BC66" s="89"/>
      <c r="BD66" s="89">
        <f t="shared" si="37"/>
        <v>0</v>
      </c>
      <c r="BE66" s="89"/>
      <c r="BF66" s="89"/>
      <c r="BG66" s="89"/>
      <c r="BH66" s="89"/>
      <c r="BI66" s="631">
        <f t="shared" si="38"/>
        <v>0</v>
      </c>
      <c r="BJ66" s="631"/>
      <c r="BK66" s="631"/>
      <c r="BL66" s="631"/>
      <c r="BM66" s="631">
        <f t="shared" si="39"/>
        <v>0</v>
      </c>
      <c r="BN66" s="631"/>
      <c r="BO66" s="631"/>
      <c r="BP66" s="631"/>
      <c r="BQ66" s="631">
        <f t="shared" si="40"/>
        <v>0</v>
      </c>
      <c r="BR66" s="631"/>
      <c r="BS66" s="631"/>
      <c r="BT66" s="631"/>
      <c r="BU66" s="631"/>
      <c r="BV66" s="631"/>
      <c r="BW66" s="535"/>
      <c r="BX66" s="42"/>
      <c r="BY66" s="42"/>
      <c r="BZ66" s="36"/>
      <c r="CA66" s="35"/>
      <c r="CB66" s="35"/>
      <c r="CC66" s="31" t="s">
        <v>442</v>
      </c>
    </row>
    <row r="67" spans="1:84" ht="50.25" customHeight="1" outlineLevel="1">
      <c r="A67" s="628">
        <v>23</v>
      </c>
      <c r="B67" s="549" t="s">
        <v>448</v>
      </c>
      <c r="C67" s="535" t="s">
        <v>324</v>
      </c>
      <c r="D67" s="541" t="s">
        <v>322</v>
      </c>
      <c r="E67" s="535" t="s">
        <v>49</v>
      </c>
      <c r="F67" s="431" t="s">
        <v>105</v>
      </c>
      <c r="G67" s="628" t="s">
        <v>325</v>
      </c>
      <c r="H67" s="540">
        <v>8073209</v>
      </c>
      <c r="I67" s="535" t="s">
        <v>84</v>
      </c>
      <c r="J67" s="540">
        <v>2024</v>
      </c>
      <c r="K67" s="540" t="s">
        <v>449</v>
      </c>
      <c r="L67" s="535" t="s">
        <v>450</v>
      </c>
      <c r="M67" s="87">
        <v>4000</v>
      </c>
      <c r="N67" s="87"/>
      <c r="O67" s="87"/>
      <c r="P67" s="87">
        <v>4000</v>
      </c>
      <c r="Q67" s="87" t="s">
        <v>451</v>
      </c>
      <c r="R67" s="87" t="s">
        <v>325</v>
      </c>
      <c r="S67" s="88">
        <f t="shared" si="27"/>
        <v>0</v>
      </c>
      <c r="T67" s="88"/>
      <c r="U67" s="88"/>
      <c r="V67" s="88"/>
      <c r="W67" s="88">
        <f t="shared" si="41"/>
        <v>4000</v>
      </c>
      <c r="X67" s="88"/>
      <c r="Y67" s="88"/>
      <c r="Z67" s="88">
        <f t="shared" si="29"/>
        <v>4000</v>
      </c>
      <c r="AA67" s="88">
        <v>4000</v>
      </c>
      <c r="AB67" s="88"/>
      <c r="AC67" s="88"/>
      <c r="AD67" s="88">
        <f t="shared" si="30"/>
        <v>3678.81</v>
      </c>
      <c r="AE67" s="88"/>
      <c r="AF67" s="88"/>
      <c r="AG67" s="88">
        <f t="shared" si="31"/>
        <v>3678.81</v>
      </c>
      <c r="AH67" s="88">
        <f>3213.508082+465.301918</f>
        <v>3678.81</v>
      </c>
      <c r="AI67" s="88"/>
      <c r="AJ67" s="88"/>
      <c r="AK67" s="88"/>
      <c r="AL67" s="88">
        <f t="shared" si="32"/>
        <v>3213.5080819999998</v>
      </c>
      <c r="AM67" s="88"/>
      <c r="AN67" s="88"/>
      <c r="AO67" s="88">
        <f t="shared" si="33"/>
        <v>3213.5080819999998</v>
      </c>
      <c r="AP67" s="88">
        <v>3213.5080819999998</v>
      </c>
      <c r="AQ67" s="88"/>
      <c r="AR67" s="88"/>
      <c r="AS67" s="88"/>
      <c r="AT67" s="88">
        <f t="shared" si="42"/>
        <v>321.19</v>
      </c>
      <c r="AU67" s="88"/>
      <c r="AV67" s="88"/>
      <c r="AW67" s="88">
        <f t="shared" si="35"/>
        <v>321.19</v>
      </c>
      <c r="AX67" s="88">
        <v>321.19</v>
      </c>
      <c r="AY67" s="88"/>
      <c r="AZ67" s="88"/>
      <c r="BA67" s="89">
        <f t="shared" si="36"/>
        <v>306.12810999999999</v>
      </c>
      <c r="BB67" s="89"/>
      <c r="BC67" s="89"/>
      <c r="BD67" s="89">
        <f t="shared" si="37"/>
        <v>306.12810999999999</v>
      </c>
      <c r="BE67" s="89">
        <v>306.12810999999999</v>
      </c>
      <c r="BF67" s="89"/>
      <c r="BG67" s="89"/>
      <c r="BH67" s="89"/>
      <c r="BI67" s="631">
        <f t="shared" si="38"/>
        <v>465.301918</v>
      </c>
      <c r="BJ67" s="631"/>
      <c r="BK67" s="631"/>
      <c r="BL67" s="631">
        <v>465.301918</v>
      </c>
      <c r="BM67" s="631">
        <f t="shared" si="39"/>
        <v>465.301918</v>
      </c>
      <c r="BN67" s="631"/>
      <c r="BO67" s="631"/>
      <c r="BP67" s="631">
        <v>465.301918</v>
      </c>
      <c r="BQ67" s="631">
        <f t="shared" si="40"/>
        <v>0</v>
      </c>
      <c r="BR67" s="631"/>
      <c r="BS67" s="631"/>
      <c r="BT67" s="631"/>
      <c r="BU67" s="631"/>
      <c r="BV67" s="637">
        <v>465.301918</v>
      </c>
      <c r="BW67" s="535" t="s">
        <v>867</v>
      </c>
      <c r="BX67" s="42">
        <v>4000</v>
      </c>
      <c r="BY67" s="42"/>
      <c r="BZ67" s="36"/>
      <c r="CA67" s="42">
        <v>321.19</v>
      </c>
      <c r="CB67" s="42"/>
      <c r="CD67" s="28"/>
      <c r="CE67" s="28"/>
      <c r="CF67" s="28"/>
    </row>
    <row r="68" spans="1:84" ht="54" customHeight="1" outlineLevel="1">
      <c r="A68" s="628">
        <v>24</v>
      </c>
      <c r="B68" s="549" t="s">
        <v>452</v>
      </c>
      <c r="C68" s="535" t="s">
        <v>324</v>
      </c>
      <c r="D68" s="541" t="s">
        <v>322</v>
      </c>
      <c r="E68" s="535" t="s">
        <v>49</v>
      </c>
      <c r="F68" s="431" t="s">
        <v>48</v>
      </c>
      <c r="G68" s="628" t="s">
        <v>325</v>
      </c>
      <c r="H68" s="540"/>
      <c r="I68" s="535" t="s">
        <v>52</v>
      </c>
      <c r="J68" s="540">
        <v>2022</v>
      </c>
      <c r="K68" s="540" t="s">
        <v>453</v>
      </c>
      <c r="L68" s="535" t="s">
        <v>454</v>
      </c>
      <c r="M68" s="87">
        <v>43267.360999999997</v>
      </c>
      <c r="N68" s="87"/>
      <c r="O68" s="87">
        <v>38500</v>
      </c>
      <c r="P68" s="87">
        <v>4767.3609999999999</v>
      </c>
      <c r="Q68" s="87" t="s">
        <v>455</v>
      </c>
      <c r="R68" s="87" t="s">
        <v>325</v>
      </c>
      <c r="S68" s="88">
        <f t="shared" si="27"/>
        <v>0</v>
      </c>
      <c r="T68" s="88"/>
      <c r="U68" s="88"/>
      <c r="V68" s="88"/>
      <c r="W68" s="88">
        <f t="shared" si="41"/>
        <v>1735</v>
      </c>
      <c r="X68" s="88"/>
      <c r="Y68" s="88"/>
      <c r="Z68" s="88">
        <f t="shared" si="29"/>
        <v>1735</v>
      </c>
      <c r="AA68" s="88">
        <v>1735</v>
      </c>
      <c r="AB68" s="88"/>
      <c r="AC68" s="88"/>
      <c r="AD68" s="88">
        <f t="shared" si="30"/>
        <v>1735</v>
      </c>
      <c r="AE68" s="88"/>
      <c r="AF68" s="88"/>
      <c r="AG68" s="88">
        <f t="shared" si="31"/>
        <v>1735</v>
      </c>
      <c r="AH68" s="88">
        <v>1735</v>
      </c>
      <c r="AI68" s="88"/>
      <c r="AJ68" s="88"/>
      <c r="AK68" s="88"/>
      <c r="AL68" s="88">
        <f t="shared" si="32"/>
        <v>1595.053717</v>
      </c>
      <c r="AM68" s="88"/>
      <c r="AN68" s="88"/>
      <c r="AO68" s="88">
        <f t="shared" si="33"/>
        <v>1595.053717</v>
      </c>
      <c r="AP68" s="88">
        <v>1595.053717</v>
      </c>
      <c r="AQ68" s="88"/>
      <c r="AR68" s="88"/>
      <c r="AS68" s="88"/>
      <c r="AT68" s="88">
        <f t="shared" si="42"/>
        <v>0</v>
      </c>
      <c r="AU68" s="88"/>
      <c r="AV68" s="88"/>
      <c r="AW68" s="88">
        <f t="shared" si="35"/>
        <v>0</v>
      </c>
      <c r="AX68" s="88"/>
      <c r="AY68" s="88"/>
      <c r="AZ68" s="88"/>
      <c r="BA68" s="89">
        <f t="shared" si="36"/>
        <v>0</v>
      </c>
      <c r="BB68" s="89"/>
      <c r="BC68" s="89"/>
      <c r="BD68" s="89">
        <f t="shared" si="37"/>
        <v>0</v>
      </c>
      <c r="BE68" s="89"/>
      <c r="BF68" s="89"/>
      <c r="BG68" s="89"/>
      <c r="BH68" s="89"/>
      <c r="BI68" s="631">
        <f t="shared" si="38"/>
        <v>0</v>
      </c>
      <c r="BJ68" s="631"/>
      <c r="BK68" s="631"/>
      <c r="BL68" s="631"/>
      <c r="BM68" s="631">
        <f t="shared" si="39"/>
        <v>0</v>
      </c>
      <c r="BN68" s="631"/>
      <c r="BO68" s="631"/>
      <c r="BP68" s="631"/>
      <c r="BQ68" s="631">
        <f t="shared" si="40"/>
        <v>0</v>
      </c>
      <c r="BR68" s="631"/>
      <c r="BS68" s="631"/>
      <c r="BT68" s="631"/>
      <c r="BU68" s="631"/>
      <c r="BV68" s="631"/>
      <c r="BW68" s="535" t="s">
        <v>867</v>
      </c>
      <c r="BX68" s="42">
        <v>1735</v>
      </c>
      <c r="BY68" s="42"/>
      <c r="BZ68" s="43"/>
      <c r="CA68" s="42"/>
      <c r="CB68" s="42"/>
      <c r="CD68" s="28"/>
      <c r="CE68" s="28"/>
      <c r="CF68" s="28"/>
    </row>
    <row r="69" spans="1:84" ht="50.25" customHeight="1" outlineLevel="1">
      <c r="A69" s="628">
        <v>25</v>
      </c>
      <c r="B69" s="549" t="s">
        <v>456</v>
      </c>
      <c r="C69" s="535" t="s">
        <v>314</v>
      </c>
      <c r="D69" s="541" t="s">
        <v>322</v>
      </c>
      <c r="E69" s="535" t="s">
        <v>10</v>
      </c>
      <c r="F69" s="431" t="s">
        <v>48</v>
      </c>
      <c r="G69" s="628" t="s">
        <v>325</v>
      </c>
      <c r="H69" s="540">
        <v>7910755</v>
      </c>
      <c r="I69" s="535" t="s">
        <v>457</v>
      </c>
      <c r="J69" s="540">
        <v>2024</v>
      </c>
      <c r="K69" s="540" t="s">
        <v>458</v>
      </c>
      <c r="L69" s="535" t="s">
        <v>459</v>
      </c>
      <c r="M69" s="87">
        <v>149882</v>
      </c>
      <c r="N69" s="87">
        <v>135000</v>
      </c>
      <c r="O69" s="87"/>
      <c r="P69" s="87">
        <f>M69-N69</f>
        <v>14882</v>
      </c>
      <c r="Q69" s="87"/>
      <c r="R69" s="87" t="s">
        <v>325</v>
      </c>
      <c r="S69" s="88">
        <f t="shared" si="27"/>
        <v>0</v>
      </c>
      <c r="T69" s="88"/>
      <c r="U69" s="88"/>
      <c r="V69" s="88"/>
      <c r="W69" s="88">
        <f>AA69+AB69+AC69</f>
        <v>14882</v>
      </c>
      <c r="X69" s="88"/>
      <c r="Y69" s="88"/>
      <c r="Z69" s="88">
        <f t="shared" si="29"/>
        <v>14882</v>
      </c>
      <c r="AA69" s="88">
        <v>0</v>
      </c>
      <c r="AB69" s="88">
        <v>14882</v>
      </c>
      <c r="AC69" s="88"/>
      <c r="AD69" s="88">
        <f t="shared" si="30"/>
        <v>0</v>
      </c>
      <c r="AE69" s="88">
        <v>0</v>
      </c>
      <c r="AF69" s="88"/>
      <c r="AG69" s="88">
        <f t="shared" si="31"/>
        <v>0</v>
      </c>
      <c r="AH69" s="88"/>
      <c r="AI69" s="88"/>
      <c r="AJ69" s="88"/>
      <c r="AK69" s="88"/>
      <c r="AL69" s="88">
        <f t="shared" si="32"/>
        <v>0</v>
      </c>
      <c r="AM69" s="88"/>
      <c r="AN69" s="88"/>
      <c r="AO69" s="88">
        <f t="shared" si="33"/>
        <v>0</v>
      </c>
      <c r="AP69" s="88"/>
      <c r="AQ69" s="88"/>
      <c r="AR69" s="88"/>
      <c r="AS69" s="88"/>
      <c r="AT69" s="88">
        <f>AX69+AY69+AZ69</f>
        <v>100</v>
      </c>
      <c r="AU69" s="88"/>
      <c r="AV69" s="88"/>
      <c r="AW69" s="88">
        <f t="shared" si="35"/>
        <v>100</v>
      </c>
      <c r="AX69" s="88"/>
      <c r="AY69" s="88">
        <v>100</v>
      </c>
      <c r="AZ69" s="88"/>
      <c r="BA69" s="89">
        <f t="shared" si="36"/>
        <v>0</v>
      </c>
      <c r="BB69" s="89"/>
      <c r="BC69" s="89"/>
      <c r="BD69" s="89">
        <f t="shared" si="37"/>
        <v>0</v>
      </c>
      <c r="BE69" s="89"/>
      <c r="BF69" s="89"/>
      <c r="BG69" s="89"/>
      <c r="BH69" s="89"/>
      <c r="BI69" s="631">
        <f t="shared" si="38"/>
        <v>0</v>
      </c>
      <c r="BJ69" s="631"/>
      <c r="BK69" s="631"/>
      <c r="BL69" s="631"/>
      <c r="BM69" s="631">
        <f t="shared" si="39"/>
        <v>0</v>
      </c>
      <c r="BN69" s="631"/>
      <c r="BO69" s="631"/>
      <c r="BP69" s="631"/>
      <c r="BQ69" s="631">
        <f t="shared" si="40"/>
        <v>14882</v>
      </c>
      <c r="BR69" s="631"/>
      <c r="BS69" s="631"/>
      <c r="BT69" s="631">
        <v>14882</v>
      </c>
      <c r="BU69" s="631"/>
      <c r="BV69" s="631"/>
      <c r="BW69" s="535" t="s">
        <v>867</v>
      </c>
      <c r="BX69" s="42"/>
      <c r="BY69" s="42"/>
      <c r="BZ69" s="36"/>
      <c r="CA69" s="35"/>
      <c r="CB69" s="35"/>
      <c r="CD69" s="28"/>
      <c r="CE69" s="28"/>
      <c r="CF69" s="28"/>
    </row>
    <row r="70" spans="1:84" ht="72" customHeight="1" outlineLevel="1">
      <c r="A70" s="628">
        <v>26</v>
      </c>
      <c r="B70" s="549" t="s">
        <v>527</v>
      </c>
      <c r="C70" s="535" t="s">
        <v>322</v>
      </c>
      <c r="D70" s="535" t="s">
        <v>322</v>
      </c>
      <c r="E70" s="535"/>
      <c r="F70" s="431"/>
      <c r="G70" s="541"/>
      <c r="H70" s="540"/>
      <c r="I70" s="535"/>
      <c r="J70" s="540"/>
      <c r="K70" s="535"/>
      <c r="L70" s="535"/>
      <c r="M70" s="87"/>
      <c r="N70" s="87"/>
      <c r="O70" s="87"/>
      <c r="P70" s="87"/>
      <c r="Q70" s="87"/>
      <c r="R70" s="88"/>
      <c r="S70" s="88"/>
      <c r="T70" s="88"/>
      <c r="U70" s="88"/>
      <c r="V70" s="88"/>
      <c r="W70" s="88">
        <f t="shared" ref="W70:W77" si="43">AA70+AB70+AC70</f>
        <v>46</v>
      </c>
      <c r="X70" s="88"/>
      <c r="Y70" s="88"/>
      <c r="Z70" s="88">
        <f t="shared" ref="Z70:Z77" si="44">SUM(AB70:AC70)</f>
        <v>46</v>
      </c>
      <c r="AA70" s="88">
        <v>0</v>
      </c>
      <c r="AB70" s="88">
        <v>46</v>
      </c>
      <c r="AC70" s="88"/>
      <c r="AD70" s="88">
        <f t="shared" ref="AD70:AD77" si="45">SUM(AE70:AG70)</f>
        <v>46</v>
      </c>
      <c r="AE70" s="88"/>
      <c r="AF70" s="88"/>
      <c r="AG70" s="88">
        <f t="shared" ref="AG70:AG77" si="46">SUM(AH70:AK70)</f>
        <v>46</v>
      </c>
      <c r="AH70" s="88"/>
      <c r="AI70" s="88"/>
      <c r="AJ70" s="88">
        <v>46</v>
      </c>
      <c r="AK70" s="88"/>
      <c r="AL70" s="88">
        <f t="shared" ref="AL70:AL77" si="47">SUM(AM70:AO70)</f>
        <v>46</v>
      </c>
      <c r="AM70" s="88"/>
      <c r="AN70" s="88"/>
      <c r="AO70" s="88">
        <f t="shared" ref="AO70:AO77" si="48">SUM(AP70:AS70)</f>
        <v>46</v>
      </c>
      <c r="AP70" s="88"/>
      <c r="AQ70" s="88"/>
      <c r="AR70" s="88">
        <v>46</v>
      </c>
      <c r="AS70" s="88"/>
      <c r="AT70" s="88">
        <f t="shared" ref="AT70:AT77" si="49">AX70+AY70+AZ70</f>
        <v>0</v>
      </c>
      <c r="AU70" s="88"/>
      <c r="AV70" s="88"/>
      <c r="AW70" s="88">
        <f t="shared" ref="AW70:AW73" si="50">SUM(AX70:AZ70)</f>
        <v>0</v>
      </c>
      <c r="AX70" s="88"/>
      <c r="AY70" s="88"/>
      <c r="AZ70" s="88"/>
      <c r="BA70" s="89">
        <f t="shared" ref="BA70:BA73" si="51">SUM(BB70:BD70)</f>
        <v>0</v>
      </c>
      <c r="BB70" s="89"/>
      <c r="BC70" s="89"/>
      <c r="BD70" s="89">
        <f t="shared" ref="BD70:BD73" si="52">SUM(BE70:BH70)</f>
        <v>0</v>
      </c>
      <c r="BE70" s="89"/>
      <c r="BF70" s="89"/>
      <c r="BG70" s="89"/>
      <c r="BH70" s="89"/>
      <c r="BI70" s="631">
        <f t="shared" ref="BI70:BI73" si="53">SUM(BJ70:BL70)</f>
        <v>0</v>
      </c>
      <c r="BJ70" s="631"/>
      <c r="BK70" s="631"/>
      <c r="BL70" s="631"/>
      <c r="BM70" s="631">
        <f t="shared" ref="BM70:BM73" si="54">SUM(BN70:BP70)</f>
        <v>0</v>
      </c>
      <c r="BN70" s="631"/>
      <c r="BO70" s="631"/>
      <c r="BP70" s="631"/>
      <c r="BQ70" s="631">
        <f t="shared" ref="BQ70:BQ73" si="55">SUM(BR70:BT70)</f>
        <v>0</v>
      </c>
      <c r="BR70" s="631"/>
      <c r="BS70" s="631"/>
      <c r="BT70" s="631"/>
      <c r="BU70" s="631"/>
      <c r="BV70" s="631"/>
      <c r="BW70" s="535">
        <v>2021</v>
      </c>
      <c r="BX70" s="42"/>
      <c r="BY70" s="42"/>
      <c r="BZ70" s="40"/>
      <c r="CA70" s="39"/>
      <c r="CB70" s="39"/>
      <c r="CC70" s="50"/>
      <c r="CD70" s="51" t="s">
        <v>528</v>
      </c>
      <c r="CE70" s="52"/>
      <c r="CF70" s="52"/>
    </row>
    <row r="71" spans="1:84" ht="84.75" customHeight="1" outlineLevel="1">
      <c r="A71" s="628">
        <v>27</v>
      </c>
      <c r="B71" s="549" t="s">
        <v>561</v>
      </c>
      <c r="C71" s="535" t="s">
        <v>542</v>
      </c>
      <c r="D71" s="535" t="s">
        <v>322</v>
      </c>
      <c r="E71" s="535"/>
      <c r="F71" s="431"/>
      <c r="G71" s="541"/>
      <c r="H71" s="540"/>
      <c r="I71" s="535"/>
      <c r="J71" s="540"/>
      <c r="K71" s="535"/>
      <c r="L71" s="535"/>
      <c r="M71" s="87"/>
      <c r="N71" s="87"/>
      <c r="O71" s="87"/>
      <c r="P71" s="87"/>
      <c r="Q71" s="87"/>
      <c r="R71" s="88"/>
      <c r="S71" s="88"/>
      <c r="T71" s="88"/>
      <c r="U71" s="88"/>
      <c r="V71" s="88"/>
      <c r="W71" s="88">
        <f>AA71+AB71+AC71</f>
        <v>99.174000000000007</v>
      </c>
      <c r="X71" s="88"/>
      <c r="Y71" s="88"/>
      <c r="Z71" s="88">
        <f>SUM(AB71:AC71)</f>
        <v>99.174000000000007</v>
      </c>
      <c r="AA71" s="88">
        <v>0</v>
      </c>
      <c r="AB71" s="88">
        <v>99.174000000000007</v>
      </c>
      <c r="AC71" s="88"/>
      <c r="AD71" s="88">
        <f>SUM(AE71:AG71)</f>
        <v>99.174000000000007</v>
      </c>
      <c r="AE71" s="88"/>
      <c r="AF71" s="88"/>
      <c r="AG71" s="88">
        <f>SUM(AH71:AK71)</f>
        <v>99.174000000000007</v>
      </c>
      <c r="AH71" s="88"/>
      <c r="AI71" s="88"/>
      <c r="AJ71" s="88">
        <v>99.174000000000007</v>
      </c>
      <c r="AK71" s="88"/>
      <c r="AL71" s="88">
        <f>SUM(AM71:AO71)</f>
        <v>99.174000000000007</v>
      </c>
      <c r="AM71" s="88"/>
      <c r="AN71" s="88"/>
      <c r="AO71" s="88">
        <f>SUM(AP71:AS71)</f>
        <v>99.174000000000007</v>
      </c>
      <c r="AP71" s="88"/>
      <c r="AQ71" s="88"/>
      <c r="AR71" s="88">
        <v>99.174000000000007</v>
      </c>
      <c r="AS71" s="88"/>
      <c r="AT71" s="88">
        <f>AX71+AY71+AZ71</f>
        <v>0</v>
      </c>
      <c r="AU71" s="88"/>
      <c r="AV71" s="88"/>
      <c r="AW71" s="88">
        <f>SUM(AX71:AZ71)</f>
        <v>0</v>
      </c>
      <c r="AX71" s="88"/>
      <c r="AY71" s="88"/>
      <c r="AZ71" s="88"/>
      <c r="BA71" s="89"/>
      <c r="BB71" s="89"/>
      <c r="BC71" s="89"/>
      <c r="BD71" s="89"/>
      <c r="BE71" s="89"/>
      <c r="BF71" s="89"/>
      <c r="BG71" s="89"/>
      <c r="BH71" s="89"/>
      <c r="BI71" s="631"/>
      <c r="BJ71" s="631"/>
      <c r="BK71" s="631"/>
      <c r="BL71" s="631"/>
      <c r="BM71" s="631">
        <f>SUM(BN71:BP71)</f>
        <v>0</v>
      </c>
      <c r="BN71" s="631"/>
      <c r="BO71" s="631"/>
      <c r="BP71" s="631"/>
      <c r="BQ71" s="631">
        <f>SUM(BR71:BT71)</f>
        <v>0</v>
      </c>
      <c r="BR71" s="631"/>
      <c r="BS71" s="631"/>
      <c r="BT71" s="631"/>
      <c r="BU71" s="631"/>
      <c r="BV71" s="631"/>
      <c r="BW71" s="535">
        <v>2024</v>
      </c>
      <c r="BX71" s="42"/>
      <c r="BY71" s="42"/>
      <c r="BZ71" s="36"/>
      <c r="CA71" s="35"/>
      <c r="CB71" s="35"/>
      <c r="CC71" s="50"/>
      <c r="CD71" s="55" t="s">
        <v>562</v>
      </c>
      <c r="CE71" s="79"/>
      <c r="CF71" s="56"/>
    </row>
    <row r="72" spans="1:84" ht="72" customHeight="1" outlineLevel="1">
      <c r="A72" s="628">
        <v>28</v>
      </c>
      <c r="B72" s="549" t="s">
        <v>529</v>
      </c>
      <c r="C72" s="535" t="s">
        <v>492</v>
      </c>
      <c r="D72" s="535" t="s">
        <v>322</v>
      </c>
      <c r="E72" s="535"/>
      <c r="F72" s="431"/>
      <c r="G72" s="541"/>
      <c r="H72" s="540"/>
      <c r="I72" s="535"/>
      <c r="J72" s="540"/>
      <c r="K72" s="535"/>
      <c r="L72" s="535"/>
      <c r="M72" s="87"/>
      <c r="N72" s="87"/>
      <c r="O72" s="87"/>
      <c r="P72" s="87"/>
      <c r="Q72" s="87"/>
      <c r="R72" s="88"/>
      <c r="S72" s="88"/>
      <c r="T72" s="88"/>
      <c r="U72" s="88"/>
      <c r="V72" s="88"/>
      <c r="W72" s="88">
        <f t="shared" si="43"/>
        <v>645.75</v>
      </c>
      <c r="X72" s="88"/>
      <c r="Y72" s="88"/>
      <c r="Z72" s="88">
        <f t="shared" si="44"/>
        <v>645.75</v>
      </c>
      <c r="AA72" s="88">
        <v>0</v>
      </c>
      <c r="AB72" s="88">
        <v>645.75</v>
      </c>
      <c r="AC72" s="88"/>
      <c r="AD72" s="88">
        <f t="shared" si="45"/>
        <v>645.75</v>
      </c>
      <c r="AE72" s="88"/>
      <c r="AF72" s="88"/>
      <c r="AG72" s="88">
        <f t="shared" si="46"/>
        <v>645.75</v>
      </c>
      <c r="AH72" s="88"/>
      <c r="AI72" s="88"/>
      <c r="AJ72" s="88">
        <v>645.75</v>
      </c>
      <c r="AK72" s="88"/>
      <c r="AL72" s="88">
        <f t="shared" si="47"/>
        <v>645.75</v>
      </c>
      <c r="AM72" s="88"/>
      <c r="AN72" s="88"/>
      <c r="AO72" s="88">
        <f t="shared" si="48"/>
        <v>645.75</v>
      </c>
      <c r="AP72" s="88"/>
      <c r="AQ72" s="88"/>
      <c r="AR72" s="88">
        <v>645.75</v>
      </c>
      <c r="AS72" s="88"/>
      <c r="AT72" s="88">
        <f t="shared" si="49"/>
        <v>0</v>
      </c>
      <c r="AU72" s="88"/>
      <c r="AV72" s="88"/>
      <c r="AW72" s="88">
        <f t="shared" si="50"/>
        <v>0</v>
      </c>
      <c r="AX72" s="88"/>
      <c r="AY72" s="88"/>
      <c r="AZ72" s="88"/>
      <c r="BA72" s="89">
        <f t="shared" si="51"/>
        <v>0</v>
      </c>
      <c r="BB72" s="89"/>
      <c r="BC72" s="89"/>
      <c r="BD72" s="89">
        <f t="shared" si="52"/>
        <v>0</v>
      </c>
      <c r="BE72" s="89"/>
      <c r="BF72" s="89"/>
      <c r="BG72" s="89"/>
      <c r="BH72" s="89"/>
      <c r="BI72" s="631">
        <f t="shared" si="53"/>
        <v>0</v>
      </c>
      <c r="BJ72" s="631"/>
      <c r="BK72" s="631"/>
      <c r="BL72" s="631"/>
      <c r="BM72" s="631">
        <f t="shared" si="54"/>
        <v>0</v>
      </c>
      <c r="BN72" s="631"/>
      <c r="BO72" s="631"/>
      <c r="BP72" s="631"/>
      <c r="BQ72" s="631">
        <f t="shared" si="55"/>
        <v>0</v>
      </c>
      <c r="BR72" s="631"/>
      <c r="BS72" s="631"/>
      <c r="BT72" s="631"/>
      <c r="BU72" s="631"/>
      <c r="BV72" s="631"/>
      <c r="BW72" s="535">
        <v>2022</v>
      </c>
      <c r="BX72" s="42"/>
      <c r="BY72" s="42"/>
      <c r="BZ72" s="54"/>
      <c r="CA72" s="53"/>
      <c r="CB72" s="53"/>
      <c r="CC72" s="50"/>
      <c r="CD72" s="55" t="s">
        <v>530</v>
      </c>
      <c r="CE72" s="56"/>
      <c r="CF72" s="56"/>
    </row>
    <row r="73" spans="1:84" ht="99.75" outlineLevel="1">
      <c r="A73" s="628">
        <v>29</v>
      </c>
      <c r="B73" s="549" t="s">
        <v>543</v>
      </c>
      <c r="C73" s="535" t="s">
        <v>322</v>
      </c>
      <c r="D73" s="535" t="s">
        <v>322</v>
      </c>
      <c r="E73" s="535"/>
      <c r="F73" s="431"/>
      <c r="G73" s="541"/>
      <c r="H73" s="540"/>
      <c r="I73" s="535"/>
      <c r="J73" s="540"/>
      <c r="K73" s="535"/>
      <c r="L73" s="535"/>
      <c r="M73" s="87"/>
      <c r="N73" s="87"/>
      <c r="O73" s="87"/>
      <c r="P73" s="87"/>
      <c r="Q73" s="87"/>
      <c r="R73" s="88"/>
      <c r="S73" s="88"/>
      <c r="T73" s="88"/>
      <c r="U73" s="88"/>
      <c r="V73" s="88"/>
      <c r="W73" s="88">
        <f t="shared" si="43"/>
        <v>585.94100000000003</v>
      </c>
      <c r="X73" s="88"/>
      <c r="Y73" s="88"/>
      <c r="Z73" s="88">
        <f t="shared" si="44"/>
        <v>585.94100000000003</v>
      </c>
      <c r="AA73" s="88">
        <v>0</v>
      </c>
      <c r="AB73" s="88">
        <v>585.94100000000003</v>
      </c>
      <c r="AC73" s="88"/>
      <c r="AD73" s="88">
        <f t="shared" si="45"/>
        <v>585.94100000000003</v>
      </c>
      <c r="AE73" s="88"/>
      <c r="AF73" s="88"/>
      <c r="AG73" s="88">
        <f t="shared" si="46"/>
        <v>585.94100000000003</v>
      </c>
      <c r="AH73" s="88"/>
      <c r="AI73" s="88"/>
      <c r="AJ73" s="88">
        <v>585.94100000000003</v>
      </c>
      <c r="AK73" s="88"/>
      <c r="AL73" s="88">
        <f t="shared" si="47"/>
        <v>585.94100000000003</v>
      </c>
      <c r="AM73" s="88"/>
      <c r="AN73" s="88"/>
      <c r="AO73" s="88">
        <f t="shared" si="48"/>
        <v>585.94100000000003</v>
      </c>
      <c r="AP73" s="88"/>
      <c r="AQ73" s="88"/>
      <c r="AR73" s="88">
        <v>585.94100000000003</v>
      </c>
      <c r="AS73" s="88"/>
      <c r="AT73" s="88">
        <f t="shared" si="49"/>
        <v>0</v>
      </c>
      <c r="AU73" s="88"/>
      <c r="AV73" s="88"/>
      <c r="AW73" s="88">
        <f t="shared" si="50"/>
        <v>0</v>
      </c>
      <c r="AX73" s="88"/>
      <c r="AY73" s="88"/>
      <c r="AZ73" s="88"/>
      <c r="BA73" s="89">
        <f t="shared" si="51"/>
        <v>0</v>
      </c>
      <c r="BB73" s="89"/>
      <c r="BC73" s="89"/>
      <c r="BD73" s="89">
        <f t="shared" si="52"/>
        <v>0</v>
      </c>
      <c r="BE73" s="89"/>
      <c r="BF73" s="89"/>
      <c r="BG73" s="89"/>
      <c r="BH73" s="89"/>
      <c r="BI73" s="631">
        <f t="shared" si="53"/>
        <v>0</v>
      </c>
      <c r="BJ73" s="631"/>
      <c r="BK73" s="631"/>
      <c r="BL73" s="631"/>
      <c r="BM73" s="631">
        <f t="shared" si="54"/>
        <v>0</v>
      </c>
      <c r="BN73" s="631"/>
      <c r="BO73" s="631"/>
      <c r="BP73" s="631"/>
      <c r="BQ73" s="631">
        <f t="shared" si="55"/>
        <v>0</v>
      </c>
      <c r="BR73" s="631"/>
      <c r="BS73" s="631"/>
      <c r="BT73" s="631"/>
      <c r="BU73" s="631"/>
      <c r="BV73" s="631"/>
      <c r="BW73" s="535">
        <v>2024</v>
      </c>
      <c r="BX73" s="42"/>
      <c r="BY73" s="42"/>
      <c r="BZ73" s="36"/>
      <c r="CA73" s="35"/>
      <c r="CB73" s="35"/>
      <c r="CC73" s="50"/>
      <c r="CD73" s="61" t="s">
        <v>544</v>
      </c>
      <c r="CE73" s="62"/>
      <c r="CF73" s="62"/>
    </row>
    <row r="74" spans="1:84" ht="72" customHeight="1" outlineLevel="1">
      <c r="A74" s="628">
        <v>30</v>
      </c>
      <c r="B74" s="549" t="s">
        <v>533</v>
      </c>
      <c r="C74" s="535" t="s">
        <v>213</v>
      </c>
      <c r="D74" s="541" t="s">
        <v>322</v>
      </c>
      <c r="E74" s="535"/>
      <c r="F74" s="431"/>
      <c r="G74" s="541"/>
      <c r="H74" s="540"/>
      <c r="I74" s="535"/>
      <c r="J74" s="540"/>
      <c r="K74" s="535"/>
      <c r="L74" s="535"/>
      <c r="M74" s="87"/>
      <c r="N74" s="87"/>
      <c r="O74" s="87"/>
      <c r="P74" s="87"/>
      <c r="Q74" s="87"/>
      <c r="R74" s="88"/>
      <c r="S74" s="88"/>
      <c r="T74" s="88"/>
      <c r="U74" s="88"/>
      <c r="V74" s="88"/>
      <c r="W74" s="88">
        <f t="shared" si="43"/>
        <v>235.19900000000001</v>
      </c>
      <c r="X74" s="88"/>
      <c r="Y74" s="88"/>
      <c r="Z74" s="88">
        <f t="shared" si="44"/>
        <v>235.19900000000001</v>
      </c>
      <c r="AA74" s="88">
        <v>0</v>
      </c>
      <c r="AB74" s="88">
        <v>235.19900000000001</v>
      </c>
      <c r="AC74" s="88"/>
      <c r="AD74" s="88">
        <f t="shared" si="45"/>
        <v>235.19900000000001</v>
      </c>
      <c r="AE74" s="88"/>
      <c r="AF74" s="88"/>
      <c r="AG74" s="88">
        <f t="shared" si="46"/>
        <v>235.19900000000001</v>
      </c>
      <c r="AH74" s="88"/>
      <c r="AI74" s="88"/>
      <c r="AJ74" s="88">
        <v>235.19900000000001</v>
      </c>
      <c r="AK74" s="88"/>
      <c r="AL74" s="88">
        <f t="shared" si="47"/>
        <v>235.19900000000001</v>
      </c>
      <c r="AM74" s="88"/>
      <c r="AN74" s="88"/>
      <c r="AO74" s="88">
        <f t="shared" si="48"/>
        <v>235.19900000000001</v>
      </c>
      <c r="AP74" s="88"/>
      <c r="AQ74" s="88"/>
      <c r="AR74" s="88">
        <v>235.19900000000001</v>
      </c>
      <c r="AS74" s="88"/>
      <c r="AT74" s="88">
        <f t="shared" si="49"/>
        <v>0</v>
      </c>
      <c r="AU74" s="88"/>
      <c r="AV74" s="88"/>
      <c r="AW74" s="88">
        <f t="shared" ref="AW74:AW75" si="56">SUM(AX74:AZ74)</f>
        <v>0</v>
      </c>
      <c r="AX74" s="88"/>
      <c r="AY74" s="88"/>
      <c r="AZ74" s="88"/>
      <c r="BA74" s="89">
        <f>SUM(BB74:BD74)</f>
        <v>0</v>
      </c>
      <c r="BB74" s="89"/>
      <c r="BC74" s="89"/>
      <c r="BD74" s="89">
        <f>SUM(BE74:BH74)</f>
        <v>0</v>
      </c>
      <c r="BE74" s="89"/>
      <c r="BF74" s="89"/>
      <c r="BG74" s="89"/>
      <c r="BH74" s="89"/>
      <c r="BI74" s="631">
        <f>SUM(BJ74:BL74)</f>
        <v>0</v>
      </c>
      <c r="BJ74" s="631"/>
      <c r="BK74" s="631"/>
      <c r="BL74" s="631"/>
      <c r="BM74" s="631">
        <f t="shared" ref="BM74:BM75" si="57">SUM(BN74:BP74)</f>
        <v>0</v>
      </c>
      <c r="BN74" s="631"/>
      <c r="BO74" s="631"/>
      <c r="BP74" s="631"/>
      <c r="BQ74" s="631">
        <f t="shared" ref="BQ74:BQ75" si="58">SUM(BR74:BT74)</f>
        <v>0</v>
      </c>
      <c r="BR74" s="631"/>
      <c r="BS74" s="631"/>
      <c r="BT74" s="631"/>
      <c r="BU74" s="631"/>
      <c r="BV74" s="631"/>
      <c r="BW74" s="535">
        <v>2022</v>
      </c>
      <c r="BX74" s="42"/>
      <c r="BY74" s="42"/>
      <c r="BZ74" s="54"/>
      <c r="CA74" s="53"/>
      <c r="CB74" s="53"/>
      <c r="CC74" s="50"/>
      <c r="CD74" s="55" t="s">
        <v>442</v>
      </c>
      <c r="CE74" s="56"/>
      <c r="CF74" s="56"/>
    </row>
    <row r="75" spans="1:84" ht="83.1" customHeight="1" outlineLevel="1">
      <c r="A75" s="628">
        <v>31</v>
      </c>
      <c r="B75" s="549" t="s">
        <v>534</v>
      </c>
      <c r="C75" s="535" t="s">
        <v>492</v>
      </c>
      <c r="D75" s="535" t="s">
        <v>322</v>
      </c>
      <c r="E75" s="535"/>
      <c r="F75" s="431"/>
      <c r="G75" s="541"/>
      <c r="H75" s="540"/>
      <c r="I75" s="535"/>
      <c r="J75" s="540"/>
      <c r="K75" s="535"/>
      <c r="L75" s="535"/>
      <c r="M75" s="87"/>
      <c r="N75" s="87"/>
      <c r="O75" s="87"/>
      <c r="P75" s="87"/>
      <c r="Q75" s="87"/>
      <c r="R75" s="88"/>
      <c r="S75" s="88"/>
      <c r="T75" s="88"/>
      <c r="U75" s="88"/>
      <c r="V75" s="88"/>
      <c r="W75" s="88">
        <f t="shared" si="43"/>
        <v>33.545000000000002</v>
      </c>
      <c r="X75" s="88"/>
      <c r="Y75" s="88"/>
      <c r="Z75" s="88">
        <f t="shared" si="44"/>
        <v>33.545000000000002</v>
      </c>
      <c r="AA75" s="88">
        <v>0</v>
      </c>
      <c r="AB75" s="88">
        <v>33.545000000000002</v>
      </c>
      <c r="AC75" s="88"/>
      <c r="AD75" s="88">
        <f t="shared" si="45"/>
        <v>33.545000000000002</v>
      </c>
      <c r="AE75" s="88"/>
      <c r="AF75" s="88"/>
      <c r="AG75" s="88">
        <f t="shared" si="46"/>
        <v>33.545000000000002</v>
      </c>
      <c r="AH75" s="88"/>
      <c r="AI75" s="88"/>
      <c r="AJ75" s="88">
        <v>33.545000000000002</v>
      </c>
      <c r="AK75" s="88"/>
      <c r="AL75" s="88">
        <f t="shared" si="47"/>
        <v>33.545000000000002</v>
      </c>
      <c r="AM75" s="88"/>
      <c r="AN75" s="88"/>
      <c r="AO75" s="88">
        <f t="shared" si="48"/>
        <v>33.545000000000002</v>
      </c>
      <c r="AP75" s="88"/>
      <c r="AQ75" s="88"/>
      <c r="AR75" s="88">
        <v>33.545000000000002</v>
      </c>
      <c r="AS75" s="88"/>
      <c r="AT75" s="88">
        <f t="shared" si="49"/>
        <v>0</v>
      </c>
      <c r="AU75" s="88"/>
      <c r="AV75" s="88"/>
      <c r="AW75" s="88">
        <f t="shared" si="56"/>
        <v>0</v>
      </c>
      <c r="AX75" s="88"/>
      <c r="AY75" s="88"/>
      <c r="AZ75" s="88"/>
      <c r="BA75" s="89">
        <f>SUM(BB75:BD75)</f>
        <v>0</v>
      </c>
      <c r="BB75" s="89"/>
      <c r="BC75" s="89"/>
      <c r="BD75" s="89">
        <f>SUM(BE75:BH75)</f>
        <v>0</v>
      </c>
      <c r="BE75" s="89"/>
      <c r="BF75" s="89"/>
      <c r="BG75" s="89"/>
      <c r="BH75" s="89"/>
      <c r="BI75" s="631">
        <f>SUM(BJ75:BL75)</f>
        <v>0</v>
      </c>
      <c r="BJ75" s="631"/>
      <c r="BK75" s="631"/>
      <c r="BL75" s="631"/>
      <c r="BM75" s="631">
        <f t="shared" si="57"/>
        <v>0</v>
      </c>
      <c r="BN75" s="631"/>
      <c r="BO75" s="631"/>
      <c r="BP75" s="631"/>
      <c r="BQ75" s="631">
        <f t="shared" si="58"/>
        <v>0</v>
      </c>
      <c r="BR75" s="631"/>
      <c r="BS75" s="631"/>
      <c r="BT75" s="631"/>
      <c r="BU75" s="631"/>
      <c r="BV75" s="631"/>
      <c r="BW75" s="535">
        <v>2022</v>
      </c>
      <c r="BX75" s="42"/>
      <c r="BY75" s="42"/>
      <c r="BZ75" s="54"/>
      <c r="CA75" s="53"/>
      <c r="CB75" s="53"/>
      <c r="CC75" s="50"/>
      <c r="CD75" s="55" t="s">
        <v>442</v>
      </c>
      <c r="CE75" s="56"/>
      <c r="CF75" s="56"/>
    </row>
    <row r="76" spans="1:84" ht="57" outlineLevel="1">
      <c r="A76" s="628">
        <v>32</v>
      </c>
      <c r="B76" s="549" t="s">
        <v>538</v>
      </c>
      <c r="C76" s="535" t="s">
        <v>492</v>
      </c>
      <c r="D76" s="535" t="s">
        <v>322</v>
      </c>
      <c r="E76" s="535"/>
      <c r="F76" s="431"/>
      <c r="G76" s="541"/>
      <c r="H76" s="540"/>
      <c r="I76" s="535"/>
      <c r="J76" s="540"/>
      <c r="K76" s="535"/>
      <c r="L76" s="535"/>
      <c r="M76" s="87"/>
      <c r="N76" s="87"/>
      <c r="O76" s="87"/>
      <c r="P76" s="87"/>
      <c r="Q76" s="87"/>
      <c r="R76" s="88"/>
      <c r="S76" s="88"/>
      <c r="T76" s="88"/>
      <c r="U76" s="88"/>
      <c r="V76" s="88"/>
      <c r="W76" s="88">
        <f t="shared" si="43"/>
        <v>300</v>
      </c>
      <c r="X76" s="88"/>
      <c r="Y76" s="88"/>
      <c r="Z76" s="88">
        <f t="shared" si="44"/>
        <v>300</v>
      </c>
      <c r="AA76" s="88"/>
      <c r="AB76" s="88">
        <v>300</v>
      </c>
      <c r="AC76" s="88"/>
      <c r="AD76" s="88">
        <f t="shared" si="45"/>
        <v>300</v>
      </c>
      <c r="AE76" s="88"/>
      <c r="AF76" s="88"/>
      <c r="AG76" s="88">
        <f t="shared" si="46"/>
        <v>300</v>
      </c>
      <c r="AH76" s="88"/>
      <c r="AI76" s="88"/>
      <c r="AJ76" s="88">
        <v>300</v>
      </c>
      <c r="AK76" s="88"/>
      <c r="AL76" s="88">
        <f t="shared" si="47"/>
        <v>300</v>
      </c>
      <c r="AM76" s="88"/>
      <c r="AN76" s="88"/>
      <c r="AO76" s="88">
        <f t="shared" si="48"/>
        <v>300</v>
      </c>
      <c r="AP76" s="88"/>
      <c r="AQ76" s="88"/>
      <c r="AR76" s="88">
        <v>300</v>
      </c>
      <c r="AS76" s="88"/>
      <c r="AT76" s="88">
        <f t="shared" si="49"/>
        <v>0</v>
      </c>
      <c r="AU76" s="88"/>
      <c r="AV76" s="88"/>
      <c r="AW76" s="88"/>
      <c r="AX76" s="88"/>
      <c r="AY76" s="88"/>
      <c r="AZ76" s="88"/>
      <c r="BA76" s="89"/>
      <c r="BB76" s="89"/>
      <c r="BC76" s="89"/>
      <c r="BD76" s="89"/>
      <c r="BE76" s="89"/>
      <c r="BF76" s="89"/>
      <c r="BG76" s="89"/>
      <c r="BH76" s="89"/>
      <c r="BI76" s="631"/>
      <c r="BJ76" s="631"/>
      <c r="BK76" s="631"/>
      <c r="BL76" s="631"/>
      <c r="BM76" s="631"/>
      <c r="BN76" s="631"/>
      <c r="BO76" s="631"/>
      <c r="BP76" s="631"/>
      <c r="BQ76" s="631"/>
      <c r="BR76" s="631"/>
      <c r="BS76" s="631"/>
      <c r="BT76" s="631"/>
      <c r="BU76" s="631"/>
      <c r="BV76" s="631"/>
      <c r="BW76" s="535">
        <v>2022</v>
      </c>
      <c r="BX76" s="42"/>
      <c r="BY76" s="42"/>
      <c r="BZ76" s="40"/>
      <c r="CA76" s="39"/>
      <c r="CB76" s="39"/>
      <c r="CC76" s="80"/>
      <c r="CD76" s="51" t="s">
        <v>537</v>
      </c>
      <c r="CE76" s="52"/>
      <c r="CF76" s="52"/>
    </row>
    <row r="77" spans="1:84" ht="60.6" customHeight="1" outlineLevel="1">
      <c r="A77" s="628">
        <v>33</v>
      </c>
      <c r="B77" s="549" t="s">
        <v>527</v>
      </c>
      <c r="C77" s="535" t="s">
        <v>322</v>
      </c>
      <c r="D77" s="535" t="s">
        <v>322</v>
      </c>
      <c r="E77" s="535"/>
      <c r="F77" s="431"/>
      <c r="G77" s="541"/>
      <c r="H77" s="540"/>
      <c r="I77" s="535"/>
      <c r="J77" s="540"/>
      <c r="K77" s="535"/>
      <c r="L77" s="535"/>
      <c r="M77" s="87"/>
      <c r="N77" s="87"/>
      <c r="O77" s="87"/>
      <c r="P77" s="87"/>
      <c r="Q77" s="87"/>
      <c r="R77" s="88"/>
      <c r="S77" s="88"/>
      <c r="T77" s="88"/>
      <c r="U77" s="88"/>
      <c r="V77" s="88"/>
      <c r="W77" s="88">
        <f t="shared" si="43"/>
        <v>256.83950600000003</v>
      </c>
      <c r="X77" s="88"/>
      <c r="Y77" s="88"/>
      <c r="Z77" s="88">
        <f t="shared" si="44"/>
        <v>256.83950600000003</v>
      </c>
      <c r="AA77" s="88">
        <v>0</v>
      </c>
      <c r="AB77" s="88">
        <f>395.783-138.943494</f>
        <v>256.83950600000003</v>
      </c>
      <c r="AC77" s="88"/>
      <c r="AD77" s="88">
        <f t="shared" si="45"/>
        <v>256.83950600000003</v>
      </c>
      <c r="AE77" s="88"/>
      <c r="AF77" s="88"/>
      <c r="AG77" s="88">
        <f t="shared" si="46"/>
        <v>256.83950600000003</v>
      </c>
      <c r="AH77" s="88"/>
      <c r="AI77" s="88"/>
      <c r="AJ77" s="88">
        <f>395.783-138.943494</f>
        <v>256.83950600000003</v>
      </c>
      <c r="AK77" s="88"/>
      <c r="AL77" s="88">
        <f t="shared" si="47"/>
        <v>256.83950600000003</v>
      </c>
      <c r="AM77" s="88"/>
      <c r="AN77" s="88"/>
      <c r="AO77" s="88">
        <f t="shared" si="48"/>
        <v>256.83950600000003</v>
      </c>
      <c r="AP77" s="88"/>
      <c r="AQ77" s="88"/>
      <c r="AR77" s="88">
        <f>395.783-138.943494</f>
        <v>256.83950600000003</v>
      </c>
      <c r="AS77" s="88"/>
      <c r="AT77" s="88">
        <f t="shared" si="49"/>
        <v>0</v>
      </c>
      <c r="AU77" s="88"/>
      <c r="AV77" s="88"/>
      <c r="AW77" s="88">
        <f t="shared" ref="AW77" si="59">SUM(AX77:AZ77)</f>
        <v>0</v>
      </c>
      <c r="AX77" s="88"/>
      <c r="AY77" s="88"/>
      <c r="AZ77" s="88"/>
      <c r="BA77" s="89">
        <f t="shared" ref="BA77" si="60">SUM(BB77:BD77)</f>
        <v>0</v>
      </c>
      <c r="BB77" s="89"/>
      <c r="BC77" s="89"/>
      <c r="BD77" s="89">
        <f t="shared" ref="BD77" si="61">SUM(BE77:BH77)</f>
        <v>0</v>
      </c>
      <c r="BE77" s="89"/>
      <c r="BF77" s="89"/>
      <c r="BG77" s="89"/>
      <c r="BH77" s="89"/>
      <c r="BI77" s="631">
        <f t="shared" ref="BI77" si="62">SUM(BJ77:BL77)</f>
        <v>0</v>
      </c>
      <c r="BJ77" s="631"/>
      <c r="BK77" s="631"/>
      <c r="BL77" s="631"/>
      <c r="BM77" s="631">
        <f t="shared" ref="BM77" si="63">SUM(BN77:BP77)</f>
        <v>0</v>
      </c>
      <c r="BN77" s="631"/>
      <c r="BO77" s="631"/>
      <c r="BP77" s="631"/>
      <c r="BQ77" s="631">
        <f t="shared" ref="BQ77" si="64">SUM(BR77:BT77)</f>
        <v>0</v>
      </c>
      <c r="BR77" s="631"/>
      <c r="BS77" s="631"/>
      <c r="BT77" s="631"/>
      <c r="BU77" s="631"/>
      <c r="BV77" s="631"/>
      <c r="BW77" s="535">
        <v>2022</v>
      </c>
      <c r="BX77" s="42"/>
      <c r="BY77" s="42"/>
      <c r="BZ77" s="40"/>
      <c r="CA77" s="39"/>
      <c r="CB77" s="39"/>
      <c r="CC77" s="80"/>
      <c r="CD77" s="57" t="s">
        <v>539</v>
      </c>
      <c r="CE77" s="58"/>
      <c r="CF77" s="57" t="s">
        <v>540</v>
      </c>
    </row>
    <row r="78" spans="1:84" ht="48" customHeight="1">
      <c r="A78" s="553" t="s">
        <v>45</v>
      </c>
      <c r="B78" s="533" t="s">
        <v>57</v>
      </c>
      <c r="C78" s="533"/>
      <c r="D78" s="533"/>
      <c r="E78" s="533"/>
      <c r="F78" s="533"/>
      <c r="G78" s="533"/>
      <c r="H78" s="533"/>
      <c r="I78" s="533"/>
      <c r="J78" s="533"/>
      <c r="K78" s="533"/>
      <c r="L78" s="533"/>
      <c r="M78" s="636">
        <f t="shared" ref="M78:AR78" si="65">SUM(M79:M86)</f>
        <v>40020.843000000001</v>
      </c>
      <c r="N78" s="636">
        <f t="shared" si="65"/>
        <v>0</v>
      </c>
      <c r="O78" s="636">
        <f t="shared" si="65"/>
        <v>0</v>
      </c>
      <c r="P78" s="636">
        <f t="shared" si="65"/>
        <v>40020.843000000001</v>
      </c>
      <c r="Q78" s="636">
        <f t="shared" si="65"/>
        <v>0</v>
      </c>
      <c r="R78" s="636">
        <f t="shared" si="65"/>
        <v>0</v>
      </c>
      <c r="S78" s="636">
        <f t="shared" si="65"/>
        <v>0</v>
      </c>
      <c r="T78" s="636">
        <f t="shared" si="65"/>
        <v>0</v>
      </c>
      <c r="U78" s="636">
        <f t="shared" si="65"/>
        <v>0</v>
      </c>
      <c r="V78" s="636">
        <f t="shared" si="65"/>
        <v>0</v>
      </c>
      <c r="W78" s="636">
        <f t="shared" si="65"/>
        <v>30470.843000000001</v>
      </c>
      <c r="X78" s="636">
        <f t="shared" si="65"/>
        <v>0</v>
      </c>
      <c r="Y78" s="636">
        <f t="shared" si="65"/>
        <v>0</v>
      </c>
      <c r="Z78" s="636">
        <f t="shared" si="65"/>
        <v>29686.843000000001</v>
      </c>
      <c r="AA78" s="636">
        <f t="shared" si="65"/>
        <v>784</v>
      </c>
      <c r="AB78" s="636">
        <f t="shared" si="65"/>
        <v>29686.843000000001</v>
      </c>
      <c r="AC78" s="636">
        <f t="shared" si="65"/>
        <v>0</v>
      </c>
      <c r="AD78" s="636">
        <f t="shared" si="65"/>
        <v>1036</v>
      </c>
      <c r="AE78" s="636">
        <f t="shared" si="65"/>
        <v>0</v>
      </c>
      <c r="AF78" s="636">
        <f t="shared" si="65"/>
        <v>0</v>
      </c>
      <c r="AG78" s="636">
        <f t="shared" si="65"/>
        <v>1036</v>
      </c>
      <c r="AH78" s="636">
        <f t="shared" si="65"/>
        <v>784</v>
      </c>
      <c r="AI78" s="636">
        <f t="shared" si="65"/>
        <v>0</v>
      </c>
      <c r="AJ78" s="636">
        <f t="shared" si="65"/>
        <v>252</v>
      </c>
      <c r="AK78" s="636">
        <f t="shared" si="65"/>
        <v>0</v>
      </c>
      <c r="AL78" s="636">
        <f t="shared" si="65"/>
        <v>1036</v>
      </c>
      <c r="AM78" s="636">
        <f t="shared" si="65"/>
        <v>0</v>
      </c>
      <c r="AN78" s="636">
        <f t="shared" si="65"/>
        <v>0</v>
      </c>
      <c r="AO78" s="636">
        <f t="shared" si="65"/>
        <v>1036</v>
      </c>
      <c r="AP78" s="636">
        <f t="shared" si="65"/>
        <v>784</v>
      </c>
      <c r="AQ78" s="636">
        <f t="shared" si="65"/>
        <v>0</v>
      </c>
      <c r="AR78" s="636">
        <f t="shared" si="65"/>
        <v>252</v>
      </c>
      <c r="AS78" s="636">
        <f t="shared" ref="AS78:BV78" si="66">SUM(AS79:AS86)</f>
        <v>0</v>
      </c>
      <c r="AT78" s="636">
        <f t="shared" si="66"/>
        <v>0</v>
      </c>
      <c r="AU78" s="636">
        <f t="shared" si="66"/>
        <v>0</v>
      </c>
      <c r="AV78" s="636">
        <f t="shared" si="66"/>
        <v>0</v>
      </c>
      <c r="AW78" s="636">
        <f t="shared" si="66"/>
        <v>0</v>
      </c>
      <c r="AX78" s="636">
        <f t="shared" si="66"/>
        <v>0</v>
      </c>
      <c r="AY78" s="636">
        <f t="shared" si="66"/>
        <v>0</v>
      </c>
      <c r="AZ78" s="636">
        <f t="shared" si="66"/>
        <v>0</v>
      </c>
      <c r="BA78" s="636">
        <f t="shared" si="66"/>
        <v>0</v>
      </c>
      <c r="BB78" s="636">
        <f t="shared" si="66"/>
        <v>0</v>
      </c>
      <c r="BC78" s="636">
        <f t="shared" si="66"/>
        <v>0</v>
      </c>
      <c r="BD78" s="636">
        <f t="shared" si="66"/>
        <v>0</v>
      </c>
      <c r="BE78" s="636">
        <f t="shared" si="66"/>
        <v>0</v>
      </c>
      <c r="BF78" s="636">
        <f t="shared" si="66"/>
        <v>0</v>
      </c>
      <c r="BG78" s="636">
        <f t="shared" si="66"/>
        <v>0</v>
      </c>
      <c r="BH78" s="636">
        <f t="shared" si="66"/>
        <v>0</v>
      </c>
      <c r="BI78" s="636">
        <f t="shared" si="66"/>
        <v>0</v>
      </c>
      <c r="BJ78" s="636">
        <f t="shared" si="66"/>
        <v>0</v>
      </c>
      <c r="BK78" s="636">
        <f t="shared" si="66"/>
        <v>0</v>
      </c>
      <c r="BL78" s="636">
        <f t="shared" si="66"/>
        <v>0</v>
      </c>
      <c r="BM78" s="636">
        <f t="shared" si="66"/>
        <v>0</v>
      </c>
      <c r="BN78" s="636">
        <f t="shared" si="66"/>
        <v>0</v>
      </c>
      <c r="BO78" s="636">
        <f t="shared" si="66"/>
        <v>0</v>
      </c>
      <c r="BP78" s="636">
        <f t="shared" si="66"/>
        <v>0</v>
      </c>
      <c r="BQ78" s="636">
        <f t="shared" si="66"/>
        <v>0</v>
      </c>
      <c r="BR78" s="636">
        <f t="shared" si="66"/>
        <v>0</v>
      </c>
      <c r="BS78" s="636">
        <f t="shared" si="66"/>
        <v>0</v>
      </c>
      <c r="BT78" s="636">
        <f t="shared" si="66"/>
        <v>0</v>
      </c>
      <c r="BU78" s="636">
        <f t="shared" si="66"/>
        <v>0</v>
      </c>
      <c r="BV78" s="636">
        <f t="shared" si="66"/>
        <v>0</v>
      </c>
      <c r="BW78" s="533"/>
      <c r="BX78" s="43"/>
      <c r="BY78" s="43"/>
      <c r="BZ78" s="40"/>
      <c r="CA78" s="40"/>
      <c r="CB78" s="40"/>
    </row>
    <row r="79" spans="1:84" ht="48.75" customHeight="1" outlineLevel="1">
      <c r="A79" s="628">
        <v>1</v>
      </c>
      <c r="B79" s="549" t="s">
        <v>460</v>
      </c>
      <c r="C79" s="535" t="s">
        <v>324</v>
      </c>
      <c r="D79" s="541" t="s">
        <v>322</v>
      </c>
      <c r="E79" s="535" t="s">
        <v>49</v>
      </c>
      <c r="F79" s="431" t="s">
        <v>48</v>
      </c>
      <c r="G79" s="628" t="s">
        <v>325</v>
      </c>
      <c r="H79" s="540"/>
      <c r="I79" s="535" t="s">
        <v>461</v>
      </c>
      <c r="J79" s="540"/>
      <c r="K79" s="540" t="s">
        <v>462</v>
      </c>
      <c r="L79" s="535" t="s">
        <v>463</v>
      </c>
      <c r="M79" s="87">
        <v>4230</v>
      </c>
      <c r="N79" s="87"/>
      <c r="O79" s="87"/>
      <c r="P79" s="87">
        <v>4230</v>
      </c>
      <c r="Q79" s="87"/>
      <c r="R79" s="87" t="s">
        <v>325</v>
      </c>
      <c r="S79" s="88">
        <f t="shared" ref="S79:S86" si="67">SUM(T79:V79)</f>
        <v>0</v>
      </c>
      <c r="T79" s="88"/>
      <c r="U79" s="88"/>
      <c r="V79" s="88"/>
      <c r="W79" s="88">
        <f t="shared" ref="W79:W86" si="68">AA79+AB79+AC79</f>
        <v>200</v>
      </c>
      <c r="X79" s="88"/>
      <c r="Y79" s="88"/>
      <c r="Z79" s="88">
        <f t="shared" ref="Z79:Z86" si="69">SUM(AB79:AC79)</f>
        <v>0</v>
      </c>
      <c r="AA79" s="88">
        <v>200</v>
      </c>
      <c r="AB79" s="88"/>
      <c r="AC79" s="88"/>
      <c r="AD79" s="88">
        <f t="shared" ref="AD79:AD86" si="70">SUM(AE79:AG79)</f>
        <v>200</v>
      </c>
      <c r="AE79" s="88"/>
      <c r="AF79" s="88"/>
      <c r="AG79" s="88">
        <f t="shared" ref="AG79:AG86" si="71">SUM(AH79:AK79)</f>
        <v>200</v>
      </c>
      <c r="AH79" s="88">
        <v>200</v>
      </c>
      <c r="AI79" s="88"/>
      <c r="AJ79" s="88"/>
      <c r="AK79" s="88"/>
      <c r="AL79" s="88">
        <f t="shared" ref="AL79:AL86" si="72">SUM(AM79:AO79)</f>
        <v>200</v>
      </c>
      <c r="AM79" s="88"/>
      <c r="AN79" s="88"/>
      <c r="AO79" s="88">
        <f t="shared" ref="AO79:AO86" si="73">SUM(AP79:AS79)</f>
        <v>200</v>
      </c>
      <c r="AP79" s="88">
        <v>200</v>
      </c>
      <c r="AQ79" s="88"/>
      <c r="AR79" s="88"/>
      <c r="AS79" s="88"/>
      <c r="AT79" s="88">
        <f t="shared" ref="AT79:AT86" si="74">AX79+AY79+AZ79</f>
        <v>0</v>
      </c>
      <c r="AU79" s="88"/>
      <c r="AV79" s="88"/>
      <c r="AW79" s="88">
        <f t="shared" ref="AW79:AW86" si="75">SUM(AX79:AZ79)</f>
        <v>0</v>
      </c>
      <c r="AX79" s="88"/>
      <c r="AY79" s="88"/>
      <c r="AZ79" s="88"/>
      <c r="BA79" s="89">
        <f t="shared" ref="BA79:BA86" si="76">SUM(BB79:BD79)</f>
        <v>0</v>
      </c>
      <c r="BB79" s="89"/>
      <c r="BC79" s="89"/>
      <c r="BD79" s="89">
        <f t="shared" ref="BD79:BD86" si="77">SUM(BE79:BH79)</f>
        <v>0</v>
      </c>
      <c r="BE79" s="89"/>
      <c r="BF79" s="89"/>
      <c r="BG79" s="89"/>
      <c r="BH79" s="89"/>
      <c r="BI79" s="631">
        <f t="shared" ref="BI79:BI86" si="78">SUM(BJ79:BL79)</f>
        <v>0</v>
      </c>
      <c r="BJ79" s="631"/>
      <c r="BK79" s="631"/>
      <c r="BL79" s="631"/>
      <c r="BM79" s="631">
        <f t="shared" ref="BM79:BM86" si="79">SUM(BN79:BP79)</f>
        <v>0</v>
      </c>
      <c r="BN79" s="631"/>
      <c r="BO79" s="631"/>
      <c r="BP79" s="631"/>
      <c r="BQ79" s="631">
        <f t="shared" ref="BQ79:BQ86" si="80">SUM(BR79:BT79)</f>
        <v>0</v>
      </c>
      <c r="BR79" s="631"/>
      <c r="BS79" s="631"/>
      <c r="BT79" s="631"/>
      <c r="BU79" s="631"/>
      <c r="BV79" s="631"/>
      <c r="BW79" s="535"/>
      <c r="BX79" s="42">
        <v>200</v>
      </c>
      <c r="BY79" s="42"/>
      <c r="BZ79" s="36"/>
      <c r="CA79" s="35"/>
      <c r="CB79" s="35"/>
      <c r="CD79" s="28"/>
      <c r="CE79" s="28"/>
      <c r="CF79" s="28"/>
    </row>
    <row r="80" spans="1:84" ht="45" customHeight="1" outlineLevel="1">
      <c r="A80" s="628">
        <v>2</v>
      </c>
      <c r="B80" s="549" t="s">
        <v>464</v>
      </c>
      <c r="C80" s="535" t="s">
        <v>324</v>
      </c>
      <c r="D80" s="541" t="s">
        <v>322</v>
      </c>
      <c r="E80" s="535" t="s">
        <v>49</v>
      </c>
      <c r="F80" s="431" t="s">
        <v>48</v>
      </c>
      <c r="G80" s="628" t="s">
        <v>325</v>
      </c>
      <c r="H80" s="540"/>
      <c r="I80" s="535" t="s">
        <v>461</v>
      </c>
      <c r="J80" s="540"/>
      <c r="K80" s="540" t="s">
        <v>465</v>
      </c>
      <c r="L80" s="535" t="s">
        <v>466</v>
      </c>
      <c r="M80" s="87">
        <v>5957</v>
      </c>
      <c r="N80" s="87"/>
      <c r="O80" s="87"/>
      <c r="P80" s="87">
        <v>5957</v>
      </c>
      <c r="Q80" s="87"/>
      <c r="R80" s="87" t="s">
        <v>325</v>
      </c>
      <c r="S80" s="88">
        <f t="shared" si="67"/>
        <v>0</v>
      </c>
      <c r="T80" s="88">
        <v>0</v>
      </c>
      <c r="U80" s="88">
        <v>0</v>
      </c>
      <c r="V80" s="88">
        <v>0</v>
      </c>
      <c r="W80" s="88">
        <f t="shared" si="68"/>
        <v>5957</v>
      </c>
      <c r="X80" s="88"/>
      <c r="Y80" s="88"/>
      <c r="Z80" s="88">
        <f t="shared" si="69"/>
        <v>5757</v>
      </c>
      <c r="AA80" s="88">
        <v>200</v>
      </c>
      <c r="AB80" s="88">
        <v>5757</v>
      </c>
      <c r="AC80" s="88"/>
      <c r="AD80" s="88">
        <f t="shared" si="70"/>
        <v>200</v>
      </c>
      <c r="AE80" s="88"/>
      <c r="AF80" s="88"/>
      <c r="AG80" s="88">
        <f t="shared" si="71"/>
        <v>200</v>
      </c>
      <c r="AH80" s="88">
        <v>200</v>
      </c>
      <c r="AI80" s="88"/>
      <c r="AJ80" s="88"/>
      <c r="AK80" s="88"/>
      <c r="AL80" s="88">
        <f t="shared" si="72"/>
        <v>200</v>
      </c>
      <c r="AM80" s="88"/>
      <c r="AN80" s="88"/>
      <c r="AO80" s="88">
        <f t="shared" si="73"/>
        <v>200</v>
      </c>
      <c r="AP80" s="88">
        <v>200</v>
      </c>
      <c r="AQ80" s="88"/>
      <c r="AR80" s="88"/>
      <c r="AS80" s="88"/>
      <c r="AT80" s="88">
        <f t="shared" si="74"/>
        <v>0</v>
      </c>
      <c r="AU80" s="88"/>
      <c r="AV80" s="88"/>
      <c r="AW80" s="88">
        <f t="shared" si="75"/>
        <v>0</v>
      </c>
      <c r="AX80" s="88"/>
      <c r="AY80" s="88"/>
      <c r="AZ80" s="88"/>
      <c r="BA80" s="89">
        <f t="shared" si="76"/>
        <v>0</v>
      </c>
      <c r="BB80" s="89"/>
      <c r="BC80" s="89"/>
      <c r="BD80" s="89">
        <f t="shared" si="77"/>
        <v>0</v>
      </c>
      <c r="BE80" s="89"/>
      <c r="BF80" s="89"/>
      <c r="BG80" s="89"/>
      <c r="BH80" s="89"/>
      <c r="BI80" s="631">
        <f t="shared" si="78"/>
        <v>0</v>
      </c>
      <c r="BJ80" s="631"/>
      <c r="BK80" s="631"/>
      <c r="BL80" s="631"/>
      <c r="BM80" s="631">
        <f t="shared" si="79"/>
        <v>0</v>
      </c>
      <c r="BN80" s="631"/>
      <c r="BO80" s="631"/>
      <c r="BP80" s="631"/>
      <c r="BQ80" s="631">
        <f t="shared" si="80"/>
        <v>0</v>
      </c>
      <c r="BR80" s="631"/>
      <c r="BS80" s="631"/>
      <c r="BT80" s="631"/>
      <c r="BU80" s="631"/>
      <c r="BV80" s="631"/>
      <c r="BW80" s="535"/>
      <c r="BX80" s="42">
        <v>200</v>
      </c>
      <c r="BY80" s="42"/>
      <c r="BZ80" s="36"/>
      <c r="CA80" s="35"/>
      <c r="CB80" s="35"/>
      <c r="CD80" s="28"/>
      <c r="CE80" s="28"/>
      <c r="CF80" s="28"/>
    </row>
    <row r="81" spans="1:84" ht="46.5" customHeight="1" outlineLevel="1">
      <c r="A81" s="628">
        <v>3</v>
      </c>
      <c r="B81" s="549" t="s">
        <v>467</v>
      </c>
      <c r="C81" s="535" t="s">
        <v>324</v>
      </c>
      <c r="D81" s="541" t="s">
        <v>322</v>
      </c>
      <c r="E81" s="535" t="s">
        <v>49</v>
      </c>
      <c r="F81" s="431" t="s">
        <v>48</v>
      </c>
      <c r="G81" s="628" t="s">
        <v>325</v>
      </c>
      <c r="H81" s="540"/>
      <c r="I81" s="535" t="s">
        <v>461</v>
      </c>
      <c r="J81" s="540"/>
      <c r="K81" s="540" t="s">
        <v>468</v>
      </c>
      <c r="L81" s="535" t="s">
        <v>469</v>
      </c>
      <c r="M81" s="87">
        <v>1968</v>
      </c>
      <c r="N81" s="87"/>
      <c r="O81" s="87"/>
      <c r="P81" s="87">
        <v>1968</v>
      </c>
      <c r="Q81" s="87"/>
      <c r="R81" s="87" t="s">
        <v>325</v>
      </c>
      <c r="S81" s="88">
        <f t="shared" si="67"/>
        <v>0</v>
      </c>
      <c r="T81" s="88"/>
      <c r="U81" s="88"/>
      <c r="V81" s="88"/>
      <c r="W81" s="88">
        <f t="shared" si="68"/>
        <v>129</v>
      </c>
      <c r="X81" s="88"/>
      <c r="Y81" s="88"/>
      <c r="Z81" s="88">
        <f t="shared" si="69"/>
        <v>0</v>
      </c>
      <c r="AA81" s="88">
        <v>129</v>
      </c>
      <c r="AB81" s="88"/>
      <c r="AC81" s="88"/>
      <c r="AD81" s="88">
        <f t="shared" si="70"/>
        <v>129</v>
      </c>
      <c r="AE81" s="88"/>
      <c r="AF81" s="88"/>
      <c r="AG81" s="88">
        <f t="shared" si="71"/>
        <v>129</v>
      </c>
      <c r="AH81" s="88">
        <v>129</v>
      </c>
      <c r="AI81" s="88"/>
      <c r="AJ81" s="88"/>
      <c r="AK81" s="88"/>
      <c r="AL81" s="88">
        <f t="shared" si="72"/>
        <v>129</v>
      </c>
      <c r="AM81" s="88"/>
      <c r="AN81" s="88"/>
      <c r="AO81" s="88">
        <f t="shared" si="73"/>
        <v>129</v>
      </c>
      <c r="AP81" s="88">
        <v>129</v>
      </c>
      <c r="AQ81" s="88"/>
      <c r="AR81" s="88"/>
      <c r="AS81" s="88"/>
      <c r="AT81" s="88">
        <f t="shared" si="74"/>
        <v>0</v>
      </c>
      <c r="AU81" s="88"/>
      <c r="AV81" s="88"/>
      <c r="AW81" s="88">
        <f t="shared" si="75"/>
        <v>0</v>
      </c>
      <c r="AX81" s="88"/>
      <c r="AY81" s="88"/>
      <c r="AZ81" s="88"/>
      <c r="BA81" s="89">
        <f t="shared" si="76"/>
        <v>0</v>
      </c>
      <c r="BB81" s="89"/>
      <c r="BC81" s="89"/>
      <c r="BD81" s="89">
        <f t="shared" si="77"/>
        <v>0</v>
      </c>
      <c r="BE81" s="89"/>
      <c r="BF81" s="89"/>
      <c r="BG81" s="89"/>
      <c r="BH81" s="89"/>
      <c r="BI81" s="631">
        <f t="shared" si="78"/>
        <v>0</v>
      </c>
      <c r="BJ81" s="631"/>
      <c r="BK81" s="631"/>
      <c r="BL81" s="631"/>
      <c r="BM81" s="631">
        <f t="shared" si="79"/>
        <v>0</v>
      </c>
      <c r="BN81" s="631"/>
      <c r="BO81" s="631"/>
      <c r="BP81" s="631"/>
      <c r="BQ81" s="631">
        <f t="shared" si="80"/>
        <v>0</v>
      </c>
      <c r="BR81" s="631"/>
      <c r="BS81" s="631"/>
      <c r="BT81" s="631"/>
      <c r="BU81" s="631"/>
      <c r="BV81" s="631"/>
      <c r="BW81" s="535"/>
      <c r="BX81" s="42">
        <v>129</v>
      </c>
      <c r="BY81" s="42"/>
      <c r="BZ81" s="36"/>
      <c r="CA81" s="35"/>
      <c r="CB81" s="35"/>
      <c r="CD81" s="28"/>
      <c r="CE81" s="28"/>
      <c r="CF81" s="28"/>
    </row>
    <row r="82" spans="1:84" ht="43.5" customHeight="1" outlineLevel="1">
      <c r="A82" s="628">
        <v>4</v>
      </c>
      <c r="B82" s="549" t="s">
        <v>470</v>
      </c>
      <c r="C82" s="535" t="s">
        <v>324</v>
      </c>
      <c r="D82" s="541" t="s">
        <v>322</v>
      </c>
      <c r="E82" s="535" t="s">
        <v>49</v>
      </c>
      <c r="F82" s="431" t="s">
        <v>48</v>
      </c>
      <c r="G82" s="628" t="s">
        <v>325</v>
      </c>
      <c r="H82" s="540"/>
      <c r="I82" s="535" t="s">
        <v>461</v>
      </c>
      <c r="J82" s="540"/>
      <c r="K82" s="540" t="s">
        <v>471</v>
      </c>
      <c r="L82" s="535" t="s">
        <v>472</v>
      </c>
      <c r="M82" s="87">
        <v>1968</v>
      </c>
      <c r="N82" s="87"/>
      <c r="O82" s="87"/>
      <c r="P82" s="87">
        <v>1968</v>
      </c>
      <c r="Q82" s="87"/>
      <c r="R82" s="87" t="s">
        <v>325</v>
      </c>
      <c r="S82" s="88">
        <f t="shared" si="67"/>
        <v>0</v>
      </c>
      <c r="T82" s="88"/>
      <c r="U82" s="88"/>
      <c r="V82" s="88"/>
      <c r="W82" s="88">
        <f t="shared" si="68"/>
        <v>127</v>
      </c>
      <c r="X82" s="88"/>
      <c r="Y82" s="88"/>
      <c r="Z82" s="88">
        <f t="shared" si="69"/>
        <v>0</v>
      </c>
      <c r="AA82" s="88">
        <v>127</v>
      </c>
      <c r="AB82" s="88"/>
      <c r="AC82" s="88"/>
      <c r="AD82" s="88">
        <f t="shared" si="70"/>
        <v>127</v>
      </c>
      <c r="AE82" s="88"/>
      <c r="AF82" s="88"/>
      <c r="AG82" s="88">
        <f t="shared" si="71"/>
        <v>127</v>
      </c>
      <c r="AH82" s="88">
        <v>127</v>
      </c>
      <c r="AI82" s="88"/>
      <c r="AJ82" s="88"/>
      <c r="AK82" s="88"/>
      <c r="AL82" s="88">
        <f t="shared" si="72"/>
        <v>127</v>
      </c>
      <c r="AM82" s="88"/>
      <c r="AN82" s="88"/>
      <c r="AO82" s="88">
        <f t="shared" si="73"/>
        <v>127</v>
      </c>
      <c r="AP82" s="88">
        <v>127</v>
      </c>
      <c r="AQ82" s="88"/>
      <c r="AR82" s="88"/>
      <c r="AS82" s="88"/>
      <c r="AT82" s="88">
        <f t="shared" si="74"/>
        <v>0</v>
      </c>
      <c r="AU82" s="88"/>
      <c r="AV82" s="88"/>
      <c r="AW82" s="88">
        <f t="shared" si="75"/>
        <v>0</v>
      </c>
      <c r="AX82" s="88"/>
      <c r="AY82" s="88"/>
      <c r="AZ82" s="88"/>
      <c r="BA82" s="89">
        <f t="shared" si="76"/>
        <v>0</v>
      </c>
      <c r="BB82" s="89"/>
      <c r="BC82" s="89"/>
      <c r="BD82" s="89">
        <f t="shared" si="77"/>
        <v>0</v>
      </c>
      <c r="BE82" s="89"/>
      <c r="BF82" s="89"/>
      <c r="BG82" s="89"/>
      <c r="BH82" s="89"/>
      <c r="BI82" s="631">
        <f t="shared" si="78"/>
        <v>0</v>
      </c>
      <c r="BJ82" s="631"/>
      <c r="BK82" s="631"/>
      <c r="BL82" s="631"/>
      <c r="BM82" s="631">
        <f t="shared" si="79"/>
        <v>0</v>
      </c>
      <c r="BN82" s="631"/>
      <c r="BO82" s="631"/>
      <c r="BP82" s="631"/>
      <c r="BQ82" s="631">
        <f t="shared" si="80"/>
        <v>0</v>
      </c>
      <c r="BR82" s="631"/>
      <c r="BS82" s="631"/>
      <c r="BT82" s="631"/>
      <c r="BU82" s="631"/>
      <c r="BV82" s="631"/>
      <c r="BW82" s="535"/>
      <c r="BX82" s="42">
        <v>127</v>
      </c>
      <c r="BY82" s="42"/>
      <c r="BZ82" s="36"/>
      <c r="CA82" s="35"/>
      <c r="CB82" s="35"/>
      <c r="CD82" s="28"/>
      <c r="CE82" s="28"/>
      <c r="CF82" s="28"/>
    </row>
    <row r="83" spans="1:84" ht="49.5" customHeight="1" outlineLevel="1">
      <c r="A83" s="628">
        <v>5</v>
      </c>
      <c r="B83" s="549" t="s">
        <v>473</v>
      </c>
      <c r="C83" s="535" t="s">
        <v>324</v>
      </c>
      <c r="D83" s="541" t="s">
        <v>322</v>
      </c>
      <c r="E83" s="535" t="s">
        <v>49</v>
      </c>
      <c r="F83" s="431" t="s">
        <v>48</v>
      </c>
      <c r="G83" s="628" t="s">
        <v>325</v>
      </c>
      <c r="H83" s="540"/>
      <c r="I83" s="535" t="s">
        <v>461</v>
      </c>
      <c r="J83" s="540"/>
      <c r="K83" s="540" t="s">
        <v>474</v>
      </c>
      <c r="L83" s="535" t="s">
        <v>475</v>
      </c>
      <c r="M83" s="87">
        <v>1968</v>
      </c>
      <c r="N83" s="87"/>
      <c r="O83" s="87"/>
      <c r="P83" s="87">
        <v>1968</v>
      </c>
      <c r="Q83" s="87"/>
      <c r="R83" s="87" t="s">
        <v>325</v>
      </c>
      <c r="S83" s="88">
        <f t="shared" si="67"/>
        <v>0</v>
      </c>
      <c r="T83" s="88"/>
      <c r="U83" s="88"/>
      <c r="V83" s="88"/>
      <c r="W83" s="88">
        <f t="shared" si="68"/>
        <v>128</v>
      </c>
      <c r="X83" s="88"/>
      <c r="Y83" s="88"/>
      <c r="Z83" s="88">
        <f t="shared" si="69"/>
        <v>0</v>
      </c>
      <c r="AA83" s="88">
        <v>128</v>
      </c>
      <c r="AB83" s="88"/>
      <c r="AC83" s="88"/>
      <c r="AD83" s="88">
        <f t="shared" si="70"/>
        <v>128</v>
      </c>
      <c r="AE83" s="88"/>
      <c r="AF83" s="88"/>
      <c r="AG83" s="88">
        <f t="shared" si="71"/>
        <v>128</v>
      </c>
      <c r="AH83" s="88">
        <v>128</v>
      </c>
      <c r="AI83" s="88"/>
      <c r="AJ83" s="88"/>
      <c r="AK83" s="88"/>
      <c r="AL83" s="88">
        <f t="shared" si="72"/>
        <v>128</v>
      </c>
      <c r="AM83" s="88"/>
      <c r="AN83" s="88"/>
      <c r="AO83" s="88">
        <f t="shared" si="73"/>
        <v>128</v>
      </c>
      <c r="AP83" s="88">
        <v>128</v>
      </c>
      <c r="AQ83" s="88"/>
      <c r="AR83" s="88"/>
      <c r="AS83" s="88"/>
      <c r="AT83" s="88">
        <f t="shared" si="74"/>
        <v>0</v>
      </c>
      <c r="AU83" s="88"/>
      <c r="AV83" s="88"/>
      <c r="AW83" s="88">
        <f t="shared" si="75"/>
        <v>0</v>
      </c>
      <c r="AX83" s="88"/>
      <c r="AY83" s="88"/>
      <c r="AZ83" s="88"/>
      <c r="BA83" s="89">
        <f t="shared" si="76"/>
        <v>0</v>
      </c>
      <c r="BB83" s="89"/>
      <c r="BC83" s="89"/>
      <c r="BD83" s="89">
        <f t="shared" si="77"/>
        <v>0</v>
      </c>
      <c r="BE83" s="89"/>
      <c r="BF83" s="89"/>
      <c r="BG83" s="89"/>
      <c r="BH83" s="89"/>
      <c r="BI83" s="631">
        <f t="shared" si="78"/>
        <v>0</v>
      </c>
      <c r="BJ83" s="631"/>
      <c r="BK83" s="631"/>
      <c r="BL83" s="631"/>
      <c r="BM83" s="631">
        <f t="shared" si="79"/>
        <v>0</v>
      </c>
      <c r="BN83" s="631"/>
      <c r="BO83" s="631"/>
      <c r="BP83" s="631"/>
      <c r="BQ83" s="631">
        <f t="shared" si="80"/>
        <v>0</v>
      </c>
      <c r="BR83" s="631"/>
      <c r="BS83" s="631"/>
      <c r="BT83" s="631"/>
      <c r="BU83" s="631"/>
      <c r="BV83" s="631"/>
      <c r="BW83" s="535"/>
      <c r="BX83" s="42">
        <v>128</v>
      </c>
      <c r="BY83" s="42"/>
      <c r="BZ83" s="36"/>
      <c r="CA83" s="35"/>
      <c r="CB83" s="35"/>
      <c r="CD83" s="28"/>
      <c r="CE83" s="28"/>
      <c r="CF83" s="28"/>
    </row>
    <row r="84" spans="1:84" ht="62.25" customHeight="1" outlineLevel="1">
      <c r="A84" s="628">
        <v>6</v>
      </c>
      <c r="B84" s="549" t="s">
        <v>476</v>
      </c>
      <c r="C84" s="535" t="s">
        <v>324</v>
      </c>
      <c r="D84" s="541" t="s">
        <v>322</v>
      </c>
      <c r="E84" s="535" t="s">
        <v>49</v>
      </c>
      <c r="F84" s="431" t="s">
        <v>55</v>
      </c>
      <c r="G84" s="628" t="s">
        <v>325</v>
      </c>
      <c r="H84" s="540"/>
      <c r="I84" s="535" t="s">
        <v>477</v>
      </c>
      <c r="J84" s="540"/>
      <c r="K84" s="540" t="s">
        <v>478</v>
      </c>
      <c r="L84" s="535" t="s">
        <v>479</v>
      </c>
      <c r="M84" s="87">
        <v>4000</v>
      </c>
      <c r="N84" s="87"/>
      <c r="O84" s="87"/>
      <c r="P84" s="87">
        <v>4000</v>
      </c>
      <c r="Q84" s="87"/>
      <c r="R84" s="87" t="s">
        <v>325</v>
      </c>
      <c r="S84" s="88">
        <f t="shared" si="67"/>
        <v>0</v>
      </c>
      <c r="T84" s="88"/>
      <c r="U84" s="88"/>
      <c r="V84" s="88"/>
      <c r="W84" s="88">
        <f t="shared" si="68"/>
        <v>4000</v>
      </c>
      <c r="X84" s="88"/>
      <c r="Y84" s="88"/>
      <c r="Z84" s="88">
        <f t="shared" si="69"/>
        <v>4000</v>
      </c>
      <c r="AA84" s="88">
        <v>0</v>
      </c>
      <c r="AB84" s="88">
        <f>174+3826</f>
        <v>4000</v>
      </c>
      <c r="AC84" s="88"/>
      <c r="AD84" s="88">
        <f t="shared" si="70"/>
        <v>174</v>
      </c>
      <c r="AE84" s="88"/>
      <c r="AF84" s="88"/>
      <c r="AG84" s="88">
        <f t="shared" si="71"/>
        <v>174</v>
      </c>
      <c r="AH84" s="88"/>
      <c r="AI84" s="88"/>
      <c r="AJ84" s="88">
        <v>174</v>
      </c>
      <c r="AK84" s="88"/>
      <c r="AL84" s="88">
        <f t="shared" si="72"/>
        <v>174</v>
      </c>
      <c r="AM84" s="88"/>
      <c r="AN84" s="88"/>
      <c r="AO84" s="88">
        <f t="shared" si="73"/>
        <v>174</v>
      </c>
      <c r="AP84" s="88"/>
      <c r="AQ84" s="88"/>
      <c r="AR84" s="88">
        <v>174</v>
      </c>
      <c r="AS84" s="88"/>
      <c r="AT84" s="88">
        <f t="shared" si="74"/>
        <v>0</v>
      </c>
      <c r="AU84" s="88"/>
      <c r="AV84" s="88"/>
      <c r="AW84" s="88">
        <f t="shared" si="75"/>
        <v>0</v>
      </c>
      <c r="AX84" s="88"/>
      <c r="AY84" s="88"/>
      <c r="AZ84" s="88"/>
      <c r="BA84" s="89">
        <f t="shared" si="76"/>
        <v>0</v>
      </c>
      <c r="BB84" s="89"/>
      <c r="BC84" s="89"/>
      <c r="BD84" s="89">
        <f t="shared" si="77"/>
        <v>0</v>
      </c>
      <c r="BE84" s="89"/>
      <c r="BF84" s="89"/>
      <c r="BG84" s="89"/>
      <c r="BH84" s="89"/>
      <c r="BI84" s="631">
        <f t="shared" si="78"/>
        <v>0</v>
      </c>
      <c r="BJ84" s="631"/>
      <c r="BK84" s="631"/>
      <c r="BL84" s="631"/>
      <c r="BM84" s="631">
        <f t="shared" si="79"/>
        <v>0</v>
      </c>
      <c r="BN84" s="631"/>
      <c r="BO84" s="631"/>
      <c r="BP84" s="631"/>
      <c r="BQ84" s="631">
        <f t="shared" si="80"/>
        <v>0</v>
      </c>
      <c r="BR84" s="631"/>
      <c r="BS84" s="631"/>
      <c r="BT84" s="631"/>
      <c r="BU84" s="631"/>
      <c r="BV84" s="631"/>
      <c r="BW84" s="535"/>
      <c r="BX84" s="42"/>
      <c r="BY84" s="42"/>
      <c r="BZ84" s="36"/>
      <c r="CA84" s="35"/>
      <c r="CB84" s="35"/>
      <c r="CD84" s="28"/>
      <c r="CE84" s="28"/>
      <c r="CF84" s="28"/>
    </row>
    <row r="85" spans="1:84" ht="47.25" customHeight="1" outlineLevel="1">
      <c r="A85" s="628">
        <v>7</v>
      </c>
      <c r="B85" s="549" t="s">
        <v>480</v>
      </c>
      <c r="C85" s="535" t="s">
        <v>324</v>
      </c>
      <c r="D85" s="541" t="s">
        <v>322</v>
      </c>
      <c r="E85" s="535" t="s">
        <v>49</v>
      </c>
      <c r="F85" s="431" t="s">
        <v>481</v>
      </c>
      <c r="G85" s="628" t="s">
        <v>325</v>
      </c>
      <c r="H85" s="540"/>
      <c r="I85" s="535" t="s">
        <v>477</v>
      </c>
      <c r="J85" s="540"/>
      <c r="K85" s="535" t="s">
        <v>482</v>
      </c>
      <c r="L85" s="535" t="s">
        <v>483</v>
      </c>
      <c r="M85" s="87">
        <v>7929.8429999999998</v>
      </c>
      <c r="N85" s="87"/>
      <c r="O85" s="87"/>
      <c r="P85" s="87">
        <v>7929.8429999999998</v>
      </c>
      <c r="Q85" s="87"/>
      <c r="R85" s="87" t="s">
        <v>325</v>
      </c>
      <c r="S85" s="88">
        <f t="shared" si="67"/>
        <v>0</v>
      </c>
      <c r="T85" s="88"/>
      <c r="U85" s="88"/>
      <c r="V85" s="88"/>
      <c r="W85" s="88">
        <f t="shared" si="68"/>
        <v>7929.8429999999998</v>
      </c>
      <c r="X85" s="88"/>
      <c r="Y85" s="88"/>
      <c r="Z85" s="88">
        <f t="shared" si="69"/>
        <v>7929.8429999999998</v>
      </c>
      <c r="AA85" s="88">
        <v>0</v>
      </c>
      <c r="AB85" s="88">
        <v>7929.8429999999998</v>
      </c>
      <c r="AC85" s="88"/>
      <c r="AD85" s="88">
        <f t="shared" si="70"/>
        <v>78</v>
      </c>
      <c r="AE85" s="88"/>
      <c r="AF85" s="88"/>
      <c r="AG85" s="88">
        <f t="shared" si="71"/>
        <v>78</v>
      </c>
      <c r="AH85" s="88"/>
      <c r="AI85" s="88"/>
      <c r="AJ85" s="88">
        <v>78</v>
      </c>
      <c r="AK85" s="88"/>
      <c r="AL85" s="88">
        <f t="shared" si="72"/>
        <v>78</v>
      </c>
      <c r="AM85" s="88"/>
      <c r="AN85" s="88"/>
      <c r="AO85" s="88">
        <f t="shared" si="73"/>
        <v>78</v>
      </c>
      <c r="AP85" s="88"/>
      <c r="AQ85" s="88"/>
      <c r="AR85" s="88">
        <v>78</v>
      </c>
      <c r="AS85" s="88"/>
      <c r="AT85" s="88">
        <f t="shared" si="74"/>
        <v>0</v>
      </c>
      <c r="AU85" s="88"/>
      <c r="AV85" s="88"/>
      <c r="AW85" s="88">
        <f t="shared" si="75"/>
        <v>0</v>
      </c>
      <c r="AX85" s="88"/>
      <c r="AY85" s="88"/>
      <c r="AZ85" s="88"/>
      <c r="BA85" s="89">
        <f t="shared" si="76"/>
        <v>0</v>
      </c>
      <c r="BB85" s="89"/>
      <c r="BC85" s="89"/>
      <c r="BD85" s="89">
        <f t="shared" si="77"/>
        <v>0</v>
      </c>
      <c r="BE85" s="89"/>
      <c r="BF85" s="89"/>
      <c r="BG85" s="89"/>
      <c r="BH85" s="89"/>
      <c r="BI85" s="631">
        <f t="shared" si="78"/>
        <v>0</v>
      </c>
      <c r="BJ85" s="631"/>
      <c r="BK85" s="631"/>
      <c r="BL85" s="631"/>
      <c r="BM85" s="631">
        <f t="shared" si="79"/>
        <v>0</v>
      </c>
      <c r="BN85" s="631"/>
      <c r="BO85" s="631"/>
      <c r="BP85" s="631"/>
      <c r="BQ85" s="631">
        <f t="shared" si="80"/>
        <v>0</v>
      </c>
      <c r="BR85" s="631"/>
      <c r="BS85" s="631"/>
      <c r="BT85" s="631"/>
      <c r="BU85" s="631"/>
      <c r="BV85" s="631"/>
      <c r="BW85" s="535"/>
      <c r="BX85" s="42"/>
      <c r="BY85" s="42"/>
      <c r="BZ85" s="36"/>
      <c r="CA85" s="35"/>
      <c r="CB85" s="35"/>
      <c r="CD85" s="28"/>
      <c r="CE85" s="28"/>
      <c r="CF85" s="28"/>
    </row>
    <row r="86" spans="1:84" ht="48" customHeight="1" outlineLevel="1">
      <c r="A86" s="628">
        <v>8</v>
      </c>
      <c r="B86" s="549" t="s">
        <v>484</v>
      </c>
      <c r="C86" s="535" t="s">
        <v>324</v>
      </c>
      <c r="D86" s="541" t="s">
        <v>322</v>
      </c>
      <c r="E86" s="535" t="s">
        <v>49</v>
      </c>
      <c r="F86" s="431" t="s">
        <v>48</v>
      </c>
      <c r="G86" s="628" t="s">
        <v>325</v>
      </c>
      <c r="H86" s="540"/>
      <c r="I86" s="535" t="s">
        <v>485</v>
      </c>
      <c r="J86" s="540"/>
      <c r="K86" s="540" t="s">
        <v>486</v>
      </c>
      <c r="L86" s="535" t="s">
        <v>487</v>
      </c>
      <c r="M86" s="87">
        <v>12000</v>
      </c>
      <c r="N86" s="87"/>
      <c r="O86" s="87"/>
      <c r="P86" s="87">
        <v>12000</v>
      </c>
      <c r="Q86" s="87"/>
      <c r="R86" s="87" t="s">
        <v>325</v>
      </c>
      <c r="S86" s="88">
        <f t="shared" si="67"/>
        <v>0</v>
      </c>
      <c r="T86" s="88"/>
      <c r="U86" s="88"/>
      <c r="V86" s="88"/>
      <c r="W86" s="88">
        <f t="shared" si="68"/>
        <v>12000</v>
      </c>
      <c r="X86" s="88"/>
      <c r="Y86" s="88"/>
      <c r="Z86" s="88">
        <f t="shared" si="69"/>
        <v>12000</v>
      </c>
      <c r="AA86" s="88">
        <v>0</v>
      </c>
      <c r="AB86" s="88">
        <v>12000</v>
      </c>
      <c r="AC86" s="88"/>
      <c r="AD86" s="88">
        <f t="shared" si="70"/>
        <v>0</v>
      </c>
      <c r="AE86" s="88"/>
      <c r="AF86" s="88"/>
      <c r="AG86" s="88">
        <f t="shared" si="71"/>
        <v>0</v>
      </c>
      <c r="AH86" s="88"/>
      <c r="AI86" s="88"/>
      <c r="AJ86" s="88"/>
      <c r="AK86" s="88"/>
      <c r="AL86" s="88">
        <f t="shared" si="72"/>
        <v>0</v>
      </c>
      <c r="AM86" s="88"/>
      <c r="AN86" s="88"/>
      <c r="AO86" s="88">
        <f t="shared" si="73"/>
        <v>0</v>
      </c>
      <c r="AP86" s="88"/>
      <c r="AQ86" s="88"/>
      <c r="AR86" s="88"/>
      <c r="AS86" s="88"/>
      <c r="AT86" s="88">
        <f t="shared" si="74"/>
        <v>0</v>
      </c>
      <c r="AU86" s="88"/>
      <c r="AV86" s="88"/>
      <c r="AW86" s="88">
        <f t="shared" si="75"/>
        <v>0</v>
      </c>
      <c r="AX86" s="88"/>
      <c r="AY86" s="88"/>
      <c r="AZ86" s="88"/>
      <c r="BA86" s="89">
        <f t="shared" si="76"/>
        <v>0</v>
      </c>
      <c r="BB86" s="89"/>
      <c r="BC86" s="89"/>
      <c r="BD86" s="89">
        <f t="shared" si="77"/>
        <v>0</v>
      </c>
      <c r="BE86" s="89"/>
      <c r="BF86" s="89"/>
      <c r="BG86" s="89"/>
      <c r="BH86" s="89"/>
      <c r="BI86" s="631">
        <f t="shared" si="78"/>
        <v>0</v>
      </c>
      <c r="BJ86" s="631"/>
      <c r="BK86" s="631"/>
      <c r="BL86" s="631"/>
      <c r="BM86" s="631">
        <f t="shared" si="79"/>
        <v>0</v>
      </c>
      <c r="BN86" s="631"/>
      <c r="BO86" s="631"/>
      <c r="BP86" s="631"/>
      <c r="BQ86" s="631">
        <f t="shared" si="80"/>
        <v>0</v>
      </c>
      <c r="BR86" s="631"/>
      <c r="BS86" s="631"/>
      <c r="BT86" s="631"/>
      <c r="BU86" s="631" t="s">
        <v>488</v>
      </c>
      <c r="BV86" s="631"/>
      <c r="BW86" s="535" t="s">
        <v>489</v>
      </c>
      <c r="BX86" s="42"/>
      <c r="BY86" s="42"/>
      <c r="BZ86" s="36"/>
      <c r="CA86" s="35"/>
      <c r="CB86" s="35"/>
      <c r="CD86" s="28"/>
      <c r="CE86" s="28"/>
      <c r="CF86" s="28"/>
    </row>
    <row r="87" spans="1:84" ht="37.5" customHeight="1">
      <c r="A87" s="536" t="s">
        <v>13</v>
      </c>
      <c r="B87" s="633" t="s">
        <v>490</v>
      </c>
      <c r="C87" s="634"/>
      <c r="D87" s="634"/>
      <c r="E87" s="634"/>
      <c r="F87" s="634"/>
      <c r="G87" s="634"/>
      <c r="H87" s="634"/>
      <c r="I87" s="634"/>
      <c r="J87" s="634"/>
      <c r="K87" s="634"/>
      <c r="L87" s="634"/>
      <c r="M87" s="635">
        <f>M88+M90+M99</f>
        <v>121098.41899999999</v>
      </c>
      <c r="N87" s="635">
        <f t="shared" ref="N87:BV87" si="81">N88+N90+N99</f>
        <v>0</v>
      </c>
      <c r="O87" s="635">
        <f t="shared" si="81"/>
        <v>70000</v>
      </c>
      <c r="P87" s="635">
        <f t="shared" si="81"/>
        <v>54999.865098000002</v>
      </c>
      <c r="Q87" s="635" t="e">
        <f t="shared" si="81"/>
        <v>#VALUE!</v>
      </c>
      <c r="R87" s="635" t="e">
        <f t="shared" si="81"/>
        <v>#VALUE!</v>
      </c>
      <c r="S87" s="635">
        <f t="shared" si="81"/>
        <v>11237.503000000001</v>
      </c>
      <c r="T87" s="635">
        <f t="shared" si="81"/>
        <v>7719.9989999999998</v>
      </c>
      <c r="U87" s="635">
        <f t="shared" si="81"/>
        <v>0</v>
      </c>
      <c r="V87" s="635">
        <f t="shared" si="81"/>
        <v>3517.5039999999999</v>
      </c>
      <c r="W87" s="635">
        <f t="shared" si="81"/>
        <v>50007.361097999994</v>
      </c>
      <c r="X87" s="635">
        <f t="shared" si="81"/>
        <v>0</v>
      </c>
      <c r="Y87" s="635">
        <f t="shared" si="81"/>
        <v>70000</v>
      </c>
      <c r="Z87" s="635">
        <f t="shared" si="81"/>
        <v>50007.361097999994</v>
      </c>
      <c r="AA87" s="635">
        <f t="shared" si="81"/>
        <v>9932.3859929999999</v>
      </c>
      <c r="AB87" s="635">
        <f t="shared" si="81"/>
        <v>40074.975104999998</v>
      </c>
      <c r="AC87" s="635">
        <f t="shared" si="81"/>
        <v>0</v>
      </c>
      <c r="AD87" s="635">
        <f t="shared" si="81"/>
        <v>15750.246098</v>
      </c>
      <c r="AE87" s="635">
        <f t="shared" si="81"/>
        <v>0</v>
      </c>
      <c r="AF87" s="635">
        <f t="shared" si="81"/>
        <v>0</v>
      </c>
      <c r="AG87" s="635">
        <f t="shared" si="81"/>
        <v>15750.246098</v>
      </c>
      <c r="AH87" s="635">
        <f t="shared" si="81"/>
        <v>8192.19</v>
      </c>
      <c r="AI87" s="635">
        <f t="shared" si="81"/>
        <v>1740.1959929999998</v>
      </c>
      <c r="AJ87" s="635">
        <f t="shared" si="81"/>
        <v>5817.8601049999997</v>
      </c>
      <c r="AK87" s="635">
        <f t="shared" si="81"/>
        <v>0</v>
      </c>
      <c r="AL87" s="635">
        <f t="shared" si="81"/>
        <v>15731.613097999998</v>
      </c>
      <c r="AM87" s="635">
        <f t="shared" si="81"/>
        <v>0</v>
      </c>
      <c r="AN87" s="635">
        <f t="shared" si="81"/>
        <v>0</v>
      </c>
      <c r="AO87" s="635">
        <f t="shared" si="81"/>
        <v>15731.613097999998</v>
      </c>
      <c r="AP87" s="635">
        <f t="shared" si="81"/>
        <v>8177.8899999999994</v>
      </c>
      <c r="AQ87" s="635">
        <f t="shared" si="81"/>
        <v>1740.1959929999998</v>
      </c>
      <c r="AR87" s="635">
        <f t="shared" si="81"/>
        <v>5813.5271050000001</v>
      </c>
      <c r="AS87" s="635">
        <f t="shared" si="81"/>
        <v>0</v>
      </c>
      <c r="AT87" s="635">
        <f t="shared" si="81"/>
        <v>0</v>
      </c>
      <c r="AU87" s="635">
        <f t="shared" si="81"/>
        <v>0</v>
      </c>
      <c r="AV87" s="635">
        <f t="shared" si="81"/>
        <v>0</v>
      </c>
      <c r="AW87" s="635">
        <f t="shared" si="81"/>
        <v>0</v>
      </c>
      <c r="AX87" s="635">
        <f t="shared" si="81"/>
        <v>0</v>
      </c>
      <c r="AY87" s="635">
        <f t="shared" si="81"/>
        <v>0</v>
      </c>
      <c r="AZ87" s="635">
        <f t="shared" si="81"/>
        <v>0</v>
      </c>
      <c r="BA87" s="635">
        <f t="shared" si="81"/>
        <v>0</v>
      </c>
      <c r="BB87" s="635">
        <f t="shared" si="81"/>
        <v>0</v>
      </c>
      <c r="BC87" s="635">
        <f t="shared" si="81"/>
        <v>0</v>
      </c>
      <c r="BD87" s="635">
        <f t="shared" si="81"/>
        <v>0</v>
      </c>
      <c r="BE87" s="635">
        <f t="shared" si="81"/>
        <v>0</v>
      </c>
      <c r="BF87" s="635">
        <f t="shared" si="81"/>
        <v>0</v>
      </c>
      <c r="BG87" s="635">
        <f t="shared" si="81"/>
        <v>0</v>
      </c>
      <c r="BH87" s="635">
        <f t="shared" si="81"/>
        <v>0</v>
      </c>
      <c r="BI87" s="635">
        <f t="shared" si="81"/>
        <v>1.4</v>
      </c>
      <c r="BJ87" s="635">
        <f t="shared" si="81"/>
        <v>0</v>
      </c>
      <c r="BK87" s="635">
        <f t="shared" si="81"/>
        <v>0</v>
      </c>
      <c r="BL87" s="635">
        <f t="shared" si="81"/>
        <v>1.4</v>
      </c>
      <c r="BM87" s="635">
        <f t="shared" si="81"/>
        <v>1.4</v>
      </c>
      <c r="BN87" s="635">
        <f t="shared" si="81"/>
        <v>0</v>
      </c>
      <c r="BO87" s="635">
        <f t="shared" si="81"/>
        <v>0</v>
      </c>
      <c r="BP87" s="635">
        <f t="shared" si="81"/>
        <v>1.4</v>
      </c>
      <c r="BQ87" s="635">
        <f t="shared" si="81"/>
        <v>104248</v>
      </c>
      <c r="BR87" s="635">
        <f t="shared" si="81"/>
        <v>0</v>
      </c>
      <c r="BS87" s="635">
        <f t="shared" si="81"/>
        <v>104248</v>
      </c>
      <c r="BT87" s="635">
        <f t="shared" si="81"/>
        <v>0</v>
      </c>
      <c r="BU87" s="635">
        <f t="shared" si="81"/>
        <v>0</v>
      </c>
      <c r="BV87" s="635">
        <f t="shared" si="81"/>
        <v>1.4</v>
      </c>
      <c r="BW87" s="634"/>
      <c r="BX87" s="43"/>
      <c r="BY87" s="43"/>
      <c r="BZ87" s="40"/>
      <c r="CA87" s="40"/>
      <c r="CB87" s="40"/>
    </row>
    <row r="88" spans="1:84" ht="44.25" customHeight="1">
      <c r="A88" s="553" t="s">
        <v>45</v>
      </c>
      <c r="B88" s="542" t="s">
        <v>47</v>
      </c>
      <c r="C88" s="537"/>
      <c r="D88" s="537"/>
      <c r="E88" s="537"/>
      <c r="F88" s="537"/>
      <c r="G88" s="537"/>
      <c r="H88" s="537"/>
      <c r="I88" s="537"/>
      <c r="J88" s="537"/>
      <c r="K88" s="537"/>
      <c r="L88" s="537"/>
      <c r="M88" s="638"/>
      <c r="N88" s="638"/>
      <c r="O88" s="638">
        <f>O89</f>
        <v>0</v>
      </c>
      <c r="P88" s="638">
        <f t="shared" ref="P88:BV88" si="82">P89</f>
        <v>4075.4860979999999</v>
      </c>
      <c r="Q88" s="638" t="str">
        <f t="shared" si="82"/>
        <v>33/QĐ-STC ngày 02/3/2022 
của Sở Tài chính</v>
      </c>
      <c r="R88" s="638" t="str">
        <f t="shared" si="82"/>
        <v>Xã Ia Đal</v>
      </c>
      <c r="S88" s="638">
        <f t="shared" si="82"/>
        <v>11063.999</v>
      </c>
      <c r="T88" s="638">
        <f t="shared" si="82"/>
        <v>7719.9989999999998</v>
      </c>
      <c r="U88" s="638">
        <f t="shared" si="82"/>
        <v>0</v>
      </c>
      <c r="V88" s="638">
        <f t="shared" si="82"/>
        <v>3344</v>
      </c>
      <c r="W88" s="638">
        <f t="shared" si="82"/>
        <v>735.5080979999999</v>
      </c>
      <c r="X88" s="638">
        <f t="shared" si="82"/>
        <v>0</v>
      </c>
      <c r="Y88" s="638">
        <f t="shared" si="82"/>
        <v>0</v>
      </c>
      <c r="Z88" s="638">
        <f t="shared" si="82"/>
        <v>735.5080979999999</v>
      </c>
      <c r="AA88" s="638">
        <f t="shared" si="82"/>
        <v>0</v>
      </c>
      <c r="AB88" s="638">
        <f t="shared" si="82"/>
        <v>735.5080979999999</v>
      </c>
      <c r="AC88" s="638">
        <f t="shared" si="82"/>
        <v>0</v>
      </c>
      <c r="AD88" s="638">
        <f t="shared" si="82"/>
        <v>735.5080979999999</v>
      </c>
      <c r="AE88" s="638">
        <f t="shared" si="82"/>
        <v>0</v>
      </c>
      <c r="AF88" s="638">
        <f t="shared" si="82"/>
        <v>0</v>
      </c>
      <c r="AG88" s="638">
        <f t="shared" si="82"/>
        <v>735.5080979999999</v>
      </c>
      <c r="AH88" s="638">
        <f t="shared" si="82"/>
        <v>0</v>
      </c>
      <c r="AI88" s="638">
        <f t="shared" si="82"/>
        <v>0</v>
      </c>
      <c r="AJ88" s="638">
        <f t="shared" si="82"/>
        <v>735.5080979999999</v>
      </c>
      <c r="AK88" s="638">
        <f t="shared" si="82"/>
        <v>0</v>
      </c>
      <c r="AL88" s="638">
        <f t="shared" si="82"/>
        <v>735.5080979999999</v>
      </c>
      <c r="AM88" s="638">
        <f t="shared" si="82"/>
        <v>0</v>
      </c>
      <c r="AN88" s="638">
        <f t="shared" si="82"/>
        <v>0</v>
      </c>
      <c r="AO88" s="638">
        <f t="shared" si="82"/>
        <v>735.5080979999999</v>
      </c>
      <c r="AP88" s="638">
        <f t="shared" si="82"/>
        <v>0</v>
      </c>
      <c r="AQ88" s="638">
        <f t="shared" si="82"/>
        <v>0</v>
      </c>
      <c r="AR88" s="638">
        <f t="shared" si="82"/>
        <v>735.5080979999999</v>
      </c>
      <c r="AS88" s="638">
        <f t="shared" si="82"/>
        <v>0</v>
      </c>
      <c r="AT88" s="638">
        <f t="shared" si="82"/>
        <v>0</v>
      </c>
      <c r="AU88" s="638">
        <f t="shared" si="82"/>
        <v>0</v>
      </c>
      <c r="AV88" s="638">
        <f t="shared" si="82"/>
        <v>0</v>
      </c>
      <c r="AW88" s="638">
        <f t="shared" si="82"/>
        <v>0</v>
      </c>
      <c r="AX88" s="638">
        <f t="shared" si="82"/>
        <v>0</v>
      </c>
      <c r="AY88" s="638">
        <f t="shared" si="82"/>
        <v>0</v>
      </c>
      <c r="AZ88" s="638">
        <f t="shared" si="82"/>
        <v>0</v>
      </c>
      <c r="BA88" s="638">
        <f t="shared" si="82"/>
        <v>0</v>
      </c>
      <c r="BB88" s="638">
        <f t="shared" si="82"/>
        <v>0</v>
      </c>
      <c r="BC88" s="638">
        <f t="shared" si="82"/>
        <v>0</v>
      </c>
      <c r="BD88" s="638">
        <f t="shared" si="82"/>
        <v>0</v>
      </c>
      <c r="BE88" s="638">
        <f t="shared" si="82"/>
        <v>0</v>
      </c>
      <c r="BF88" s="638">
        <f t="shared" si="82"/>
        <v>0</v>
      </c>
      <c r="BG88" s="638">
        <f t="shared" si="82"/>
        <v>0</v>
      </c>
      <c r="BH88" s="638">
        <f t="shared" si="82"/>
        <v>0</v>
      </c>
      <c r="BI88" s="638">
        <f t="shared" si="82"/>
        <v>0</v>
      </c>
      <c r="BJ88" s="638">
        <f t="shared" si="82"/>
        <v>0</v>
      </c>
      <c r="BK88" s="638">
        <f t="shared" si="82"/>
        <v>0</v>
      </c>
      <c r="BL88" s="638">
        <f t="shared" si="82"/>
        <v>0</v>
      </c>
      <c r="BM88" s="638">
        <f t="shared" si="82"/>
        <v>0</v>
      </c>
      <c r="BN88" s="638">
        <f t="shared" si="82"/>
        <v>0</v>
      </c>
      <c r="BO88" s="638">
        <f t="shared" si="82"/>
        <v>0</v>
      </c>
      <c r="BP88" s="638">
        <f t="shared" si="82"/>
        <v>0</v>
      </c>
      <c r="BQ88" s="638">
        <f t="shared" si="82"/>
        <v>0</v>
      </c>
      <c r="BR88" s="638">
        <f t="shared" si="82"/>
        <v>0</v>
      </c>
      <c r="BS88" s="638">
        <f t="shared" si="82"/>
        <v>0</v>
      </c>
      <c r="BT88" s="638">
        <f t="shared" si="82"/>
        <v>0</v>
      </c>
      <c r="BU88" s="638">
        <f t="shared" si="82"/>
        <v>0</v>
      </c>
      <c r="BV88" s="638">
        <f t="shared" si="82"/>
        <v>0</v>
      </c>
      <c r="BW88" s="537"/>
      <c r="BX88" s="627">
        <f ca="1">SUM(BX39:BX89)</f>
        <v>4249.9658509999999</v>
      </c>
      <c r="BY88" s="627">
        <f ca="1">SUM(BY39:BY89)</f>
        <v>0</v>
      </c>
      <c r="BZ88" s="38"/>
      <c r="CA88" s="37">
        <f ca="1">SUM(CA39:CA89)</f>
        <v>0</v>
      </c>
      <c r="CB88" s="37">
        <f ca="1">SUM(CB39:CB89)</f>
        <v>0</v>
      </c>
    </row>
    <row r="89" spans="1:84" ht="50.25" customHeight="1" outlineLevel="1">
      <c r="A89" s="628">
        <v>1</v>
      </c>
      <c r="B89" s="549" t="s">
        <v>491</v>
      </c>
      <c r="C89" s="535" t="s">
        <v>492</v>
      </c>
      <c r="D89" s="541" t="s">
        <v>490</v>
      </c>
      <c r="E89" s="535" t="s">
        <v>49</v>
      </c>
      <c r="F89" s="431">
        <v>280</v>
      </c>
      <c r="G89" s="628" t="s">
        <v>493</v>
      </c>
      <c r="H89" s="540">
        <v>7778421</v>
      </c>
      <c r="I89" s="535" t="s">
        <v>50</v>
      </c>
      <c r="J89" s="540">
        <v>2019</v>
      </c>
      <c r="K89" s="535" t="s">
        <v>494</v>
      </c>
      <c r="L89" s="535" t="s">
        <v>1221</v>
      </c>
      <c r="M89" s="87">
        <f>N89+P89</f>
        <v>11795.485097999999</v>
      </c>
      <c r="N89" s="87">
        <v>7719.9989999999998</v>
      </c>
      <c r="O89" s="87"/>
      <c r="P89" s="87">
        <v>4075.4860979999999</v>
      </c>
      <c r="Q89" s="88" t="s">
        <v>495</v>
      </c>
      <c r="R89" s="87" t="s">
        <v>493</v>
      </c>
      <c r="S89" s="88">
        <f>SUM(T89:V89)</f>
        <v>11063.999</v>
      </c>
      <c r="T89" s="88">
        <v>7719.9989999999998</v>
      </c>
      <c r="U89" s="88"/>
      <c r="V89" s="88">
        <v>3344</v>
      </c>
      <c r="W89" s="88">
        <f>AA89+AB89+AC89</f>
        <v>735.5080979999999</v>
      </c>
      <c r="X89" s="88"/>
      <c r="Y89" s="88"/>
      <c r="Z89" s="88">
        <f>SUM(AA89:AC89)</f>
        <v>735.5080979999999</v>
      </c>
      <c r="AA89" s="88">
        <v>0</v>
      </c>
      <c r="AB89" s="88">
        <f>732.858+2.650098</f>
        <v>735.5080979999999</v>
      </c>
      <c r="AC89" s="88"/>
      <c r="AD89" s="88">
        <f>SUM(AE89:AG89)</f>
        <v>735.5080979999999</v>
      </c>
      <c r="AE89" s="88"/>
      <c r="AF89" s="88"/>
      <c r="AG89" s="88">
        <f>SUM(AH89:AK89)</f>
        <v>735.5080979999999</v>
      </c>
      <c r="AH89" s="88"/>
      <c r="AI89" s="88"/>
      <c r="AJ89" s="88">
        <f>732.858+2.650098</f>
        <v>735.5080979999999</v>
      </c>
      <c r="AK89" s="88"/>
      <c r="AL89" s="88">
        <f>SUM(AM89:AO89)</f>
        <v>735.5080979999999</v>
      </c>
      <c r="AM89" s="88"/>
      <c r="AN89" s="88"/>
      <c r="AO89" s="88">
        <f>SUM(AP89:AS89)</f>
        <v>735.5080979999999</v>
      </c>
      <c r="AP89" s="88"/>
      <c r="AQ89" s="88"/>
      <c r="AR89" s="88">
        <f>732.858+2.650098</f>
        <v>735.5080979999999</v>
      </c>
      <c r="AS89" s="88"/>
      <c r="AT89" s="88">
        <f>AX89+AY89+AZ89</f>
        <v>0</v>
      </c>
      <c r="AU89" s="88"/>
      <c r="AV89" s="88"/>
      <c r="AW89" s="88">
        <f t="shared" ref="AW89" si="83">SUM(AX89:AZ89)</f>
        <v>0</v>
      </c>
      <c r="AX89" s="88"/>
      <c r="AY89" s="88"/>
      <c r="AZ89" s="88"/>
      <c r="BA89" s="89">
        <f>SUM(BB89:BD89)</f>
        <v>0</v>
      </c>
      <c r="BB89" s="89"/>
      <c r="BC89" s="89"/>
      <c r="BD89" s="89">
        <f>SUM(BE89:BH89)</f>
        <v>0</v>
      </c>
      <c r="BE89" s="89"/>
      <c r="BF89" s="89"/>
      <c r="BG89" s="89"/>
      <c r="BH89" s="89"/>
      <c r="BI89" s="631">
        <f>SUM(BJ89:BL89)</f>
        <v>0</v>
      </c>
      <c r="BJ89" s="631"/>
      <c r="BK89" s="631"/>
      <c r="BL89" s="631"/>
      <c r="BM89" s="631">
        <f>SUM(BN89:BP89)</f>
        <v>0</v>
      </c>
      <c r="BN89" s="631"/>
      <c r="BO89" s="631"/>
      <c r="BP89" s="631"/>
      <c r="BQ89" s="631">
        <f>SUM(BR89:BT89)</f>
        <v>0</v>
      </c>
      <c r="BR89" s="631"/>
      <c r="BS89" s="631"/>
      <c r="BT89" s="631"/>
      <c r="BU89" s="631"/>
      <c r="BV89" s="631"/>
      <c r="BW89" s="535" t="s">
        <v>867</v>
      </c>
      <c r="BX89" s="42"/>
      <c r="BY89" s="42"/>
      <c r="BZ89" s="36"/>
      <c r="CA89" s="35"/>
      <c r="CB89" s="35"/>
      <c r="CD89" s="28"/>
      <c r="CE89" s="28"/>
      <c r="CF89" s="28"/>
    </row>
    <row r="90" spans="1:84" ht="46.5" customHeight="1">
      <c r="A90" s="553" t="s">
        <v>45</v>
      </c>
      <c r="B90" s="542" t="s">
        <v>51</v>
      </c>
      <c r="C90" s="537"/>
      <c r="D90" s="537"/>
      <c r="E90" s="537"/>
      <c r="F90" s="537"/>
      <c r="G90" s="537"/>
      <c r="H90" s="537"/>
      <c r="I90" s="537"/>
      <c r="J90" s="537"/>
      <c r="K90" s="537"/>
      <c r="L90" s="537"/>
      <c r="M90" s="638">
        <f>SUM(M91:M98)</f>
        <v>14350.419</v>
      </c>
      <c r="N90" s="638">
        <f t="shared" ref="N90:BV90" si="84">SUM(N91:N98)</f>
        <v>0</v>
      </c>
      <c r="O90" s="638">
        <f t="shared" si="84"/>
        <v>0</v>
      </c>
      <c r="P90" s="638">
        <f t="shared" si="84"/>
        <v>14176.379000000001</v>
      </c>
      <c r="Q90" s="638">
        <f t="shared" si="84"/>
        <v>0</v>
      </c>
      <c r="R90" s="638">
        <f t="shared" si="84"/>
        <v>0</v>
      </c>
      <c r="S90" s="638">
        <f t="shared" si="84"/>
        <v>0</v>
      </c>
      <c r="T90" s="638">
        <f t="shared" si="84"/>
        <v>0</v>
      </c>
      <c r="U90" s="638">
        <f t="shared" si="84"/>
        <v>0</v>
      </c>
      <c r="V90" s="638">
        <f t="shared" si="84"/>
        <v>0</v>
      </c>
      <c r="W90" s="638">
        <f t="shared" si="84"/>
        <v>15023.852999999997</v>
      </c>
      <c r="X90" s="638">
        <f t="shared" si="84"/>
        <v>0</v>
      </c>
      <c r="Y90" s="638">
        <f t="shared" si="84"/>
        <v>0</v>
      </c>
      <c r="Z90" s="638">
        <f t="shared" si="84"/>
        <v>15023.852999999997</v>
      </c>
      <c r="AA90" s="638">
        <f t="shared" si="84"/>
        <v>9932.3859929999999</v>
      </c>
      <c r="AB90" s="638">
        <f t="shared" si="84"/>
        <v>5091.4670070000002</v>
      </c>
      <c r="AC90" s="638">
        <f t="shared" si="84"/>
        <v>0</v>
      </c>
      <c r="AD90" s="638">
        <f t="shared" si="84"/>
        <v>15014.737999999999</v>
      </c>
      <c r="AE90" s="638">
        <f t="shared" si="84"/>
        <v>0</v>
      </c>
      <c r="AF90" s="638">
        <f t="shared" si="84"/>
        <v>0</v>
      </c>
      <c r="AG90" s="638">
        <f t="shared" si="84"/>
        <v>15014.737999999999</v>
      </c>
      <c r="AH90" s="638">
        <f t="shared" si="84"/>
        <v>8192.19</v>
      </c>
      <c r="AI90" s="638">
        <f t="shared" si="84"/>
        <v>1740.1959929999998</v>
      </c>
      <c r="AJ90" s="638">
        <f t="shared" si="84"/>
        <v>5082.3520069999995</v>
      </c>
      <c r="AK90" s="638">
        <f t="shared" si="84"/>
        <v>0</v>
      </c>
      <c r="AL90" s="638">
        <f t="shared" si="84"/>
        <v>14996.104999999998</v>
      </c>
      <c r="AM90" s="638">
        <f t="shared" si="84"/>
        <v>0</v>
      </c>
      <c r="AN90" s="638">
        <f t="shared" si="84"/>
        <v>0</v>
      </c>
      <c r="AO90" s="638">
        <f t="shared" si="84"/>
        <v>14996.104999999998</v>
      </c>
      <c r="AP90" s="638">
        <f t="shared" si="84"/>
        <v>8177.8899999999994</v>
      </c>
      <c r="AQ90" s="638">
        <f t="shared" si="84"/>
        <v>1740.1959929999998</v>
      </c>
      <c r="AR90" s="638">
        <f t="shared" si="84"/>
        <v>5078.0190069999999</v>
      </c>
      <c r="AS90" s="638">
        <f t="shared" si="84"/>
        <v>0</v>
      </c>
      <c r="AT90" s="638">
        <f t="shared" si="84"/>
        <v>0</v>
      </c>
      <c r="AU90" s="638">
        <f t="shared" si="84"/>
        <v>0</v>
      </c>
      <c r="AV90" s="638">
        <f t="shared" si="84"/>
        <v>0</v>
      </c>
      <c r="AW90" s="638">
        <f t="shared" si="84"/>
        <v>0</v>
      </c>
      <c r="AX90" s="638">
        <f t="shared" si="84"/>
        <v>0</v>
      </c>
      <c r="AY90" s="638">
        <f t="shared" si="84"/>
        <v>0</v>
      </c>
      <c r="AZ90" s="638">
        <f t="shared" si="84"/>
        <v>0</v>
      </c>
      <c r="BA90" s="638">
        <f t="shared" si="84"/>
        <v>0</v>
      </c>
      <c r="BB90" s="638">
        <f t="shared" si="84"/>
        <v>0</v>
      </c>
      <c r="BC90" s="638">
        <f t="shared" si="84"/>
        <v>0</v>
      </c>
      <c r="BD90" s="638">
        <f t="shared" si="84"/>
        <v>0</v>
      </c>
      <c r="BE90" s="638">
        <f t="shared" si="84"/>
        <v>0</v>
      </c>
      <c r="BF90" s="638">
        <f t="shared" si="84"/>
        <v>0</v>
      </c>
      <c r="BG90" s="638">
        <f t="shared" si="84"/>
        <v>0</v>
      </c>
      <c r="BH90" s="638">
        <f t="shared" si="84"/>
        <v>0</v>
      </c>
      <c r="BI90" s="638">
        <f t="shared" si="84"/>
        <v>1.4</v>
      </c>
      <c r="BJ90" s="638">
        <f t="shared" si="84"/>
        <v>0</v>
      </c>
      <c r="BK90" s="638">
        <f t="shared" si="84"/>
        <v>0</v>
      </c>
      <c r="BL90" s="638">
        <f t="shared" si="84"/>
        <v>1.4</v>
      </c>
      <c r="BM90" s="638">
        <f t="shared" si="84"/>
        <v>1.4</v>
      </c>
      <c r="BN90" s="638">
        <f t="shared" si="84"/>
        <v>0</v>
      </c>
      <c r="BO90" s="638">
        <f t="shared" si="84"/>
        <v>0</v>
      </c>
      <c r="BP90" s="638">
        <f t="shared" si="84"/>
        <v>1.4</v>
      </c>
      <c r="BQ90" s="638">
        <f t="shared" si="84"/>
        <v>0</v>
      </c>
      <c r="BR90" s="638">
        <f t="shared" si="84"/>
        <v>0</v>
      </c>
      <c r="BS90" s="638">
        <f t="shared" si="84"/>
        <v>0</v>
      </c>
      <c r="BT90" s="638">
        <f t="shared" si="84"/>
        <v>0</v>
      </c>
      <c r="BU90" s="638">
        <f t="shared" si="84"/>
        <v>0</v>
      </c>
      <c r="BV90" s="638">
        <f t="shared" si="84"/>
        <v>1.4</v>
      </c>
      <c r="BW90" s="537"/>
      <c r="BX90" s="627">
        <f ca="1">SUM(BX45:BX106)+#REF!+#REF!</f>
        <v>49106.034148999999</v>
      </c>
      <c r="BY90" s="627">
        <f ca="1">SUM(BY45:BY106)+#REF!+#REF!</f>
        <v>4340</v>
      </c>
      <c r="BZ90" s="38"/>
      <c r="CA90" s="37">
        <f ca="1">SUM(CA45:CA106)+#REF!+#REF!</f>
        <v>8596</v>
      </c>
      <c r="CB90" s="37">
        <f ca="1">SUM(CB45:CB106)+#REF!+#REF!</f>
        <v>0</v>
      </c>
    </row>
    <row r="91" spans="1:84" ht="50.25" customHeight="1" outlineLevel="1">
      <c r="A91" s="628">
        <v>1</v>
      </c>
      <c r="B91" s="549" t="s">
        <v>496</v>
      </c>
      <c r="C91" s="535" t="s">
        <v>490</v>
      </c>
      <c r="D91" s="541" t="s">
        <v>490</v>
      </c>
      <c r="E91" s="535" t="s">
        <v>49</v>
      </c>
      <c r="F91" s="431"/>
      <c r="G91" s="628" t="s">
        <v>493</v>
      </c>
      <c r="H91" s="540">
        <v>8118769</v>
      </c>
      <c r="I91" s="535">
        <v>2024</v>
      </c>
      <c r="J91" s="540">
        <v>2024</v>
      </c>
      <c r="K91" s="535" t="s">
        <v>497</v>
      </c>
      <c r="L91" s="535" t="s">
        <v>1222</v>
      </c>
      <c r="M91" s="87">
        <v>260</v>
      </c>
      <c r="N91" s="87"/>
      <c r="O91" s="87"/>
      <c r="P91" s="87">
        <v>250</v>
      </c>
      <c r="Q91" s="88" t="s">
        <v>498</v>
      </c>
      <c r="R91" s="87" t="s">
        <v>493</v>
      </c>
      <c r="S91" s="88">
        <f>SUM(T91:V91)</f>
        <v>0</v>
      </c>
      <c r="T91" s="88"/>
      <c r="U91" s="88"/>
      <c r="V91" s="88"/>
      <c r="W91" s="88">
        <f>AA91+AB91+AC91</f>
        <v>250</v>
      </c>
      <c r="X91" s="88"/>
      <c r="Y91" s="88"/>
      <c r="Z91" s="88">
        <f t="shared" ref="Z91:Z95" si="85">SUM(AA91:AC91)</f>
        <v>250</v>
      </c>
      <c r="AA91" s="88">
        <v>250</v>
      </c>
      <c r="AB91" s="88"/>
      <c r="AC91" s="88"/>
      <c r="AD91" s="88">
        <f t="shared" ref="AD91:AD97" si="86">SUM(AE91:AG91)</f>
        <v>250</v>
      </c>
      <c r="AE91" s="88"/>
      <c r="AF91" s="88"/>
      <c r="AG91" s="88">
        <f t="shared" ref="AG91:AG97" si="87">SUM(AH91:AK91)</f>
        <v>250</v>
      </c>
      <c r="AH91" s="88">
        <v>250</v>
      </c>
      <c r="AI91" s="88"/>
      <c r="AJ91" s="88"/>
      <c r="AK91" s="88"/>
      <c r="AL91" s="88">
        <f t="shared" ref="AL91:AL97" si="88">SUM(AM91:AO91)</f>
        <v>235.7</v>
      </c>
      <c r="AM91" s="88"/>
      <c r="AN91" s="88"/>
      <c r="AO91" s="88">
        <f t="shared" ref="AO91:AO97" si="89">SUM(AP91:AS91)</f>
        <v>235.7</v>
      </c>
      <c r="AP91" s="88">
        <v>235.7</v>
      </c>
      <c r="AQ91" s="88"/>
      <c r="AR91" s="88"/>
      <c r="AS91" s="88"/>
      <c r="AT91" s="88">
        <f>AX91+AY91+AZ91</f>
        <v>0</v>
      </c>
      <c r="AU91" s="88"/>
      <c r="AV91" s="88"/>
      <c r="AW91" s="88">
        <f t="shared" ref="AW91:AW95" si="90">SUM(AX91:AZ91)</f>
        <v>0</v>
      </c>
      <c r="AX91" s="88"/>
      <c r="AY91" s="88"/>
      <c r="AZ91" s="88"/>
      <c r="BA91" s="89">
        <f t="shared" ref="BA91:BA97" si="91">SUM(BB91:BD91)</f>
        <v>0</v>
      </c>
      <c r="BB91" s="89"/>
      <c r="BC91" s="89"/>
      <c r="BD91" s="89">
        <f t="shared" ref="BD91:BD97" si="92">SUM(BE91:BH91)</f>
        <v>0</v>
      </c>
      <c r="BE91" s="89"/>
      <c r="BF91" s="89"/>
      <c r="BG91" s="89"/>
      <c r="BH91" s="89"/>
      <c r="BI91" s="631">
        <f t="shared" ref="BI91:BI97" si="93">SUM(BJ91:BL91)</f>
        <v>1.4</v>
      </c>
      <c r="BJ91" s="631"/>
      <c r="BK91" s="631"/>
      <c r="BL91" s="631">
        <v>1.4</v>
      </c>
      <c r="BM91" s="631">
        <f t="shared" ref="BM91:BM97" si="94">SUM(BN91:BP91)</f>
        <v>1.4</v>
      </c>
      <c r="BN91" s="631"/>
      <c r="BO91" s="631"/>
      <c r="BP91" s="631">
        <v>1.4</v>
      </c>
      <c r="BQ91" s="631">
        <f t="shared" ref="BQ91:BQ97" si="95">SUM(BR91:BT91)</f>
        <v>0</v>
      </c>
      <c r="BR91" s="631"/>
      <c r="BS91" s="631"/>
      <c r="BT91" s="631"/>
      <c r="BU91" s="631"/>
      <c r="BV91" s="639">
        <v>1.4</v>
      </c>
      <c r="BW91" s="535" t="s">
        <v>867</v>
      </c>
      <c r="BX91" s="42">
        <v>250</v>
      </c>
      <c r="BY91" s="42"/>
      <c r="BZ91" s="36"/>
      <c r="CA91" s="35"/>
      <c r="CB91" s="35"/>
      <c r="CD91" s="28"/>
      <c r="CE91" s="28"/>
      <c r="CF91" s="28"/>
    </row>
    <row r="92" spans="1:84" ht="50.25" customHeight="1" outlineLevel="1">
      <c r="A92" s="628">
        <v>2</v>
      </c>
      <c r="B92" s="549" t="s">
        <v>499</v>
      </c>
      <c r="C92" s="535" t="s">
        <v>490</v>
      </c>
      <c r="D92" s="541" t="s">
        <v>490</v>
      </c>
      <c r="E92" s="535" t="s">
        <v>49</v>
      </c>
      <c r="F92" s="431"/>
      <c r="G92" s="628" t="s">
        <v>493</v>
      </c>
      <c r="H92" s="540">
        <v>7987893</v>
      </c>
      <c r="I92" s="535" t="s">
        <v>83</v>
      </c>
      <c r="J92" s="540">
        <v>2022</v>
      </c>
      <c r="K92" s="535" t="s">
        <v>500</v>
      </c>
      <c r="L92" s="535" t="s">
        <v>3589</v>
      </c>
      <c r="M92" s="87">
        <v>300.41899999999998</v>
      </c>
      <c r="N92" s="87"/>
      <c r="O92" s="87"/>
      <c r="P92" s="87">
        <v>136.37899999999999</v>
      </c>
      <c r="Q92" s="88"/>
      <c r="R92" s="87" t="s">
        <v>493</v>
      </c>
      <c r="S92" s="88">
        <f>SUM(T92:V92)</f>
        <v>0</v>
      </c>
      <c r="T92" s="88"/>
      <c r="U92" s="88"/>
      <c r="V92" s="88"/>
      <c r="W92" s="88">
        <f t="shared" ref="W92:W95" si="96">AA92+AB92+AC92</f>
        <v>145.494</v>
      </c>
      <c r="X92" s="88"/>
      <c r="Y92" s="88"/>
      <c r="Z92" s="88">
        <f t="shared" si="85"/>
        <v>145.494</v>
      </c>
      <c r="AA92" s="88">
        <v>0</v>
      </c>
      <c r="AB92" s="88">
        <v>145.494</v>
      </c>
      <c r="AC92" s="88"/>
      <c r="AD92" s="88">
        <f t="shared" si="86"/>
        <v>136.37899999999999</v>
      </c>
      <c r="AE92" s="88"/>
      <c r="AF92" s="88"/>
      <c r="AG92" s="88">
        <f t="shared" si="87"/>
        <v>136.37899999999999</v>
      </c>
      <c r="AH92" s="88"/>
      <c r="AI92" s="88"/>
      <c r="AJ92" s="88">
        <v>136.37899999999999</v>
      </c>
      <c r="AK92" s="88"/>
      <c r="AL92" s="88">
        <f t="shared" si="88"/>
        <v>132.04599999999999</v>
      </c>
      <c r="AM92" s="88"/>
      <c r="AN92" s="88"/>
      <c r="AO92" s="88">
        <f t="shared" si="89"/>
        <v>132.04599999999999</v>
      </c>
      <c r="AP92" s="88"/>
      <c r="AQ92" s="88"/>
      <c r="AR92" s="88">
        <v>132.04599999999999</v>
      </c>
      <c r="AS92" s="88"/>
      <c r="AT92" s="88">
        <f t="shared" ref="AT92:AT95" si="97">AX92+AY92+AZ92</f>
        <v>0</v>
      </c>
      <c r="AU92" s="88"/>
      <c r="AV92" s="88"/>
      <c r="AW92" s="88">
        <f t="shared" si="90"/>
        <v>0</v>
      </c>
      <c r="AX92" s="88"/>
      <c r="AY92" s="88"/>
      <c r="AZ92" s="88"/>
      <c r="BA92" s="89">
        <f t="shared" si="91"/>
        <v>0</v>
      </c>
      <c r="BB92" s="89"/>
      <c r="BC92" s="89"/>
      <c r="BD92" s="89">
        <f t="shared" si="92"/>
        <v>0</v>
      </c>
      <c r="BE92" s="89"/>
      <c r="BF92" s="89"/>
      <c r="BG92" s="89"/>
      <c r="BH92" s="89"/>
      <c r="BI92" s="631">
        <f t="shared" si="93"/>
        <v>0</v>
      </c>
      <c r="BJ92" s="631"/>
      <c r="BK92" s="631"/>
      <c r="BL92" s="631"/>
      <c r="BM92" s="631">
        <f t="shared" si="94"/>
        <v>0</v>
      </c>
      <c r="BN92" s="631"/>
      <c r="BO92" s="631"/>
      <c r="BP92" s="631"/>
      <c r="BQ92" s="631">
        <f t="shared" si="95"/>
        <v>0</v>
      </c>
      <c r="BR92" s="631"/>
      <c r="BS92" s="631"/>
      <c r="BT92" s="631"/>
      <c r="BU92" s="631"/>
      <c r="BV92" s="631"/>
      <c r="BW92" s="535" t="s">
        <v>501</v>
      </c>
      <c r="BX92" s="42"/>
      <c r="BY92" s="42"/>
      <c r="BZ92" s="40"/>
      <c r="CA92" s="39"/>
      <c r="CB92" s="39"/>
      <c r="CC92" s="31" t="s">
        <v>442</v>
      </c>
    </row>
    <row r="93" spans="1:84" ht="50.25" customHeight="1" outlineLevel="1">
      <c r="A93" s="628">
        <v>3</v>
      </c>
      <c r="B93" s="549" t="s">
        <v>502</v>
      </c>
      <c r="C93" s="535" t="s">
        <v>492</v>
      </c>
      <c r="D93" s="541" t="s">
        <v>490</v>
      </c>
      <c r="E93" s="535" t="s">
        <v>49</v>
      </c>
      <c r="F93" s="431" t="s">
        <v>503</v>
      </c>
      <c r="G93" s="628" t="s">
        <v>493</v>
      </c>
      <c r="H93" s="540">
        <v>7916553</v>
      </c>
      <c r="I93" s="535" t="s">
        <v>71</v>
      </c>
      <c r="J93" s="540">
        <v>2021</v>
      </c>
      <c r="K93" s="535" t="s">
        <v>504</v>
      </c>
      <c r="L93" s="535" t="s">
        <v>3590</v>
      </c>
      <c r="M93" s="87">
        <v>5160</v>
      </c>
      <c r="N93" s="87"/>
      <c r="O93" s="87"/>
      <c r="P93" s="87">
        <v>5160</v>
      </c>
      <c r="Q93" s="88" t="s">
        <v>505</v>
      </c>
      <c r="R93" s="87" t="s">
        <v>493</v>
      </c>
      <c r="S93" s="88">
        <f>SUM(T93:V93)</f>
        <v>0</v>
      </c>
      <c r="T93" s="88"/>
      <c r="U93" s="88"/>
      <c r="V93" s="88"/>
      <c r="W93" s="88">
        <f t="shared" si="96"/>
        <v>5005</v>
      </c>
      <c r="X93" s="88"/>
      <c r="Y93" s="88"/>
      <c r="Z93" s="88">
        <f t="shared" si="85"/>
        <v>5005</v>
      </c>
      <c r="AA93" s="88">
        <v>2200</v>
      </c>
      <c r="AB93" s="88">
        <v>2805</v>
      </c>
      <c r="AC93" s="88"/>
      <c r="AD93" s="88">
        <f t="shared" si="86"/>
        <v>5005</v>
      </c>
      <c r="AE93" s="88"/>
      <c r="AF93" s="88"/>
      <c r="AG93" s="88">
        <f t="shared" si="87"/>
        <v>5005</v>
      </c>
      <c r="AH93" s="88">
        <v>2200</v>
      </c>
      <c r="AI93" s="88"/>
      <c r="AJ93" s="88">
        <v>2805</v>
      </c>
      <c r="AK93" s="88"/>
      <c r="AL93" s="88">
        <f t="shared" si="88"/>
        <v>5005</v>
      </c>
      <c r="AM93" s="88"/>
      <c r="AN93" s="88"/>
      <c r="AO93" s="88">
        <f t="shared" si="89"/>
        <v>5005</v>
      </c>
      <c r="AP93" s="88">
        <v>2200</v>
      </c>
      <c r="AQ93" s="88"/>
      <c r="AR93" s="88">
        <v>2805</v>
      </c>
      <c r="AS93" s="88"/>
      <c r="AT93" s="88">
        <f t="shared" si="97"/>
        <v>0</v>
      </c>
      <c r="AU93" s="88"/>
      <c r="AV93" s="88"/>
      <c r="AW93" s="88">
        <f t="shared" si="90"/>
        <v>0</v>
      </c>
      <c r="AX93" s="88"/>
      <c r="AY93" s="88"/>
      <c r="AZ93" s="88"/>
      <c r="BA93" s="89">
        <f t="shared" si="91"/>
        <v>0</v>
      </c>
      <c r="BB93" s="89"/>
      <c r="BC93" s="89"/>
      <c r="BD93" s="89">
        <f t="shared" si="92"/>
        <v>0</v>
      </c>
      <c r="BE93" s="89"/>
      <c r="BF93" s="89"/>
      <c r="BG93" s="89"/>
      <c r="BH93" s="89"/>
      <c r="BI93" s="631">
        <f t="shared" si="93"/>
        <v>0</v>
      </c>
      <c r="BJ93" s="631"/>
      <c r="BK93" s="631"/>
      <c r="BL93" s="631"/>
      <c r="BM93" s="631">
        <f t="shared" si="94"/>
        <v>0</v>
      </c>
      <c r="BN93" s="631"/>
      <c r="BO93" s="631"/>
      <c r="BP93" s="631"/>
      <c r="BQ93" s="631">
        <f t="shared" si="95"/>
        <v>0</v>
      </c>
      <c r="BR93" s="631"/>
      <c r="BS93" s="631"/>
      <c r="BT93" s="631"/>
      <c r="BU93" s="631"/>
      <c r="BV93" s="631"/>
      <c r="BW93" s="535" t="s">
        <v>867</v>
      </c>
      <c r="BX93" s="42">
        <v>2200</v>
      </c>
      <c r="BY93" s="42"/>
      <c r="BZ93" s="36"/>
      <c r="CA93" s="35"/>
      <c r="CB93" s="35"/>
      <c r="CD93" s="28"/>
      <c r="CE93" s="28"/>
      <c r="CF93" s="28"/>
    </row>
    <row r="94" spans="1:84" ht="50.25" customHeight="1" outlineLevel="1">
      <c r="A94" s="628">
        <v>4</v>
      </c>
      <c r="B94" s="549" t="s">
        <v>506</v>
      </c>
      <c r="C94" s="535" t="s">
        <v>492</v>
      </c>
      <c r="D94" s="541" t="s">
        <v>490</v>
      </c>
      <c r="E94" s="535" t="s">
        <v>49</v>
      </c>
      <c r="F94" s="431" t="s">
        <v>503</v>
      </c>
      <c r="G94" s="628" t="s">
        <v>493</v>
      </c>
      <c r="H94" s="540">
        <v>7990794</v>
      </c>
      <c r="I94" s="535" t="s">
        <v>76</v>
      </c>
      <c r="J94" s="540">
        <v>2022</v>
      </c>
      <c r="K94" s="535" t="s">
        <v>507</v>
      </c>
      <c r="L94" s="535" t="s">
        <v>3591</v>
      </c>
      <c r="M94" s="87">
        <v>3680</v>
      </c>
      <c r="N94" s="87"/>
      <c r="O94" s="87"/>
      <c r="P94" s="87">
        <v>3680</v>
      </c>
      <c r="Q94" s="88" t="s">
        <v>508</v>
      </c>
      <c r="R94" s="87" t="s">
        <v>493</v>
      </c>
      <c r="S94" s="88">
        <f>SUM(T94:V94)</f>
        <v>0</v>
      </c>
      <c r="T94" s="88"/>
      <c r="U94" s="88"/>
      <c r="V94" s="88"/>
      <c r="W94" s="88">
        <f t="shared" si="96"/>
        <v>3680</v>
      </c>
      <c r="X94" s="88"/>
      <c r="Y94" s="88"/>
      <c r="Z94" s="88">
        <f t="shared" si="85"/>
        <v>3680</v>
      </c>
      <c r="AA94" s="88">
        <v>3190.0814519999999</v>
      </c>
      <c r="AB94" s="88">
        <f>158+331.918548</f>
        <v>489.91854799999999</v>
      </c>
      <c r="AC94" s="88"/>
      <c r="AD94" s="88">
        <f t="shared" si="86"/>
        <v>3680</v>
      </c>
      <c r="AE94" s="88"/>
      <c r="AF94" s="88"/>
      <c r="AG94" s="88">
        <f t="shared" si="87"/>
        <v>3680</v>
      </c>
      <c r="AH94" s="88">
        <v>2630</v>
      </c>
      <c r="AI94" s="88">
        <v>560.08145200000001</v>
      </c>
      <c r="AJ94" s="88">
        <f>158+331.918548</f>
        <v>489.91854799999999</v>
      </c>
      <c r="AK94" s="88"/>
      <c r="AL94" s="88">
        <f t="shared" si="88"/>
        <v>3680</v>
      </c>
      <c r="AM94" s="88"/>
      <c r="AN94" s="88"/>
      <c r="AO94" s="88">
        <f t="shared" si="89"/>
        <v>3680</v>
      </c>
      <c r="AP94" s="88">
        <v>2630</v>
      </c>
      <c r="AQ94" s="88">
        <v>560.08145200000001</v>
      </c>
      <c r="AR94" s="88">
        <f>158+331.918548</f>
        <v>489.91854799999999</v>
      </c>
      <c r="AS94" s="88"/>
      <c r="AT94" s="88">
        <f t="shared" si="97"/>
        <v>0</v>
      </c>
      <c r="AU94" s="88"/>
      <c r="AV94" s="88"/>
      <c r="AW94" s="88">
        <f t="shared" si="90"/>
        <v>0</v>
      </c>
      <c r="AX94" s="88"/>
      <c r="AY94" s="88"/>
      <c r="AZ94" s="88"/>
      <c r="BA94" s="89">
        <f t="shared" si="91"/>
        <v>0</v>
      </c>
      <c r="BB94" s="89"/>
      <c r="BC94" s="89"/>
      <c r="BD94" s="89">
        <f t="shared" si="92"/>
        <v>0</v>
      </c>
      <c r="BE94" s="89"/>
      <c r="BF94" s="89"/>
      <c r="BG94" s="89"/>
      <c r="BH94" s="89"/>
      <c r="BI94" s="631">
        <f t="shared" si="93"/>
        <v>0</v>
      </c>
      <c r="BJ94" s="631"/>
      <c r="BK94" s="631"/>
      <c r="BL94" s="631"/>
      <c r="BM94" s="631">
        <f t="shared" si="94"/>
        <v>0</v>
      </c>
      <c r="BN94" s="631"/>
      <c r="BO94" s="631"/>
      <c r="BP94" s="631"/>
      <c r="BQ94" s="631">
        <f t="shared" si="95"/>
        <v>0</v>
      </c>
      <c r="BR94" s="631"/>
      <c r="BS94" s="631"/>
      <c r="BT94" s="631"/>
      <c r="BU94" s="631"/>
      <c r="BV94" s="631"/>
      <c r="BW94" s="535" t="s">
        <v>867</v>
      </c>
      <c r="BX94" s="42">
        <v>2630</v>
      </c>
      <c r="BY94" s="42">
        <v>560.08145200000001</v>
      </c>
      <c r="BZ94" s="36"/>
      <c r="CA94" s="35"/>
      <c r="CB94" s="35"/>
      <c r="CD94" s="28"/>
      <c r="CE94" s="28"/>
      <c r="CF94" s="28"/>
    </row>
    <row r="95" spans="1:84" ht="64.5" customHeight="1" outlineLevel="1">
      <c r="A95" s="628">
        <v>5</v>
      </c>
      <c r="B95" s="549" t="s">
        <v>509</v>
      </c>
      <c r="C95" s="535" t="s">
        <v>492</v>
      </c>
      <c r="D95" s="541" t="s">
        <v>490</v>
      </c>
      <c r="E95" s="535" t="s">
        <v>49</v>
      </c>
      <c r="F95" s="431" t="s">
        <v>510</v>
      </c>
      <c r="G95" s="628" t="s">
        <v>493</v>
      </c>
      <c r="H95" s="540">
        <v>7990793</v>
      </c>
      <c r="I95" s="535" t="s">
        <v>56</v>
      </c>
      <c r="J95" s="540">
        <v>2022</v>
      </c>
      <c r="K95" s="535" t="s">
        <v>511</v>
      </c>
      <c r="L95" s="535" t="s">
        <v>3592</v>
      </c>
      <c r="M95" s="87">
        <v>4950</v>
      </c>
      <c r="N95" s="87"/>
      <c r="O95" s="87"/>
      <c r="P95" s="87">
        <v>4950</v>
      </c>
      <c r="Q95" s="88" t="s">
        <v>512</v>
      </c>
      <c r="R95" s="87" t="s">
        <v>493</v>
      </c>
      <c r="S95" s="88">
        <f>SUM(T95:V95)</f>
        <v>0</v>
      </c>
      <c r="T95" s="88"/>
      <c r="U95" s="88"/>
      <c r="V95" s="88"/>
      <c r="W95" s="88">
        <f t="shared" si="96"/>
        <v>4781.1899999999996</v>
      </c>
      <c r="X95" s="88"/>
      <c r="Y95" s="88"/>
      <c r="Z95" s="88">
        <f t="shared" si="85"/>
        <v>4781.1899999999996</v>
      </c>
      <c r="AA95" s="88">
        <v>4292.3045409999995</v>
      </c>
      <c r="AB95" s="88">
        <f>209+279.885459</f>
        <v>488.88545900000003</v>
      </c>
      <c r="AC95" s="88"/>
      <c r="AD95" s="88">
        <f t="shared" si="86"/>
        <v>4781.1899999999996</v>
      </c>
      <c r="AE95" s="88"/>
      <c r="AF95" s="88"/>
      <c r="AG95" s="88">
        <f t="shared" si="87"/>
        <v>4781.1899999999996</v>
      </c>
      <c r="AH95" s="88">
        <f>2600+512.19</f>
        <v>3112.19</v>
      </c>
      <c r="AI95" s="88">
        <v>1180.1145409999999</v>
      </c>
      <c r="AJ95" s="88">
        <f>209+279.885459</f>
        <v>488.88545900000003</v>
      </c>
      <c r="AK95" s="88"/>
      <c r="AL95" s="88">
        <f t="shared" si="88"/>
        <v>4781.1899999999996</v>
      </c>
      <c r="AM95" s="88"/>
      <c r="AN95" s="88"/>
      <c r="AO95" s="88">
        <f t="shared" si="89"/>
        <v>4781.1899999999996</v>
      </c>
      <c r="AP95" s="88">
        <f>2600+512.19</f>
        <v>3112.19</v>
      </c>
      <c r="AQ95" s="88">
        <v>1180.1145409999999</v>
      </c>
      <c r="AR95" s="88">
        <f>209+279.885459</f>
        <v>488.88545900000003</v>
      </c>
      <c r="AS95" s="88"/>
      <c r="AT95" s="88">
        <f t="shared" si="97"/>
        <v>0</v>
      </c>
      <c r="AU95" s="88"/>
      <c r="AV95" s="88"/>
      <c r="AW95" s="88">
        <f t="shared" si="90"/>
        <v>0</v>
      </c>
      <c r="AX95" s="88"/>
      <c r="AY95" s="88"/>
      <c r="AZ95" s="88"/>
      <c r="BA95" s="89">
        <f t="shared" si="91"/>
        <v>0</v>
      </c>
      <c r="BB95" s="89"/>
      <c r="BC95" s="89"/>
      <c r="BD95" s="89">
        <f t="shared" si="92"/>
        <v>0</v>
      </c>
      <c r="BE95" s="89"/>
      <c r="BF95" s="89"/>
      <c r="BG95" s="89"/>
      <c r="BH95" s="89"/>
      <c r="BI95" s="631">
        <f t="shared" si="93"/>
        <v>0</v>
      </c>
      <c r="BJ95" s="631"/>
      <c r="BK95" s="631"/>
      <c r="BL95" s="631"/>
      <c r="BM95" s="631">
        <f t="shared" si="94"/>
        <v>0</v>
      </c>
      <c r="BN95" s="631"/>
      <c r="BO95" s="631"/>
      <c r="BP95" s="631"/>
      <c r="BQ95" s="631">
        <f t="shared" si="95"/>
        <v>0</v>
      </c>
      <c r="BR95" s="631"/>
      <c r="BS95" s="631"/>
      <c r="BT95" s="631"/>
      <c r="BU95" s="631"/>
      <c r="BV95" s="631"/>
      <c r="BW95" s="535" t="s">
        <v>867</v>
      </c>
      <c r="BX95" s="42">
        <f>2600+512.19</f>
        <v>3112.19</v>
      </c>
      <c r="BY95" s="42">
        <v>1180.1145409999999</v>
      </c>
      <c r="BZ95" s="36"/>
      <c r="CA95" s="35"/>
      <c r="CB95" s="35"/>
      <c r="CD95" s="28"/>
      <c r="CE95" s="28"/>
      <c r="CF95" s="28"/>
    </row>
    <row r="96" spans="1:84" ht="111.75" customHeight="1" outlineLevel="1">
      <c r="A96" s="628">
        <v>6</v>
      </c>
      <c r="B96" s="549" t="s">
        <v>531</v>
      </c>
      <c r="C96" s="535" t="s">
        <v>492</v>
      </c>
      <c r="D96" s="541" t="s">
        <v>490</v>
      </c>
      <c r="E96" s="535"/>
      <c r="F96" s="431"/>
      <c r="G96" s="541"/>
      <c r="H96" s="540"/>
      <c r="I96" s="535"/>
      <c r="J96" s="540"/>
      <c r="K96" s="535"/>
      <c r="L96" s="535"/>
      <c r="M96" s="87"/>
      <c r="N96" s="87"/>
      <c r="O96" s="87"/>
      <c r="P96" s="87"/>
      <c r="Q96" s="87"/>
      <c r="R96" s="88"/>
      <c r="S96" s="88"/>
      <c r="T96" s="88"/>
      <c r="U96" s="88"/>
      <c r="V96" s="88"/>
      <c r="W96" s="88">
        <f>AA96+AB96+AC96</f>
        <v>394.67</v>
      </c>
      <c r="X96" s="88"/>
      <c r="Y96" s="88"/>
      <c r="Z96" s="88">
        <f>SUM(AB96:AC96)</f>
        <v>394.67</v>
      </c>
      <c r="AA96" s="88">
        <v>0</v>
      </c>
      <c r="AB96" s="88">
        <v>394.67</v>
      </c>
      <c r="AC96" s="88"/>
      <c r="AD96" s="88">
        <f t="shared" si="86"/>
        <v>394.67</v>
      </c>
      <c r="AE96" s="88"/>
      <c r="AF96" s="88"/>
      <c r="AG96" s="88">
        <f t="shared" si="87"/>
        <v>394.67</v>
      </c>
      <c r="AH96" s="88"/>
      <c r="AI96" s="88"/>
      <c r="AJ96" s="88">
        <v>394.67</v>
      </c>
      <c r="AK96" s="88"/>
      <c r="AL96" s="88">
        <f t="shared" si="88"/>
        <v>394.67</v>
      </c>
      <c r="AM96" s="88"/>
      <c r="AN96" s="88"/>
      <c r="AO96" s="88">
        <f t="shared" si="89"/>
        <v>394.67</v>
      </c>
      <c r="AP96" s="88"/>
      <c r="AQ96" s="88"/>
      <c r="AR96" s="88">
        <v>394.67</v>
      </c>
      <c r="AS96" s="88"/>
      <c r="AT96" s="88">
        <f>AX96+AY96+AZ96</f>
        <v>0</v>
      </c>
      <c r="AU96" s="88"/>
      <c r="AV96" s="88"/>
      <c r="AW96" s="88">
        <f>SUM(AX96:AZ96)</f>
        <v>0</v>
      </c>
      <c r="AX96" s="88"/>
      <c r="AY96" s="88"/>
      <c r="AZ96" s="88"/>
      <c r="BA96" s="89">
        <f t="shared" si="91"/>
        <v>0</v>
      </c>
      <c r="BB96" s="89"/>
      <c r="BC96" s="89"/>
      <c r="BD96" s="89">
        <f t="shared" si="92"/>
        <v>0</v>
      </c>
      <c r="BE96" s="89"/>
      <c r="BF96" s="89"/>
      <c r="BG96" s="89"/>
      <c r="BH96" s="89"/>
      <c r="BI96" s="631">
        <f t="shared" si="93"/>
        <v>0</v>
      </c>
      <c r="BJ96" s="631"/>
      <c r="BK96" s="631"/>
      <c r="BL96" s="631"/>
      <c r="BM96" s="631">
        <f t="shared" si="94"/>
        <v>0</v>
      </c>
      <c r="BN96" s="631"/>
      <c r="BO96" s="631"/>
      <c r="BP96" s="631"/>
      <c r="BQ96" s="631">
        <f t="shared" si="95"/>
        <v>0</v>
      </c>
      <c r="BR96" s="631"/>
      <c r="BS96" s="631"/>
      <c r="BT96" s="631"/>
      <c r="BU96" s="631"/>
      <c r="BV96" s="631"/>
      <c r="BW96" s="535">
        <v>2022</v>
      </c>
      <c r="BX96" s="42"/>
      <c r="BY96" s="42"/>
      <c r="BZ96" s="54"/>
      <c r="CA96" s="53"/>
      <c r="CB96" s="53"/>
      <c r="CC96" s="50"/>
      <c r="CD96" s="55" t="s">
        <v>442</v>
      </c>
      <c r="CE96" s="56"/>
      <c r="CF96" s="56"/>
    </row>
    <row r="97" spans="1:84" ht="72" customHeight="1" outlineLevel="1">
      <c r="A97" s="628">
        <v>7</v>
      </c>
      <c r="B97" s="549" t="s">
        <v>532</v>
      </c>
      <c r="C97" s="535" t="s">
        <v>213</v>
      </c>
      <c r="D97" s="541" t="s">
        <v>490</v>
      </c>
      <c r="E97" s="535"/>
      <c r="F97" s="431"/>
      <c r="G97" s="541"/>
      <c r="H97" s="540"/>
      <c r="I97" s="535"/>
      <c r="J97" s="540"/>
      <c r="K97" s="535"/>
      <c r="L97" s="535"/>
      <c r="M97" s="87"/>
      <c r="N97" s="87"/>
      <c r="O97" s="87"/>
      <c r="P97" s="87"/>
      <c r="Q97" s="87"/>
      <c r="R97" s="88"/>
      <c r="S97" s="88"/>
      <c r="T97" s="88"/>
      <c r="U97" s="88"/>
      <c r="V97" s="88"/>
      <c r="W97" s="88">
        <f>AA97+AB97+AC97</f>
        <v>454</v>
      </c>
      <c r="X97" s="88"/>
      <c r="Y97" s="88"/>
      <c r="Z97" s="88">
        <f>SUM(AB97:AC97)</f>
        <v>454</v>
      </c>
      <c r="AA97" s="88">
        <v>0</v>
      </c>
      <c r="AB97" s="88">
        <v>454</v>
      </c>
      <c r="AC97" s="88"/>
      <c r="AD97" s="88">
        <f t="shared" si="86"/>
        <v>454</v>
      </c>
      <c r="AE97" s="88"/>
      <c r="AF97" s="88"/>
      <c r="AG97" s="88">
        <f t="shared" si="87"/>
        <v>454</v>
      </c>
      <c r="AH97" s="88"/>
      <c r="AI97" s="88"/>
      <c r="AJ97" s="88">
        <v>454</v>
      </c>
      <c r="AK97" s="88"/>
      <c r="AL97" s="88">
        <f t="shared" si="88"/>
        <v>454</v>
      </c>
      <c r="AM97" s="88"/>
      <c r="AN97" s="88"/>
      <c r="AO97" s="88">
        <f t="shared" si="89"/>
        <v>454</v>
      </c>
      <c r="AP97" s="88"/>
      <c r="AQ97" s="88"/>
      <c r="AR97" s="88">
        <v>454</v>
      </c>
      <c r="AS97" s="88"/>
      <c r="AT97" s="88">
        <f>AX97+AY97+AZ97</f>
        <v>0</v>
      </c>
      <c r="AU97" s="88"/>
      <c r="AV97" s="88"/>
      <c r="AW97" s="88">
        <f>SUM(AX97:AZ97)</f>
        <v>0</v>
      </c>
      <c r="AX97" s="88"/>
      <c r="AY97" s="88"/>
      <c r="AZ97" s="88"/>
      <c r="BA97" s="89">
        <f t="shared" si="91"/>
        <v>0</v>
      </c>
      <c r="BB97" s="89"/>
      <c r="BC97" s="89"/>
      <c r="BD97" s="89">
        <f t="shared" si="92"/>
        <v>0</v>
      </c>
      <c r="BE97" s="89"/>
      <c r="BF97" s="89"/>
      <c r="BG97" s="89"/>
      <c r="BH97" s="89"/>
      <c r="BI97" s="631">
        <f t="shared" si="93"/>
        <v>0</v>
      </c>
      <c r="BJ97" s="631"/>
      <c r="BK97" s="631"/>
      <c r="BL97" s="631"/>
      <c r="BM97" s="631">
        <f t="shared" si="94"/>
        <v>0</v>
      </c>
      <c r="BN97" s="631"/>
      <c r="BO97" s="631"/>
      <c r="BP97" s="631"/>
      <c r="BQ97" s="631">
        <f t="shared" si="95"/>
        <v>0</v>
      </c>
      <c r="BR97" s="631"/>
      <c r="BS97" s="631"/>
      <c r="BT97" s="631"/>
      <c r="BU97" s="631"/>
      <c r="BV97" s="631"/>
      <c r="BW97" s="535">
        <v>2022</v>
      </c>
      <c r="BX97" s="42"/>
      <c r="BY97" s="42"/>
      <c r="BZ97" s="54"/>
      <c r="CA97" s="53"/>
      <c r="CB97" s="53"/>
      <c r="CC97" s="50"/>
      <c r="CD97" s="55" t="s">
        <v>442</v>
      </c>
      <c r="CE97" s="56"/>
      <c r="CF97" s="56"/>
    </row>
    <row r="98" spans="1:84" ht="201.75" customHeight="1" outlineLevel="1">
      <c r="A98" s="628">
        <v>8</v>
      </c>
      <c r="B98" s="549" t="s">
        <v>535</v>
      </c>
      <c r="C98" s="535" t="s">
        <v>492</v>
      </c>
      <c r="D98" s="541" t="s">
        <v>490</v>
      </c>
      <c r="E98" s="535"/>
      <c r="F98" s="431"/>
      <c r="G98" s="541"/>
      <c r="H98" s="540"/>
      <c r="I98" s="535"/>
      <c r="J98" s="540"/>
      <c r="K98" s="535"/>
      <c r="L98" s="535"/>
      <c r="M98" s="87"/>
      <c r="N98" s="87"/>
      <c r="O98" s="87"/>
      <c r="P98" s="87"/>
      <c r="Q98" s="87"/>
      <c r="R98" s="88"/>
      <c r="S98" s="88"/>
      <c r="T98" s="88"/>
      <c r="U98" s="88"/>
      <c r="V98" s="88"/>
      <c r="W98" s="88">
        <f t="shared" ref="W98" si="98">AA98+AB98+AC98</f>
        <v>313.49900000000002</v>
      </c>
      <c r="X98" s="88"/>
      <c r="Y98" s="88"/>
      <c r="Z98" s="88">
        <f t="shared" ref="Z98" si="99">SUM(AB98:AC98)</f>
        <v>313.49900000000002</v>
      </c>
      <c r="AA98" s="88"/>
      <c r="AB98" s="88">
        <v>313.49900000000002</v>
      </c>
      <c r="AC98" s="88"/>
      <c r="AD98" s="88">
        <f t="shared" ref="AD98" si="100">SUM(AE98:AG98)</f>
        <v>313.49900000000002</v>
      </c>
      <c r="AE98" s="88"/>
      <c r="AF98" s="88"/>
      <c r="AG98" s="88">
        <f t="shared" ref="AG98" si="101">SUM(AH98:AK98)</f>
        <v>313.49900000000002</v>
      </c>
      <c r="AH98" s="88"/>
      <c r="AI98" s="88"/>
      <c r="AJ98" s="88">
        <v>313.49900000000002</v>
      </c>
      <c r="AK98" s="88"/>
      <c r="AL98" s="88">
        <f t="shared" ref="AL98" si="102">SUM(AM98:AO98)</f>
        <v>313.49900000000002</v>
      </c>
      <c r="AM98" s="88"/>
      <c r="AN98" s="88"/>
      <c r="AO98" s="88">
        <f t="shared" ref="AO98" si="103">SUM(AP98:AS98)</f>
        <v>313.49900000000002</v>
      </c>
      <c r="AP98" s="88"/>
      <c r="AQ98" s="88"/>
      <c r="AR98" s="88">
        <v>313.49900000000002</v>
      </c>
      <c r="AS98" s="88"/>
      <c r="AT98" s="88">
        <f>AX98+AY98+AZ98</f>
        <v>0</v>
      </c>
      <c r="AU98" s="88"/>
      <c r="AV98" s="88"/>
      <c r="AW98" s="88"/>
      <c r="AX98" s="88"/>
      <c r="AY98" s="88"/>
      <c r="AZ98" s="88"/>
      <c r="BA98" s="89"/>
      <c r="BB98" s="89"/>
      <c r="BC98" s="89"/>
      <c r="BD98" s="89"/>
      <c r="BE98" s="89"/>
      <c r="BF98" s="89"/>
      <c r="BG98" s="89"/>
      <c r="BH98" s="89"/>
      <c r="BI98" s="631"/>
      <c r="BJ98" s="631"/>
      <c r="BK98" s="631"/>
      <c r="BL98" s="631"/>
      <c r="BM98" s="631"/>
      <c r="BN98" s="631"/>
      <c r="BO98" s="631"/>
      <c r="BP98" s="631"/>
      <c r="BQ98" s="631"/>
      <c r="BR98" s="631"/>
      <c r="BS98" s="631"/>
      <c r="BT98" s="631"/>
      <c r="BU98" s="631"/>
      <c r="BV98" s="631"/>
      <c r="BW98" s="535">
        <v>2022</v>
      </c>
      <c r="BX98" s="42"/>
      <c r="BY98" s="42"/>
      <c r="BZ98" s="40"/>
      <c r="CA98" s="39"/>
      <c r="CB98" s="39"/>
      <c r="CC98" s="80" t="s">
        <v>536</v>
      </c>
      <c r="CD98" s="51" t="s">
        <v>537</v>
      </c>
      <c r="CE98" s="52"/>
      <c r="CF98" s="52"/>
    </row>
    <row r="99" spans="1:84" ht="33.75" customHeight="1">
      <c r="A99" s="553" t="s">
        <v>45</v>
      </c>
      <c r="B99" s="542" t="s">
        <v>57</v>
      </c>
      <c r="C99" s="537"/>
      <c r="D99" s="537"/>
      <c r="E99" s="537"/>
      <c r="F99" s="537"/>
      <c r="G99" s="537"/>
      <c r="H99" s="537"/>
      <c r="I99" s="537"/>
      <c r="J99" s="537"/>
      <c r="K99" s="537"/>
      <c r="L99" s="537"/>
      <c r="M99" s="638">
        <f t="shared" ref="M99:AR99" si="104">SUM(M100:M101)</f>
        <v>106748</v>
      </c>
      <c r="N99" s="638">
        <f t="shared" si="104"/>
        <v>0</v>
      </c>
      <c r="O99" s="638">
        <f t="shared" si="104"/>
        <v>70000</v>
      </c>
      <c r="P99" s="638">
        <f t="shared" si="104"/>
        <v>36748</v>
      </c>
      <c r="Q99" s="638">
        <f t="shared" si="104"/>
        <v>0</v>
      </c>
      <c r="R99" s="638">
        <f t="shared" si="104"/>
        <v>0</v>
      </c>
      <c r="S99" s="638">
        <f t="shared" si="104"/>
        <v>173.50399999999999</v>
      </c>
      <c r="T99" s="638">
        <f t="shared" si="104"/>
        <v>0</v>
      </c>
      <c r="U99" s="638">
        <f t="shared" si="104"/>
        <v>0</v>
      </c>
      <c r="V99" s="638">
        <f t="shared" si="104"/>
        <v>173.50399999999999</v>
      </c>
      <c r="W99" s="638">
        <f t="shared" si="104"/>
        <v>34248</v>
      </c>
      <c r="X99" s="638">
        <f t="shared" si="104"/>
        <v>0</v>
      </c>
      <c r="Y99" s="638">
        <f t="shared" si="104"/>
        <v>70000</v>
      </c>
      <c r="Z99" s="638">
        <f t="shared" si="104"/>
        <v>34248</v>
      </c>
      <c r="AA99" s="638">
        <f t="shared" si="104"/>
        <v>0</v>
      </c>
      <c r="AB99" s="638">
        <f t="shared" si="104"/>
        <v>34248</v>
      </c>
      <c r="AC99" s="638">
        <f t="shared" si="104"/>
        <v>0</v>
      </c>
      <c r="AD99" s="638">
        <f t="shared" si="104"/>
        <v>0</v>
      </c>
      <c r="AE99" s="638">
        <f t="shared" si="104"/>
        <v>0</v>
      </c>
      <c r="AF99" s="638">
        <f t="shared" si="104"/>
        <v>0</v>
      </c>
      <c r="AG99" s="638">
        <f t="shared" si="104"/>
        <v>0</v>
      </c>
      <c r="AH99" s="638">
        <f t="shared" si="104"/>
        <v>0</v>
      </c>
      <c r="AI99" s="638">
        <f t="shared" si="104"/>
        <v>0</v>
      </c>
      <c r="AJ99" s="638">
        <f t="shared" si="104"/>
        <v>0</v>
      </c>
      <c r="AK99" s="638">
        <f t="shared" si="104"/>
        <v>0</v>
      </c>
      <c r="AL99" s="638">
        <f t="shared" si="104"/>
        <v>0</v>
      </c>
      <c r="AM99" s="638">
        <f t="shared" si="104"/>
        <v>0</v>
      </c>
      <c r="AN99" s="638">
        <f t="shared" si="104"/>
        <v>0</v>
      </c>
      <c r="AO99" s="638">
        <f t="shared" si="104"/>
        <v>0</v>
      </c>
      <c r="AP99" s="638">
        <f t="shared" si="104"/>
        <v>0</v>
      </c>
      <c r="AQ99" s="638">
        <f t="shared" si="104"/>
        <v>0</v>
      </c>
      <c r="AR99" s="638">
        <f t="shared" si="104"/>
        <v>0</v>
      </c>
      <c r="AS99" s="638">
        <f t="shared" ref="AS99:BU99" si="105">SUM(AS100:AS101)</f>
        <v>0</v>
      </c>
      <c r="AT99" s="638">
        <f t="shared" si="105"/>
        <v>0</v>
      </c>
      <c r="AU99" s="638">
        <f t="shared" si="105"/>
        <v>0</v>
      </c>
      <c r="AV99" s="638">
        <f t="shared" si="105"/>
        <v>0</v>
      </c>
      <c r="AW99" s="638">
        <f t="shared" si="105"/>
        <v>0</v>
      </c>
      <c r="AX99" s="638">
        <f t="shared" si="105"/>
        <v>0</v>
      </c>
      <c r="AY99" s="638">
        <f t="shared" si="105"/>
        <v>0</v>
      </c>
      <c r="AZ99" s="638">
        <f t="shared" si="105"/>
        <v>0</v>
      </c>
      <c r="BA99" s="638">
        <f t="shared" si="105"/>
        <v>0</v>
      </c>
      <c r="BB99" s="638">
        <f t="shared" si="105"/>
        <v>0</v>
      </c>
      <c r="BC99" s="638">
        <f t="shared" si="105"/>
        <v>0</v>
      </c>
      <c r="BD99" s="638">
        <f t="shared" si="105"/>
        <v>0</v>
      </c>
      <c r="BE99" s="638">
        <f t="shared" si="105"/>
        <v>0</v>
      </c>
      <c r="BF99" s="638">
        <f t="shared" si="105"/>
        <v>0</v>
      </c>
      <c r="BG99" s="638">
        <f t="shared" si="105"/>
        <v>0</v>
      </c>
      <c r="BH99" s="638">
        <f t="shared" si="105"/>
        <v>0</v>
      </c>
      <c r="BI99" s="638">
        <f t="shared" si="105"/>
        <v>0</v>
      </c>
      <c r="BJ99" s="638">
        <f t="shared" si="105"/>
        <v>0</v>
      </c>
      <c r="BK99" s="638">
        <f t="shared" si="105"/>
        <v>0</v>
      </c>
      <c r="BL99" s="638">
        <f t="shared" si="105"/>
        <v>0</v>
      </c>
      <c r="BM99" s="638">
        <f t="shared" si="105"/>
        <v>0</v>
      </c>
      <c r="BN99" s="638">
        <f t="shared" si="105"/>
        <v>0</v>
      </c>
      <c r="BO99" s="638">
        <f t="shared" si="105"/>
        <v>0</v>
      </c>
      <c r="BP99" s="638">
        <f t="shared" si="105"/>
        <v>0</v>
      </c>
      <c r="BQ99" s="638">
        <f t="shared" si="105"/>
        <v>104248</v>
      </c>
      <c r="BR99" s="638">
        <f t="shared" si="105"/>
        <v>0</v>
      </c>
      <c r="BS99" s="638">
        <f t="shared" si="105"/>
        <v>104248</v>
      </c>
      <c r="BT99" s="638">
        <f t="shared" si="105"/>
        <v>0</v>
      </c>
      <c r="BU99" s="638">
        <f t="shared" si="105"/>
        <v>0</v>
      </c>
      <c r="BV99" s="638"/>
      <c r="BW99" s="537"/>
      <c r="BX99" s="627">
        <f ca="1">SUM(BX13:BX101)</f>
        <v>784</v>
      </c>
      <c r="BY99" s="627">
        <f ca="1">SUM(BY13:BY101)</f>
        <v>0</v>
      </c>
      <c r="BZ99" s="38"/>
      <c r="CA99" s="37">
        <f ca="1">SUM(CA13:CA101)</f>
        <v>0</v>
      </c>
      <c r="CB99" s="37">
        <f ca="1">SUM(CB13:CB101)</f>
        <v>0</v>
      </c>
    </row>
    <row r="100" spans="1:84" ht="66" customHeight="1" outlineLevel="1">
      <c r="A100" s="628">
        <v>1</v>
      </c>
      <c r="B100" s="549" t="s">
        <v>513</v>
      </c>
      <c r="C100" s="535" t="s">
        <v>492</v>
      </c>
      <c r="D100" s="541" t="s">
        <v>490</v>
      </c>
      <c r="E100" s="535" t="s">
        <v>49</v>
      </c>
      <c r="F100" s="431"/>
      <c r="G100" s="628" t="s">
        <v>493</v>
      </c>
      <c r="H100" s="540">
        <v>7778471</v>
      </c>
      <c r="I100" s="535"/>
      <c r="J100" s="540">
        <v>2020</v>
      </c>
      <c r="K100" s="535" t="s">
        <v>514</v>
      </c>
      <c r="L100" s="535" t="s">
        <v>3599</v>
      </c>
      <c r="M100" s="87">
        <v>2500</v>
      </c>
      <c r="N100" s="87"/>
      <c r="O100" s="87"/>
      <c r="P100" s="87">
        <v>2500</v>
      </c>
      <c r="Q100" s="87"/>
      <c r="R100" s="87" t="s">
        <v>493</v>
      </c>
      <c r="S100" s="88">
        <f t="shared" ref="S100:S101" si="106">SUM(T100:V100)</f>
        <v>173.50399999999999</v>
      </c>
      <c r="T100" s="88"/>
      <c r="U100" s="88"/>
      <c r="V100" s="88">
        <v>173.50399999999999</v>
      </c>
      <c r="W100" s="88">
        <f t="shared" ref="W100:W101" si="107">AA100+AB100+AC100</f>
        <v>0</v>
      </c>
      <c r="X100" s="88"/>
      <c r="Y100" s="88"/>
      <c r="Z100" s="88">
        <f t="shared" ref="Z100:Z101" si="108">SUM(AB100:AC100)</f>
        <v>0</v>
      </c>
      <c r="AA100" s="88">
        <v>0</v>
      </c>
      <c r="AB100" s="88"/>
      <c r="AC100" s="88"/>
      <c r="AD100" s="88">
        <f>SUM(AE100:AG100)</f>
        <v>0</v>
      </c>
      <c r="AE100" s="88"/>
      <c r="AF100" s="88"/>
      <c r="AG100" s="88">
        <f t="shared" ref="AG100:AG101" si="109">SUM(AH100:AK100)</f>
        <v>0</v>
      </c>
      <c r="AH100" s="88"/>
      <c r="AI100" s="88"/>
      <c r="AJ100" s="88"/>
      <c r="AK100" s="88"/>
      <c r="AL100" s="88">
        <f t="shared" ref="AL100:AL101" si="110">SUM(AM100:AO100)</f>
        <v>0</v>
      </c>
      <c r="AM100" s="88"/>
      <c r="AN100" s="88"/>
      <c r="AO100" s="88">
        <f>SUM(AP100:AS100)</f>
        <v>0</v>
      </c>
      <c r="AP100" s="88"/>
      <c r="AQ100" s="88"/>
      <c r="AR100" s="88"/>
      <c r="AS100" s="88"/>
      <c r="AT100" s="88">
        <f t="shared" ref="AT100:AT101" si="111">AX100+AY100+AZ100</f>
        <v>0</v>
      </c>
      <c r="AU100" s="88"/>
      <c r="AV100" s="88"/>
      <c r="AW100" s="88">
        <f t="shared" ref="AW100:AW101" si="112">SUM(AX100:AZ100)</f>
        <v>0</v>
      </c>
      <c r="AX100" s="88"/>
      <c r="AY100" s="88"/>
      <c r="AZ100" s="88"/>
      <c r="BA100" s="89">
        <f>SUM(BB100:BD100)</f>
        <v>0</v>
      </c>
      <c r="BB100" s="89"/>
      <c r="BC100" s="89"/>
      <c r="BD100" s="89">
        <f>SUM(BE100:BH100)</f>
        <v>0</v>
      </c>
      <c r="BE100" s="89"/>
      <c r="BF100" s="89"/>
      <c r="BG100" s="89"/>
      <c r="BH100" s="89"/>
      <c r="BI100" s="631">
        <f>SUM(BJ100:BL100)</f>
        <v>0</v>
      </c>
      <c r="BJ100" s="631"/>
      <c r="BK100" s="631"/>
      <c r="BL100" s="631"/>
      <c r="BM100" s="631">
        <f>SUM(BN100:BP100)</f>
        <v>0</v>
      </c>
      <c r="BN100" s="631"/>
      <c r="BO100" s="631"/>
      <c r="BP100" s="631"/>
      <c r="BQ100" s="631">
        <f>SUM(BR100:BT100)</f>
        <v>0</v>
      </c>
      <c r="BR100" s="631"/>
      <c r="BS100" s="631"/>
      <c r="BT100" s="631"/>
      <c r="BU100" s="631" t="s">
        <v>488</v>
      </c>
      <c r="BV100" s="631"/>
      <c r="BW100" s="535" t="s">
        <v>515</v>
      </c>
      <c r="BX100" s="42"/>
      <c r="BY100" s="42"/>
      <c r="BZ100" s="36"/>
      <c r="CA100" s="35"/>
      <c r="CB100" s="35"/>
      <c r="CD100" s="28"/>
      <c r="CE100" s="28"/>
      <c r="CF100" s="28"/>
    </row>
    <row r="101" spans="1:84" ht="68.25" customHeight="1" outlineLevel="1">
      <c r="A101" s="628">
        <v>2</v>
      </c>
      <c r="B101" s="549" t="s">
        <v>516</v>
      </c>
      <c r="C101" s="535" t="s">
        <v>492</v>
      </c>
      <c r="D101" s="541" t="s">
        <v>490</v>
      </c>
      <c r="E101" s="535" t="s">
        <v>10</v>
      </c>
      <c r="F101" s="431">
        <v>292</v>
      </c>
      <c r="G101" s="628" t="s">
        <v>493</v>
      </c>
      <c r="H101" s="540"/>
      <c r="I101" s="535" t="s">
        <v>83</v>
      </c>
      <c r="J101" s="540"/>
      <c r="K101" s="535" t="s">
        <v>517</v>
      </c>
      <c r="L101" s="535" t="s">
        <v>3600</v>
      </c>
      <c r="M101" s="87">
        <v>104248</v>
      </c>
      <c r="N101" s="87"/>
      <c r="O101" s="87">
        <v>70000</v>
      </c>
      <c r="P101" s="87">
        <v>34248</v>
      </c>
      <c r="Q101" s="87"/>
      <c r="R101" s="87" t="s">
        <v>493</v>
      </c>
      <c r="S101" s="88">
        <f t="shared" si="106"/>
        <v>0</v>
      </c>
      <c r="T101" s="88"/>
      <c r="U101" s="88"/>
      <c r="V101" s="88"/>
      <c r="W101" s="88">
        <f t="shared" si="107"/>
        <v>34248</v>
      </c>
      <c r="X101" s="88"/>
      <c r="Y101" s="88">
        <v>70000</v>
      </c>
      <c r="Z101" s="88">
        <f t="shared" si="108"/>
        <v>34248</v>
      </c>
      <c r="AA101" s="88">
        <v>0</v>
      </c>
      <c r="AB101" s="88">
        <v>34248</v>
      </c>
      <c r="AC101" s="88"/>
      <c r="AD101" s="88">
        <f>SUM(AE101:AG101)</f>
        <v>0</v>
      </c>
      <c r="AE101" s="88"/>
      <c r="AF101" s="88"/>
      <c r="AG101" s="88">
        <f t="shared" si="109"/>
        <v>0</v>
      </c>
      <c r="AH101" s="88"/>
      <c r="AI101" s="88"/>
      <c r="AJ101" s="88"/>
      <c r="AK101" s="88"/>
      <c r="AL101" s="88">
        <f t="shared" si="110"/>
        <v>0</v>
      </c>
      <c r="AM101" s="88"/>
      <c r="AN101" s="88"/>
      <c r="AO101" s="88">
        <f>SUM(AP101:AS101)</f>
        <v>0</v>
      </c>
      <c r="AP101" s="88"/>
      <c r="AQ101" s="88"/>
      <c r="AR101" s="88"/>
      <c r="AS101" s="88"/>
      <c r="AT101" s="88">
        <f t="shared" si="111"/>
        <v>0</v>
      </c>
      <c r="AU101" s="88"/>
      <c r="AV101" s="88"/>
      <c r="AW101" s="88">
        <f t="shared" si="112"/>
        <v>0</v>
      </c>
      <c r="AX101" s="88"/>
      <c r="AY101" s="88"/>
      <c r="AZ101" s="88"/>
      <c r="BA101" s="89">
        <f>SUM(BB101:BD101)</f>
        <v>0</v>
      </c>
      <c r="BB101" s="89"/>
      <c r="BC101" s="89"/>
      <c r="BD101" s="89">
        <f>SUM(BE101:BH101)</f>
        <v>0</v>
      </c>
      <c r="BE101" s="89"/>
      <c r="BF101" s="89"/>
      <c r="BG101" s="89"/>
      <c r="BH101" s="89"/>
      <c r="BI101" s="631">
        <f>SUM(BJ101:BL101)</f>
        <v>0</v>
      </c>
      <c r="BJ101" s="631"/>
      <c r="BK101" s="631"/>
      <c r="BL101" s="631"/>
      <c r="BM101" s="631">
        <f>SUM(BN101:BP101)</f>
        <v>0</v>
      </c>
      <c r="BN101" s="631"/>
      <c r="BO101" s="631"/>
      <c r="BP101" s="631"/>
      <c r="BQ101" s="631">
        <f>SUM(BR101:BT101)</f>
        <v>104248</v>
      </c>
      <c r="BR101" s="631"/>
      <c r="BS101" s="631">
        <v>104248</v>
      </c>
      <c r="BT101" s="631"/>
      <c r="BU101" s="631"/>
      <c r="BV101" s="631"/>
      <c r="BW101" s="535" t="s">
        <v>518</v>
      </c>
      <c r="BX101" s="42"/>
      <c r="BY101" s="42"/>
      <c r="BZ101" s="36"/>
      <c r="CA101" s="35"/>
      <c r="CB101" s="35"/>
      <c r="CD101" s="28"/>
      <c r="CE101" s="28"/>
      <c r="CF101" s="28"/>
    </row>
    <row r="102" spans="1:84" ht="51" customHeight="1">
      <c r="A102" s="536" t="s">
        <v>14</v>
      </c>
      <c r="B102" s="538" t="s">
        <v>3598</v>
      </c>
      <c r="C102" s="634"/>
      <c r="D102" s="634"/>
      <c r="E102" s="634"/>
      <c r="F102" s="634"/>
      <c r="G102" s="634"/>
      <c r="H102" s="634"/>
      <c r="I102" s="634"/>
      <c r="J102" s="634"/>
      <c r="K102" s="634"/>
      <c r="L102" s="634"/>
      <c r="M102" s="635"/>
      <c r="N102" s="635"/>
      <c r="O102" s="635"/>
      <c r="P102" s="635"/>
      <c r="Q102" s="635"/>
      <c r="R102" s="635"/>
      <c r="S102" s="635"/>
      <c r="T102" s="635"/>
      <c r="U102" s="635"/>
      <c r="V102" s="635"/>
      <c r="W102" s="635">
        <f>AA102+AB102+AC102</f>
        <v>22894</v>
      </c>
      <c r="X102" s="635"/>
      <c r="Y102" s="635"/>
      <c r="Z102" s="635"/>
      <c r="AA102" s="635"/>
      <c r="AB102" s="635">
        <v>22894</v>
      </c>
      <c r="AC102" s="635"/>
      <c r="AD102" s="635"/>
      <c r="AE102" s="635"/>
      <c r="AF102" s="635"/>
      <c r="AG102" s="635"/>
      <c r="AH102" s="635"/>
      <c r="AI102" s="635"/>
      <c r="AJ102" s="635"/>
      <c r="AK102" s="635"/>
      <c r="AL102" s="635"/>
      <c r="AM102" s="635"/>
      <c r="AN102" s="635"/>
      <c r="AO102" s="635"/>
      <c r="AP102" s="635"/>
      <c r="AQ102" s="635"/>
      <c r="AR102" s="635"/>
      <c r="AS102" s="635"/>
      <c r="AT102" s="635">
        <f t="shared" ref="AT102" si="113">AX102+AY102+AZ102</f>
        <v>500</v>
      </c>
      <c r="AU102" s="635"/>
      <c r="AV102" s="635"/>
      <c r="AW102" s="635">
        <f t="shared" ref="AW102" si="114">SUM(AX102:AZ102)</f>
        <v>500</v>
      </c>
      <c r="AX102" s="635"/>
      <c r="AY102" s="635">
        <v>500</v>
      </c>
      <c r="AZ102" s="635"/>
      <c r="BA102" s="635"/>
      <c r="BB102" s="635"/>
      <c r="BC102" s="635"/>
      <c r="BD102" s="635"/>
      <c r="BE102" s="635"/>
      <c r="BF102" s="635"/>
      <c r="BG102" s="635"/>
      <c r="BH102" s="635"/>
      <c r="BI102" s="635"/>
      <c r="BJ102" s="635"/>
      <c r="BK102" s="635"/>
      <c r="BL102" s="635"/>
      <c r="BM102" s="635"/>
      <c r="BN102" s="635"/>
      <c r="BO102" s="635"/>
      <c r="BP102" s="635"/>
      <c r="BQ102" s="635"/>
      <c r="BR102" s="635"/>
      <c r="BS102" s="635"/>
      <c r="BT102" s="635"/>
      <c r="BU102" s="635"/>
      <c r="BV102" s="635"/>
      <c r="BW102" s="634"/>
      <c r="BX102" s="42"/>
      <c r="BY102" s="42"/>
      <c r="BZ102" s="49"/>
      <c r="CA102" s="41"/>
      <c r="CB102" s="41"/>
    </row>
    <row r="103" spans="1:84" ht="61.5" customHeight="1">
      <c r="A103" s="532" t="s">
        <v>49</v>
      </c>
      <c r="B103" s="532" t="s">
        <v>3643</v>
      </c>
      <c r="C103" s="532"/>
      <c r="D103" s="543"/>
      <c r="E103" s="532"/>
      <c r="F103" s="532"/>
      <c r="G103" s="543"/>
      <c r="H103" s="532"/>
      <c r="I103" s="532"/>
      <c r="J103" s="532"/>
      <c r="K103" s="532"/>
      <c r="L103" s="532"/>
      <c r="M103" s="626">
        <f>SUM(M104:M105)</f>
        <v>0</v>
      </c>
      <c r="N103" s="626">
        <f t="shared" ref="N103:BU103" si="115">SUM(N104:N105)</f>
        <v>0</v>
      </c>
      <c r="O103" s="626">
        <f t="shared" si="115"/>
        <v>0</v>
      </c>
      <c r="P103" s="626">
        <f t="shared" si="115"/>
        <v>0</v>
      </c>
      <c r="Q103" s="626">
        <f t="shared" si="115"/>
        <v>0</v>
      </c>
      <c r="R103" s="626">
        <f t="shared" si="115"/>
        <v>0</v>
      </c>
      <c r="S103" s="626">
        <f t="shared" si="115"/>
        <v>0</v>
      </c>
      <c r="T103" s="626">
        <f t="shared" si="115"/>
        <v>0</v>
      </c>
      <c r="U103" s="626">
        <f t="shared" si="115"/>
        <v>0</v>
      </c>
      <c r="V103" s="626">
        <f t="shared" si="115"/>
        <v>0</v>
      </c>
      <c r="W103" s="626">
        <f t="shared" si="115"/>
        <v>32589.817831</v>
      </c>
      <c r="X103" s="626">
        <f t="shared" si="115"/>
        <v>0</v>
      </c>
      <c r="Y103" s="626">
        <f t="shared" si="115"/>
        <v>0</v>
      </c>
      <c r="Z103" s="626">
        <f t="shared" si="115"/>
        <v>24315.007831000003</v>
      </c>
      <c r="AA103" s="626">
        <f t="shared" si="115"/>
        <v>8274.81</v>
      </c>
      <c r="AB103" s="626">
        <f t="shared" si="115"/>
        <v>12463.095841</v>
      </c>
      <c r="AC103" s="626">
        <f t="shared" si="115"/>
        <v>11851.911990000002</v>
      </c>
      <c r="AD103" s="626">
        <f t="shared" si="115"/>
        <v>18949.633830999999</v>
      </c>
      <c r="AE103" s="626">
        <f t="shared" si="115"/>
        <v>0</v>
      </c>
      <c r="AF103" s="626">
        <f t="shared" si="115"/>
        <v>0</v>
      </c>
      <c r="AG103" s="626">
        <f t="shared" si="115"/>
        <v>18949.633830999999</v>
      </c>
      <c r="AH103" s="626">
        <f t="shared" si="115"/>
        <v>0</v>
      </c>
      <c r="AI103" s="626">
        <f t="shared" si="115"/>
        <v>0</v>
      </c>
      <c r="AJ103" s="626">
        <f t="shared" si="115"/>
        <v>12463.095841</v>
      </c>
      <c r="AK103" s="626">
        <f t="shared" si="115"/>
        <v>6486.5379900000016</v>
      </c>
      <c r="AL103" s="626">
        <f t="shared" si="115"/>
        <v>18858.633830999999</v>
      </c>
      <c r="AM103" s="626">
        <f t="shared" si="115"/>
        <v>0</v>
      </c>
      <c r="AN103" s="626">
        <f t="shared" si="115"/>
        <v>0</v>
      </c>
      <c r="AO103" s="626">
        <f t="shared" si="115"/>
        <v>18858.633830999999</v>
      </c>
      <c r="AP103" s="626">
        <f t="shared" si="115"/>
        <v>0</v>
      </c>
      <c r="AQ103" s="626">
        <f t="shared" si="115"/>
        <v>0</v>
      </c>
      <c r="AR103" s="626">
        <f t="shared" si="115"/>
        <v>12372.095841</v>
      </c>
      <c r="AS103" s="626">
        <f t="shared" si="115"/>
        <v>6486.5379900000016</v>
      </c>
      <c r="AT103" s="626">
        <f t="shared" si="115"/>
        <v>13640.184000000001</v>
      </c>
      <c r="AU103" s="626">
        <f t="shared" si="115"/>
        <v>0</v>
      </c>
      <c r="AV103" s="626">
        <f t="shared" si="115"/>
        <v>0</v>
      </c>
      <c r="AW103" s="626">
        <f t="shared" si="115"/>
        <v>13640.184000000001</v>
      </c>
      <c r="AX103" s="626">
        <f t="shared" si="115"/>
        <v>8274.81</v>
      </c>
      <c r="AY103" s="626">
        <f t="shared" si="115"/>
        <v>0</v>
      </c>
      <c r="AZ103" s="626">
        <f t="shared" si="115"/>
        <v>5365.3739999999998</v>
      </c>
      <c r="BA103" s="626">
        <f t="shared" si="115"/>
        <v>2758.6008590000001</v>
      </c>
      <c r="BB103" s="626">
        <f t="shared" si="115"/>
        <v>0</v>
      </c>
      <c r="BC103" s="626">
        <f t="shared" si="115"/>
        <v>0</v>
      </c>
      <c r="BD103" s="626">
        <f t="shared" si="115"/>
        <v>2758.6008590000001</v>
      </c>
      <c r="BE103" s="626">
        <f t="shared" si="115"/>
        <v>2447.8872489999999</v>
      </c>
      <c r="BF103" s="626">
        <f t="shared" si="115"/>
        <v>0</v>
      </c>
      <c r="BG103" s="626">
        <f t="shared" si="115"/>
        <v>0</v>
      </c>
      <c r="BH103" s="626">
        <f t="shared" si="115"/>
        <v>310.71361000000002</v>
      </c>
      <c r="BI103" s="626">
        <f t="shared" si="115"/>
        <v>217.87398799999983</v>
      </c>
      <c r="BJ103" s="626">
        <f t="shared" si="115"/>
        <v>0</v>
      </c>
      <c r="BK103" s="626">
        <f t="shared" si="115"/>
        <v>0</v>
      </c>
      <c r="BL103" s="626">
        <f t="shared" si="115"/>
        <v>217.87398799999983</v>
      </c>
      <c r="BM103" s="626">
        <f t="shared" si="115"/>
        <v>91.012951999999999</v>
      </c>
      <c r="BN103" s="626">
        <f t="shared" si="115"/>
        <v>0</v>
      </c>
      <c r="BO103" s="626">
        <f t="shared" si="115"/>
        <v>0</v>
      </c>
      <c r="BP103" s="626">
        <f t="shared" si="115"/>
        <v>91.012951999999999</v>
      </c>
      <c r="BQ103" s="626">
        <f t="shared" si="115"/>
        <v>0</v>
      </c>
      <c r="BR103" s="626">
        <f t="shared" si="115"/>
        <v>0</v>
      </c>
      <c r="BS103" s="626">
        <f t="shared" si="115"/>
        <v>0</v>
      </c>
      <c r="BT103" s="626">
        <f t="shared" si="115"/>
        <v>0</v>
      </c>
      <c r="BU103" s="626">
        <f t="shared" si="115"/>
        <v>0</v>
      </c>
      <c r="BV103" s="640">
        <v>217.873988</v>
      </c>
      <c r="BW103" s="641" t="s">
        <v>519</v>
      </c>
      <c r="BX103" s="90"/>
      <c r="BY103" s="90"/>
    </row>
    <row r="104" spans="1:84" ht="42" customHeight="1" outlineLevel="1">
      <c r="A104" s="642" t="s">
        <v>45</v>
      </c>
      <c r="B104" s="431" t="s">
        <v>325</v>
      </c>
      <c r="C104" s="535"/>
      <c r="D104" s="541" t="s">
        <v>322</v>
      </c>
      <c r="E104" s="535"/>
      <c r="F104" s="431"/>
      <c r="G104" s="628" t="s">
        <v>325</v>
      </c>
      <c r="H104" s="540"/>
      <c r="I104" s="535"/>
      <c r="J104" s="540"/>
      <c r="K104" s="540"/>
      <c r="L104" s="535"/>
      <c r="M104" s="87"/>
      <c r="N104" s="87"/>
      <c r="O104" s="87"/>
      <c r="P104" s="87"/>
      <c r="Q104" s="87"/>
      <c r="R104" s="87" t="s">
        <v>325</v>
      </c>
      <c r="S104" s="88">
        <f>SUM(T104:V104)</f>
        <v>0</v>
      </c>
      <c r="T104" s="88"/>
      <c r="U104" s="88"/>
      <c r="V104" s="88"/>
      <c r="W104" s="88">
        <f t="shared" ref="W104:W105" si="116">AA104+AB104+AC104</f>
        <v>27868.611831000002</v>
      </c>
      <c r="X104" s="88"/>
      <c r="Y104" s="88"/>
      <c r="Z104" s="88">
        <f>SUM(AB104:AC104)</f>
        <v>20013.448831000002</v>
      </c>
      <c r="AA104" s="88">
        <v>7855.1630000000005</v>
      </c>
      <c r="AB104" s="88">
        <v>8813.799841</v>
      </c>
      <c r="AC104" s="88">
        <v>11199.648990000002</v>
      </c>
      <c r="AD104" s="88">
        <f>SUM(AE104:AG104)</f>
        <v>15300.337831000001</v>
      </c>
      <c r="AE104" s="88"/>
      <c r="AF104" s="88"/>
      <c r="AG104" s="88">
        <f>SUM(AH104:AK104)</f>
        <v>15300.337831000001</v>
      </c>
      <c r="AH104" s="88"/>
      <c r="AI104" s="88"/>
      <c r="AJ104" s="88">
        <v>8813.799841</v>
      </c>
      <c r="AK104" s="88">
        <v>6486.5379900000016</v>
      </c>
      <c r="AL104" s="88">
        <f>SUM(AM104:AO104)</f>
        <v>15209.337831000001</v>
      </c>
      <c r="AM104" s="88"/>
      <c r="AN104" s="88"/>
      <c r="AO104" s="88">
        <f>SUM(AP104:AS104)</f>
        <v>15209.337831000001</v>
      </c>
      <c r="AP104" s="88">
        <v>0</v>
      </c>
      <c r="AQ104" s="88"/>
      <c r="AR104" s="88">
        <v>8722.799841</v>
      </c>
      <c r="AS104" s="88">
        <v>6486.5379900000016</v>
      </c>
      <c r="AT104" s="88">
        <f t="shared" ref="AT104:AT105" si="117">AX104+AY104+AZ104</f>
        <v>12568.274000000001</v>
      </c>
      <c r="AU104" s="88">
        <v>0</v>
      </c>
      <c r="AV104" s="88">
        <v>0</v>
      </c>
      <c r="AW104" s="88">
        <f>SUM(AX104:AZ104)</f>
        <v>12568.274000000001</v>
      </c>
      <c r="AX104" s="88">
        <v>7855.1630000000005</v>
      </c>
      <c r="AY104" s="88">
        <v>0</v>
      </c>
      <c r="AZ104" s="88">
        <v>4713.1109999999999</v>
      </c>
      <c r="BA104" s="89">
        <f>SUM(BB104:BD104)</f>
        <v>2242.6978589999999</v>
      </c>
      <c r="BB104" s="89">
        <v>0</v>
      </c>
      <c r="BC104" s="89">
        <v>0</v>
      </c>
      <c r="BD104" s="89">
        <f>SUM(BE104:BH104)</f>
        <v>2242.6978589999999</v>
      </c>
      <c r="BE104" s="89">
        <v>2028.2402489999999</v>
      </c>
      <c r="BF104" s="89">
        <v>0</v>
      </c>
      <c r="BG104" s="89">
        <v>0</v>
      </c>
      <c r="BH104" s="89">
        <v>214.45760999999999</v>
      </c>
      <c r="BI104" s="631">
        <f>SUM(BJ104:BL104)</f>
        <v>217.87398799999983</v>
      </c>
      <c r="BJ104" s="631">
        <v>0</v>
      </c>
      <c r="BK104" s="631">
        <v>0</v>
      </c>
      <c r="BL104" s="631">
        <v>217.87398799999983</v>
      </c>
      <c r="BM104" s="631">
        <f>SUM(BN104:BP104)</f>
        <v>91.012951999999999</v>
      </c>
      <c r="BN104" s="631">
        <v>0</v>
      </c>
      <c r="BO104" s="631">
        <v>0</v>
      </c>
      <c r="BP104" s="631">
        <v>91.012951999999999</v>
      </c>
      <c r="BQ104" s="631">
        <f>SUM(BR104:BT104)</f>
        <v>0</v>
      </c>
      <c r="BR104" s="631"/>
      <c r="BS104" s="631"/>
      <c r="BT104" s="631"/>
      <c r="BU104" s="631"/>
      <c r="BV104" s="631"/>
      <c r="BW104" s="535"/>
      <c r="BX104" s="42">
        <v>7855.1630000000005</v>
      </c>
      <c r="BY104" s="42"/>
      <c r="BZ104" s="36"/>
      <c r="CA104" s="35">
        <v>7855.1630000000005</v>
      </c>
      <c r="CB104" s="35">
        <v>0</v>
      </c>
      <c r="CD104" s="28"/>
      <c r="CE104" s="28"/>
      <c r="CF104" s="28"/>
    </row>
    <row r="105" spans="1:84" ht="42" customHeight="1" outlineLevel="1">
      <c r="A105" s="642" t="s">
        <v>45</v>
      </c>
      <c r="B105" s="431" t="s">
        <v>493</v>
      </c>
      <c r="C105" s="535"/>
      <c r="D105" s="541" t="s">
        <v>490</v>
      </c>
      <c r="E105" s="535"/>
      <c r="F105" s="431"/>
      <c r="G105" s="628" t="s">
        <v>493</v>
      </c>
      <c r="H105" s="540"/>
      <c r="I105" s="535"/>
      <c r="J105" s="540"/>
      <c r="K105" s="540"/>
      <c r="L105" s="535"/>
      <c r="M105" s="87"/>
      <c r="N105" s="87"/>
      <c r="O105" s="87"/>
      <c r="P105" s="87"/>
      <c r="Q105" s="87"/>
      <c r="R105" s="87" t="s">
        <v>493</v>
      </c>
      <c r="S105" s="88">
        <f>SUM(T105:V105)</f>
        <v>0</v>
      </c>
      <c r="T105" s="88"/>
      <c r="U105" s="88"/>
      <c r="V105" s="88"/>
      <c r="W105" s="88">
        <f t="shared" si="116"/>
        <v>4721.2060000000001</v>
      </c>
      <c r="X105" s="88"/>
      <c r="Y105" s="88"/>
      <c r="Z105" s="88">
        <f>SUM(AB105:AC105)</f>
        <v>4301.5590000000011</v>
      </c>
      <c r="AA105" s="88">
        <v>419.64699999999903</v>
      </c>
      <c r="AB105" s="88">
        <v>3649.2960000000003</v>
      </c>
      <c r="AC105" s="88">
        <v>652.26300000000083</v>
      </c>
      <c r="AD105" s="88">
        <f>SUM(AE105:AG105)</f>
        <v>3649.2960000000003</v>
      </c>
      <c r="AE105" s="88">
        <v>0</v>
      </c>
      <c r="AF105" s="88">
        <v>0</v>
      </c>
      <c r="AG105" s="88">
        <f>SUM(AH105:AK105)</f>
        <v>3649.2960000000003</v>
      </c>
      <c r="AH105" s="88">
        <v>0</v>
      </c>
      <c r="AI105" s="88">
        <v>0</v>
      </c>
      <c r="AJ105" s="88">
        <v>3649.2960000000003</v>
      </c>
      <c r="AK105" s="88">
        <v>0</v>
      </c>
      <c r="AL105" s="88">
        <f>SUM(AM105:AO105)</f>
        <v>3649.2960000000003</v>
      </c>
      <c r="AM105" s="88">
        <v>0</v>
      </c>
      <c r="AN105" s="88">
        <v>0</v>
      </c>
      <c r="AO105" s="88">
        <f>SUM(AP105:AS105)</f>
        <v>3649.2960000000003</v>
      </c>
      <c r="AP105" s="88">
        <v>0</v>
      </c>
      <c r="AQ105" s="88">
        <v>0</v>
      </c>
      <c r="AR105" s="88">
        <v>3649.2960000000003</v>
      </c>
      <c r="AS105" s="88">
        <v>0</v>
      </c>
      <c r="AT105" s="88">
        <f t="shared" si="117"/>
        <v>1071.9099999999989</v>
      </c>
      <c r="AU105" s="88">
        <v>0</v>
      </c>
      <c r="AV105" s="88">
        <v>0</v>
      </c>
      <c r="AW105" s="88">
        <f>SUM(AX105:AZ105)</f>
        <v>1071.9099999999989</v>
      </c>
      <c r="AX105" s="88">
        <v>419.64699999999903</v>
      </c>
      <c r="AY105" s="88">
        <v>0</v>
      </c>
      <c r="AZ105" s="88">
        <v>652.26299999999992</v>
      </c>
      <c r="BA105" s="89">
        <f>SUM(BB105:BD105)</f>
        <v>515.90300000000002</v>
      </c>
      <c r="BB105" s="89">
        <v>0</v>
      </c>
      <c r="BC105" s="89">
        <v>0</v>
      </c>
      <c r="BD105" s="89">
        <f>SUM(BE105:BH105)</f>
        <v>515.90300000000002</v>
      </c>
      <c r="BE105" s="89">
        <v>419.64700000000005</v>
      </c>
      <c r="BF105" s="89">
        <v>0</v>
      </c>
      <c r="BG105" s="89">
        <v>0</v>
      </c>
      <c r="BH105" s="89">
        <v>96.256</v>
      </c>
      <c r="BI105" s="631">
        <f>SUM(BJ105:BL105)</f>
        <v>0</v>
      </c>
      <c r="BJ105" s="631">
        <v>0</v>
      </c>
      <c r="BK105" s="631">
        <v>0</v>
      </c>
      <c r="BL105" s="631">
        <v>0</v>
      </c>
      <c r="BM105" s="631">
        <f>SUM(BN105:BP105)</f>
        <v>0</v>
      </c>
      <c r="BN105" s="631">
        <v>0</v>
      </c>
      <c r="BO105" s="631">
        <v>0</v>
      </c>
      <c r="BP105" s="631">
        <v>0</v>
      </c>
      <c r="BQ105" s="631">
        <f>SUM(BR105:BT105)</f>
        <v>0</v>
      </c>
      <c r="BR105" s="631"/>
      <c r="BS105" s="631"/>
      <c r="BT105" s="631"/>
      <c r="BU105" s="631"/>
      <c r="BV105" s="631"/>
      <c r="BW105" s="535"/>
      <c r="BX105" s="42">
        <v>419.64699999999903</v>
      </c>
      <c r="BY105" s="42">
        <v>0</v>
      </c>
      <c r="BZ105" s="36"/>
      <c r="CA105" s="35">
        <v>419.64699999999903</v>
      </c>
      <c r="CB105" s="35">
        <v>0</v>
      </c>
      <c r="CD105" s="28"/>
      <c r="CE105" s="28"/>
      <c r="CF105" s="28"/>
    </row>
    <row r="106" spans="1:84" ht="39" customHeight="1">
      <c r="A106" s="532" t="s">
        <v>62</v>
      </c>
      <c r="B106" s="532" t="s">
        <v>3637</v>
      </c>
      <c r="C106" s="532"/>
      <c r="D106" s="543"/>
      <c r="E106" s="532"/>
      <c r="F106" s="532"/>
      <c r="G106" s="543"/>
      <c r="H106" s="532"/>
      <c r="I106" s="532"/>
      <c r="J106" s="532"/>
      <c r="K106" s="532"/>
      <c r="L106" s="532"/>
      <c r="M106" s="626">
        <f>SUM(M107:M108)</f>
        <v>0</v>
      </c>
      <c r="N106" s="626">
        <f t="shared" ref="N106:BX106" si="118">SUM(N107:N108)</f>
        <v>0</v>
      </c>
      <c r="O106" s="626">
        <f t="shared" si="118"/>
        <v>0</v>
      </c>
      <c r="P106" s="626">
        <f t="shared" si="118"/>
        <v>0</v>
      </c>
      <c r="Q106" s="626">
        <f t="shared" si="118"/>
        <v>0</v>
      </c>
      <c r="R106" s="626">
        <f t="shared" si="118"/>
        <v>0</v>
      </c>
      <c r="S106" s="626">
        <f t="shared" si="118"/>
        <v>0</v>
      </c>
      <c r="T106" s="626">
        <f t="shared" si="118"/>
        <v>0</v>
      </c>
      <c r="U106" s="626">
        <f t="shared" si="118"/>
        <v>0</v>
      </c>
      <c r="V106" s="626">
        <f t="shared" si="118"/>
        <v>0</v>
      </c>
      <c r="W106" s="626">
        <f t="shared" si="118"/>
        <v>1000</v>
      </c>
      <c r="X106" s="626">
        <f t="shared" si="118"/>
        <v>0</v>
      </c>
      <c r="Y106" s="626">
        <f t="shared" si="118"/>
        <v>0</v>
      </c>
      <c r="Z106" s="626">
        <f t="shared" si="118"/>
        <v>1000</v>
      </c>
      <c r="AA106" s="626">
        <f t="shared" si="118"/>
        <v>0</v>
      </c>
      <c r="AB106" s="626">
        <f t="shared" si="118"/>
        <v>1000</v>
      </c>
      <c r="AC106" s="626">
        <f t="shared" si="118"/>
        <v>0</v>
      </c>
      <c r="AD106" s="626">
        <f t="shared" si="118"/>
        <v>0</v>
      </c>
      <c r="AE106" s="626">
        <f t="shared" si="118"/>
        <v>0</v>
      </c>
      <c r="AF106" s="626">
        <f t="shared" si="118"/>
        <v>0</v>
      </c>
      <c r="AG106" s="626">
        <f t="shared" si="118"/>
        <v>0</v>
      </c>
      <c r="AH106" s="626">
        <f t="shared" si="118"/>
        <v>0</v>
      </c>
      <c r="AI106" s="626">
        <f t="shared" si="118"/>
        <v>0</v>
      </c>
      <c r="AJ106" s="626">
        <f t="shared" si="118"/>
        <v>0</v>
      </c>
      <c r="AK106" s="626">
        <f t="shared" si="118"/>
        <v>0</v>
      </c>
      <c r="AL106" s="626">
        <f t="shared" si="118"/>
        <v>0</v>
      </c>
      <c r="AM106" s="626">
        <f t="shared" si="118"/>
        <v>0</v>
      </c>
      <c r="AN106" s="626">
        <f t="shared" si="118"/>
        <v>0</v>
      </c>
      <c r="AO106" s="626">
        <f t="shared" si="118"/>
        <v>0</v>
      </c>
      <c r="AP106" s="626">
        <f t="shared" si="118"/>
        <v>0</v>
      </c>
      <c r="AQ106" s="626">
        <f t="shared" si="118"/>
        <v>0</v>
      </c>
      <c r="AR106" s="626">
        <f t="shared" si="118"/>
        <v>0</v>
      </c>
      <c r="AS106" s="626">
        <f t="shared" si="118"/>
        <v>0</v>
      </c>
      <c r="AT106" s="626">
        <f t="shared" si="118"/>
        <v>3300</v>
      </c>
      <c r="AU106" s="626">
        <f t="shared" si="118"/>
        <v>0</v>
      </c>
      <c r="AV106" s="626">
        <f t="shared" si="118"/>
        <v>0</v>
      </c>
      <c r="AW106" s="626">
        <f t="shared" si="118"/>
        <v>3300</v>
      </c>
      <c r="AX106" s="626">
        <f t="shared" si="118"/>
        <v>0</v>
      </c>
      <c r="AY106" s="626">
        <f t="shared" si="118"/>
        <v>3300</v>
      </c>
      <c r="AZ106" s="626">
        <f t="shared" si="118"/>
        <v>0</v>
      </c>
      <c r="BA106" s="626">
        <f t="shared" si="118"/>
        <v>0</v>
      </c>
      <c r="BB106" s="626">
        <f t="shared" si="118"/>
        <v>0</v>
      </c>
      <c r="BC106" s="626">
        <f t="shared" si="118"/>
        <v>0</v>
      </c>
      <c r="BD106" s="626">
        <f t="shared" si="118"/>
        <v>0</v>
      </c>
      <c r="BE106" s="626">
        <f t="shared" si="118"/>
        <v>0</v>
      </c>
      <c r="BF106" s="626">
        <f t="shared" si="118"/>
        <v>0</v>
      </c>
      <c r="BG106" s="626">
        <f t="shared" si="118"/>
        <v>0</v>
      </c>
      <c r="BH106" s="626">
        <f t="shared" si="118"/>
        <v>0</v>
      </c>
      <c r="BI106" s="626">
        <f t="shared" si="118"/>
        <v>0</v>
      </c>
      <c r="BJ106" s="626">
        <f t="shared" si="118"/>
        <v>0</v>
      </c>
      <c r="BK106" s="626">
        <f t="shared" si="118"/>
        <v>0</v>
      </c>
      <c r="BL106" s="626">
        <f t="shared" si="118"/>
        <v>0</v>
      </c>
      <c r="BM106" s="626">
        <f t="shared" si="118"/>
        <v>0</v>
      </c>
      <c r="BN106" s="626">
        <f t="shared" si="118"/>
        <v>0</v>
      </c>
      <c r="BO106" s="626">
        <f t="shared" si="118"/>
        <v>0</v>
      </c>
      <c r="BP106" s="626">
        <f t="shared" si="118"/>
        <v>0</v>
      </c>
      <c r="BQ106" s="626">
        <f t="shared" si="118"/>
        <v>0</v>
      </c>
      <c r="BR106" s="626">
        <f t="shared" si="118"/>
        <v>0</v>
      </c>
      <c r="BS106" s="626">
        <f t="shared" si="118"/>
        <v>0</v>
      </c>
      <c r="BT106" s="626">
        <f t="shared" si="118"/>
        <v>0</v>
      </c>
      <c r="BU106" s="626">
        <f t="shared" si="118"/>
        <v>0</v>
      </c>
      <c r="BV106" s="626"/>
      <c r="BW106" s="532"/>
      <c r="BX106" s="626">
        <f t="shared" si="118"/>
        <v>0</v>
      </c>
      <c r="BY106" s="90"/>
    </row>
    <row r="107" spans="1:84" ht="37.5" customHeight="1" outlineLevel="1">
      <c r="A107" s="642">
        <v>1</v>
      </c>
      <c r="B107" s="549" t="s">
        <v>520</v>
      </c>
      <c r="C107" s="535"/>
      <c r="D107" s="541"/>
      <c r="E107" s="535"/>
      <c r="F107" s="431"/>
      <c r="G107" s="541"/>
      <c r="H107" s="540"/>
      <c r="I107" s="535"/>
      <c r="J107" s="540"/>
      <c r="K107" s="535"/>
      <c r="L107" s="535"/>
      <c r="M107" s="87"/>
      <c r="N107" s="87"/>
      <c r="O107" s="87"/>
      <c r="P107" s="87"/>
      <c r="Q107" s="87"/>
      <c r="R107" s="88"/>
      <c r="S107" s="88"/>
      <c r="T107" s="88"/>
      <c r="U107" s="88"/>
      <c r="V107" s="88"/>
      <c r="W107" s="88">
        <f>AA107+AB107+AC107</f>
        <v>0</v>
      </c>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f>AX107+AY107+AZ107</f>
        <v>3300</v>
      </c>
      <c r="AU107" s="88"/>
      <c r="AV107" s="88"/>
      <c r="AW107" s="88">
        <f>SUM(AX107:AZ107)</f>
        <v>3300</v>
      </c>
      <c r="AX107" s="88"/>
      <c r="AY107" s="88">
        <v>3300</v>
      </c>
      <c r="AZ107" s="88"/>
      <c r="BA107" s="89"/>
      <c r="BB107" s="89"/>
      <c r="BC107" s="89"/>
      <c r="BD107" s="89"/>
      <c r="BE107" s="89"/>
      <c r="BF107" s="89"/>
      <c r="BG107" s="89"/>
      <c r="BH107" s="89"/>
      <c r="BI107" s="631"/>
      <c r="BJ107" s="631"/>
      <c r="BK107" s="631"/>
      <c r="BL107" s="631"/>
      <c r="BM107" s="631"/>
      <c r="BN107" s="631"/>
      <c r="BO107" s="631"/>
      <c r="BP107" s="631"/>
      <c r="BQ107" s="631"/>
      <c r="BR107" s="631"/>
      <c r="BS107" s="631"/>
      <c r="BT107" s="631"/>
      <c r="BU107" s="631"/>
      <c r="BV107" s="631"/>
      <c r="BW107" s="535" t="s">
        <v>521</v>
      </c>
      <c r="BX107" s="28"/>
      <c r="BY107" s="28"/>
      <c r="BZ107" s="28"/>
      <c r="CA107" s="28"/>
      <c r="CB107" s="28"/>
      <c r="CC107" s="44"/>
      <c r="CD107" s="28"/>
      <c r="CE107" s="28"/>
      <c r="CF107" s="28"/>
    </row>
    <row r="108" spans="1:84" ht="54.75" customHeight="1" outlineLevel="1">
      <c r="A108" s="643">
        <v>2</v>
      </c>
      <c r="B108" s="562" t="s">
        <v>522</v>
      </c>
      <c r="C108" s="544"/>
      <c r="D108" s="644"/>
      <c r="E108" s="544"/>
      <c r="F108" s="564"/>
      <c r="G108" s="644"/>
      <c r="H108" s="645"/>
      <c r="I108" s="544"/>
      <c r="J108" s="645"/>
      <c r="K108" s="544"/>
      <c r="L108" s="544"/>
      <c r="M108" s="646"/>
      <c r="N108" s="646"/>
      <c r="O108" s="646"/>
      <c r="P108" s="646"/>
      <c r="Q108" s="646"/>
      <c r="R108" s="647"/>
      <c r="S108" s="647"/>
      <c r="T108" s="647"/>
      <c r="U108" s="647"/>
      <c r="V108" s="647"/>
      <c r="W108" s="647">
        <f t="shared" ref="W108" si="119">AA108+AB108+AC108</f>
        <v>1000</v>
      </c>
      <c r="X108" s="647"/>
      <c r="Y108" s="647"/>
      <c r="Z108" s="647">
        <f>SUM(AA108:AC108)</f>
        <v>1000</v>
      </c>
      <c r="AA108" s="647">
        <v>0</v>
      </c>
      <c r="AB108" s="647">
        <v>1000</v>
      </c>
      <c r="AC108" s="647"/>
      <c r="AD108" s="647"/>
      <c r="AE108" s="647"/>
      <c r="AF108" s="647"/>
      <c r="AG108" s="647"/>
      <c r="AH108" s="647"/>
      <c r="AI108" s="647"/>
      <c r="AJ108" s="647"/>
      <c r="AK108" s="647"/>
      <c r="AL108" s="647"/>
      <c r="AM108" s="647"/>
      <c r="AN108" s="647"/>
      <c r="AO108" s="647"/>
      <c r="AP108" s="647"/>
      <c r="AQ108" s="647"/>
      <c r="AR108" s="647"/>
      <c r="AS108" s="647"/>
      <c r="AT108" s="647">
        <f t="shared" ref="AT108" si="120">AX108+AY108+AZ108</f>
        <v>0</v>
      </c>
      <c r="AU108" s="647"/>
      <c r="AV108" s="647"/>
      <c r="AW108" s="647">
        <f t="shared" ref="AW108" si="121">SUM(AX108:AZ108)</f>
        <v>0</v>
      </c>
      <c r="AX108" s="647"/>
      <c r="AY108" s="647"/>
      <c r="AZ108" s="647"/>
      <c r="BA108" s="205"/>
      <c r="BB108" s="205"/>
      <c r="BC108" s="205"/>
      <c r="BD108" s="205"/>
      <c r="BE108" s="205"/>
      <c r="BF108" s="205"/>
      <c r="BG108" s="205"/>
      <c r="BH108" s="205"/>
      <c r="BI108" s="644"/>
      <c r="BJ108" s="644"/>
      <c r="BK108" s="644"/>
      <c r="BL108" s="644"/>
      <c r="BM108" s="644"/>
      <c r="BN108" s="644"/>
      <c r="BO108" s="644"/>
      <c r="BP108" s="644"/>
      <c r="BQ108" s="644"/>
      <c r="BR108" s="644"/>
      <c r="BS108" s="644"/>
      <c r="BT108" s="644"/>
      <c r="BU108" s="644" t="s">
        <v>488</v>
      </c>
      <c r="BV108" s="644"/>
      <c r="BW108" s="648" t="s">
        <v>523</v>
      </c>
      <c r="BX108" s="42"/>
      <c r="BY108" s="42"/>
      <c r="BZ108" s="46"/>
      <c r="CA108" s="45"/>
      <c r="CB108" s="45"/>
      <c r="CC108" s="47"/>
      <c r="CD108" s="48"/>
      <c r="CE108" s="48"/>
      <c r="CF108" s="48"/>
    </row>
    <row r="109" spans="1:84">
      <c r="A109" s="19"/>
      <c r="B109" s="20"/>
      <c r="C109" s="20"/>
      <c r="D109" s="20"/>
      <c r="E109" s="20"/>
      <c r="F109" s="19"/>
      <c r="G109" s="19"/>
      <c r="H109" s="20"/>
      <c r="I109" s="21"/>
      <c r="J109" s="20"/>
      <c r="K109" s="20"/>
      <c r="L109" s="21"/>
      <c r="M109" s="20"/>
      <c r="N109" s="20"/>
      <c r="O109" s="20"/>
      <c r="P109" s="20"/>
      <c r="Q109" s="20"/>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0"/>
      <c r="BE109" s="20"/>
      <c r="BF109" s="20"/>
      <c r="BG109" s="20"/>
      <c r="BH109" s="20"/>
      <c r="BI109" s="20"/>
      <c r="BJ109" s="20"/>
      <c r="BK109" s="20"/>
      <c r="BL109" s="20"/>
      <c r="BM109" s="20"/>
      <c r="BN109" s="20"/>
      <c r="BO109" s="20"/>
      <c r="BP109" s="20"/>
      <c r="BQ109" s="20"/>
      <c r="BR109" s="20"/>
      <c r="BS109" s="20"/>
      <c r="BT109" s="20"/>
      <c r="BU109" s="20"/>
      <c r="BV109" s="20"/>
      <c r="BW109" s="21"/>
      <c r="BX109" s="21"/>
      <c r="BY109" s="21"/>
      <c r="BZ109" s="21"/>
      <c r="CA109" s="20"/>
      <c r="CB109" s="20"/>
    </row>
    <row r="110" spans="1:84" ht="37.5" customHeight="1">
      <c r="A110" s="895" t="s">
        <v>3689</v>
      </c>
      <c r="B110" s="896"/>
      <c r="C110" s="896"/>
      <c r="D110" s="896"/>
      <c r="E110" s="896"/>
      <c r="F110" s="896"/>
      <c r="G110" s="896"/>
      <c r="H110" s="896"/>
      <c r="I110" s="896"/>
      <c r="J110" s="896"/>
      <c r="K110" s="896"/>
      <c r="L110" s="896"/>
      <c r="M110" s="896"/>
      <c r="N110" s="896"/>
      <c r="O110" s="896"/>
      <c r="P110" s="896"/>
      <c r="Q110" s="896"/>
      <c r="R110" s="896"/>
      <c r="S110" s="896"/>
      <c r="T110" s="896"/>
      <c r="U110" s="896"/>
      <c r="V110" s="896"/>
      <c r="W110" s="896"/>
      <c r="X110" s="896"/>
      <c r="Y110" s="896"/>
      <c r="Z110" s="896"/>
      <c r="AA110" s="896"/>
      <c r="AB110" s="896"/>
      <c r="AC110" s="896"/>
      <c r="AD110" s="896"/>
      <c r="AE110" s="896"/>
      <c r="AF110" s="896"/>
      <c r="AG110" s="896"/>
      <c r="AH110" s="896"/>
      <c r="AI110" s="896"/>
      <c r="AJ110" s="896"/>
      <c r="AK110" s="896"/>
      <c r="AL110" s="896"/>
      <c r="AM110" s="896"/>
      <c r="AN110" s="896"/>
      <c r="AO110" s="896"/>
      <c r="AP110" s="896"/>
      <c r="AQ110" s="896"/>
      <c r="AR110" s="896"/>
      <c r="AS110" s="896"/>
      <c r="AT110" s="896"/>
      <c r="AU110" s="896"/>
      <c r="AV110" s="896"/>
      <c r="AW110" s="896"/>
      <c r="AX110" s="896"/>
      <c r="AY110" s="896"/>
      <c r="AZ110" s="896"/>
      <c r="BA110" s="896"/>
      <c r="BB110" s="896"/>
      <c r="BC110" s="896"/>
      <c r="BD110" s="896"/>
      <c r="BE110" s="896"/>
      <c r="BF110" s="896"/>
      <c r="BG110" s="896"/>
      <c r="BH110" s="896"/>
      <c r="BI110" s="896"/>
      <c r="BJ110" s="896"/>
      <c r="BK110" s="896"/>
      <c r="BL110" s="896"/>
      <c r="BM110" s="896"/>
      <c r="BN110" s="896"/>
      <c r="BO110" s="896"/>
      <c r="BP110" s="896"/>
      <c r="BQ110" s="896"/>
      <c r="BR110" s="896"/>
      <c r="BS110" s="896"/>
      <c r="BT110" s="896"/>
      <c r="BU110" s="896"/>
      <c r="BV110" s="896"/>
      <c r="BW110" s="896"/>
      <c r="BX110" s="29"/>
      <c r="BY110" s="65">
        <f t="shared" ref="BY110" si="122">AO110-AH110</f>
        <v>0</v>
      </c>
      <c r="BZ110" s="29"/>
      <c r="CA110" s="29"/>
      <c r="CB110" s="29"/>
      <c r="CD110" s="29"/>
      <c r="CE110" s="29"/>
      <c r="CF110" s="29"/>
    </row>
    <row r="111" spans="1:84" ht="24.75" customHeight="1"/>
  </sheetData>
  <mergeCells count="95">
    <mergeCell ref="BY10:BY11"/>
    <mergeCell ref="CD47:CD49"/>
    <mergeCell ref="BK10:BK11"/>
    <mergeCell ref="BL10:BL11"/>
    <mergeCell ref="BN10:BN11"/>
    <mergeCell ref="BO10:BO11"/>
    <mergeCell ref="BP10:BP11"/>
    <mergeCell ref="BR10:BR11"/>
    <mergeCell ref="CA9:CB10"/>
    <mergeCell ref="BJ9:BL9"/>
    <mergeCell ref="BX8:BY9"/>
    <mergeCell ref="BW7:BW11"/>
    <mergeCell ref="BI7:BP7"/>
    <mergeCell ref="BM9:BM11"/>
    <mergeCell ref="BN9:BP9"/>
    <mergeCell ref="BX10:BX11"/>
    <mergeCell ref="A110:BW110"/>
    <mergeCell ref="AZ6:BW6"/>
    <mergeCell ref="BS10:BS11"/>
    <mergeCell ref="BT10:BT11"/>
    <mergeCell ref="L9:L11"/>
    <mergeCell ref="X8:AC8"/>
    <mergeCell ref="AC9:AC11"/>
    <mergeCell ref="Y9:Y11"/>
    <mergeCell ref="Z9:Z11"/>
    <mergeCell ref="AA9:AA11"/>
    <mergeCell ref="AB9:AB11"/>
    <mergeCell ref="AH10:AK10"/>
    <mergeCell ref="BU7:BU11"/>
    <mergeCell ref="BI8:BL8"/>
    <mergeCell ref="BM8:BP8"/>
    <mergeCell ref="BV7:BV11"/>
    <mergeCell ref="AO10:AO11"/>
    <mergeCell ref="N10:N11"/>
    <mergeCell ref="O10:O11"/>
    <mergeCell ref="P10:P11"/>
    <mergeCell ref="T10:T11"/>
    <mergeCell ref="U10:U11"/>
    <mergeCell ref="AD9:AD11"/>
    <mergeCell ref="AE9:AK9"/>
    <mergeCell ref="AL9:AL11"/>
    <mergeCell ref="AM9:AS9"/>
    <mergeCell ref="AN10:AN11"/>
    <mergeCell ref="AE10:AE11"/>
    <mergeCell ref="AM10:AM11"/>
    <mergeCell ref="V10:V11"/>
    <mergeCell ref="AT9:AT11"/>
    <mergeCell ref="AX9:AZ10"/>
    <mergeCell ref="BA9:BA11"/>
    <mergeCell ref="BB9:BH9"/>
    <mergeCell ref="N9:P9"/>
    <mergeCell ref="X9:X11"/>
    <mergeCell ref="S8:S11"/>
    <mergeCell ref="T8:V9"/>
    <mergeCell ref="W8:W11"/>
    <mergeCell ref="AU10:AU11"/>
    <mergeCell ref="AV10:AV11"/>
    <mergeCell ref="AL8:AS8"/>
    <mergeCell ref="AF10:AF11"/>
    <mergeCell ref="AG10:AG11"/>
    <mergeCell ref="AP10:AS10"/>
    <mergeCell ref="AD8:AK8"/>
    <mergeCell ref="BQ9:BQ11"/>
    <mergeCell ref="BR9:BT9"/>
    <mergeCell ref="AW10:AW11"/>
    <mergeCell ref="BB10:BB11"/>
    <mergeCell ref="BJ10:BJ11"/>
    <mergeCell ref="BI9:BI11"/>
    <mergeCell ref="BC10:BC11"/>
    <mergeCell ref="BD10:BD11"/>
    <mergeCell ref="BE10:BH10"/>
    <mergeCell ref="H7:H11"/>
    <mergeCell ref="I7:I11"/>
    <mergeCell ref="J7:J11"/>
    <mergeCell ref="A7:A11"/>
    <mergeCell ref="B7:B11"/>
    <mergeCell ref="C7:C11"/>
    <mergeCell ref="D7:D11"/>
    <mergeCell ref="E7:E11"/>
    <mergeCell ref="A5:BT5"/>
    <mergeCell ref="A1:BT1"/>
    <mergeCell ref="A4:BT4"/>
    <mergeCell ref="A2:BT3"/>
    <mergeCell ref="S7:V7"/>
    <mergeCell ref="W7:AC7"/>
    <mergeCell ref="AD7:AS7"/>
    <mergeCell ref="AT7:BH8"/>
    <mergeCell ref="BQ7:BT8"/>
    <mergeCell ref="K7:P8"/>
    <mergeCell ref="Q7:Q11"/>
    <mergeCell ref="R7:R11"/>
    <mergeCell ref="K9:K11"/>
    <mergeCell ref="M9:M11"/>
    <mergeCell ref="F7:F11"/>
    <mergeCell ref="G7:G11"/>
  </mergeCells>
  <printOptions horizontalCentered="1"/>
  <pageMargins left="0.35433070866141736" right="0.19685039370078741" top="0.59055118110236227" bottom="0.47244094488188981" header="0.31496062992125984" footer="0.31496062992125984"/>
  <pageSetup paperSize="9" scale="45" fitToHeight="0" orientation="landscape" r:id="rId1"/>
  <headerFooter>
    <oddHeader>&amp;R&amp;"Times New Roman,Bold Italic"&amp;12Ia H'Drai</oddHeader>
    <oddFooter>&amp;R&amp;P/&amp;N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32"/>
  <sheetViews>
    <sheetView topLeftCell="A20" zoomScale="70" zoomScaleNormal="70" workbookViewId="0">
      <selection activeCell="CC17" sqref="A1:CC153"/>
    </sheetView>
  </sheetViews>
  <sheetFormatPr defaultColWidth="9" defaultRowHeight="14.25" outlineLevelRow="1"/>
  <cols>
    <col min="1" max="1" width="6.73046875" customWidth="1"/>
    <col min="2" max="2" width="52.73046875" customWidth="1"/>
    <col min="3" max="3" width="17.73046875" customWidth="1"/>
    <col min="4" max="4" width="17.3984375" hidden="1" customWidth="1"/>
    <col min="5" max="5" width="14.73046875" hidden="1" customWidth="1"/>
    <col min="6" max="6" width="16.3984375" customWidth="1"/>
    <col min="7" max="7" width="10.73046875" customWidth="1"/>
    <col min="8" max="8" width="14.73046875" customWidth="1"/>
    <col min="9" max="9" width="10.73046875" customWidth="1"/>
    <col min="10" max="10" width="13" hidden="1" customWidth="1"/>
    <col min="11" max="11" width="11.59765625" hidden="1" customWidth="1"/>
    <col min="12" max="12" width="12.3984375" customWidth="1"/>
    <col min="13" max="13" width="11.73046875" customWidth="1"/>
    <col min="14" max="14" width="15.1328125" hidden="1" customWidth="1"/>
    <col min="15" max="15" width="11.73046875" hidden="1" customWidth="1"/>
    <col min="16" max="16" width="13.59765625" customWidth="1"/>
    <col min="17" max="18" width="11.73046875" hidden="1" customWidth="1"/>
    <col min="19" max="19" width="11.73046875" customWidth="1"/>
    <col min="20" max="21" width="11" hidden="1" customWidth="1"/>
    <col min="22" max="23" width="11.73046875" customWidth="1"/>
    <col min="24" max="26" width="11" hidden="1" customWidth="1"/>
    <col min="27" max="27" width="14.73046875" customWidth="1"/>
    <col min="28" max="29" width="11.73046875" customWidth="1"/>
    <col min="30" max="45" width="11" hidden="1" customWidth="1"/>
    <col min="46" max="46" width="11.73046875" customWidth="1"/>
    <col min="47" max="49" width="11" hidden="1" customWidth="1"/>
    <col min="50" max="52" width="11.73046875" customWidth="1"/>
    <col min="53" max="60" width="11" hidden="1" customWidth="1"/>
    <col min="61" max="61" width="11.73046875" hidden="1" customWidth="1"/>
    <col min="62" max="62" width="11" hidden="1" customWidth="1"/>
    <col min="63" max="63" width="9.265625" hidden="1" customWidth="1"/>
    <col min="64" max="64" width="11.3984375" hidden="1" customWidth="1"/>
    <col min="65" max="65" width="9.59765625" hidden="1" customWidth="1"/>
    <col min="66" max="67" width="9.265625" hidden="1" customWidth="1"/>
    <col min="68" max="68" width="10.86328125" hidden="1" customWidth="1"/>
    <col min="69" max="72" width="9.73046875" hidden="1" customWidth="1"/>
    <col min="73" max="73" width="17" hidden="1" customWidth="1"/>
    <col min="74" max="74" width="19.1328125" customWidth="1"/>
    <col min="75" max="75" width="12.73046875" hidden="1" customWidth="1"/>
    <col min="76" max="76" width="12.1328125" hidden="1" customWidth="1"/>
    <col min="77" max="77" width="11.86328125" hidden="1" customWidth="1"/>
    <col min="78" max="78" width="13.265625" hidden="1" customWidth="1"/>
  </cols>
  <sheetData>
    <row r="1" spans="1:79" s="26" customFormat="1" ht="24" customHeight="1">
      <c r="A1" s="888" t="s">
        <v>3657</v>
      </c>
      <c r="B1" s="888"/>
      <c r="C1" s="888"/>
      <c r="D1" s="888"/>
      <c r="E1" s="888"/>
      <c r="F1" s="888"/>
      <c r="G1" s="888"/>
      <c r="H1" s="888"/>
      <c r="I1" s="888"/>
      <c r="J1" s="888"/>
      <c r="K1" s="888"/>
      <c r="L1" s="888"/>
      <c r="M1" s="888"/>
      <c r="N1" s="888"/>
      <c r="O1" s="888"/>
      <c r="P1" s="888"/>
      <c r="Q1" s="888"/>
      <c r="R1" s="888"/>
      <c r="S1" s="888"/>
      <c r="T1" s="888"/>
      <c r="U1" s="888"/>
      <c r="V1" s="888"/>
      <c r="W1" s="888"/>
      <c r="X1" s="888"/>
      <c r="Y1" s="888"/>
      <c r="Z1" s="888"/>
      <c r="AA1" s="888"/>
      <c r="AB1" s="888"/>
      <c r="AC1" s="888"/>
      <c r="AD1" s="888"/>
      <c r="AE1" s="888"/>
      <c r="AF1" s="888"/>
      <c r="AG1" s="888"/>
      <c r="AH1" s="888"/>
      <c r="AI1" s="888"/>
      <c r="AJ1" s="888"/>
      <c r="AK1" s="888"/>
      <c r="AL1" s="888"/>
      <c r="AM1" s="888"/>
      <c r="AN1" s="888"/>
      <c r="AO1" s="888"/>
      <c r="AP1" s="888"/>
      <c r="AQ1" s="888"/>
      <c r="AR1" s="888"/>
      <c r="AS1" s="888"/>
      <c r="AT1" s="888"/>
      <c r="AU1" s="888"/>
      <c r="AV1" s="888"/>
      <c r="AW1" s="888"/>
      <c r="AX1" s="888"/>
      <c r="AY1" s="888"/>
      <c r="AZ1" s="888"/>
      <c r="BA1" s="888"/>
      <c r="BB1" s="888"/>
      <c r="BC1" s="888"/>
      <c r="BD1" s="888"/>
      <c r="BE1" s="888"/>
      <c r="BF1" s="888"/>
      <c r="BG1" s="888"/>
      <c r="BH1" s="888"/>
      <c r="BI1" s="888"/>
      <c r="BJ1" s="888"/>
      <c r="BK1" s="888"/>
      <c r="BL1" s="888"/>
      <c r="BM1" s="888"/>
      <c r="BN1" s="888"/>
      <c r="BO1" s="888"/>
      <c r="BP1" s="888"/>
      <c r="BQ1" s="888"/>
      <c r="BR1" s="888"/>
      <c r="BS1" s="888"/>
      <c r="BT1" s="888"/>
      <c r="BU1" s="888"/>
      <c r="BV1" s="888"/>
      <c r="BW1" s="529"/>
      <c r="BX1" s="529"/>
      <c r="BY1" s="529"/>
      <c r="BZ1" s="529"/>
    </row>
    <row r="2" spans="1:79" s="26" customFormat="1" ht="25.5" customHeight="1">
      <c r="A2" s="838" t="s">
        <v>3691</v>
      </c>
      <c r="B2" s="838"/>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8"/>
      <c r="AH2" s="838"/>
      <c r="AI2" s="838"/>
      <c r="AJ2" s="838"/>
      <c r="AK2" s="838"/>
      <c r="AL2" s="838"/>
      <c r="AM2" s="838"/>
      <c r="AN2" s="838"/>
      <c r="AO2" s="838"/>
      <c r="AP2" s="838"/>
      <c r="AQ2" s="838"/>
      <c r="AR2" s="838"/>
      <c r="AS2" s="838"/>
      <c r="AT2" s="838"/>
      <c r="AU2" s="838"/>
      <c r="AV2" s="838"/>
      <c r="AW2" s="838"/>
      <c r="AX2" s="838"/>
      <c r="AY2" s="838"/>
      <c r="AZ2" s="838"/>
      <c r="BA2" s="838"/>
      <c r="BB2" s="838"/>
      <c r="BC2" s="838"/>
      <c r="BD2" s="838"/>
      <c r="BE2" s="838"/>
      <c r="BF2" s="838"/>
      <c r="BG2" s="838"/>
      <c r="BH2" s="838"/>
      <c r="BI2" s="838"/>
      <c r="BJ2" s="838"/>
      <c r="BK2" s="838"/>
      <c r="BL2" s="838"/>
      <c r="BM2" s="838"/>
      <c r="BN2" s="838"/>
      <c r="BO2" s="838"/>
      <c r="BP2" s="838"/>
      <c r="BQ2" s="838"/>
      <c r="BR2" s="838"/>
      <c r="BS2" s="838"/>
      <c r="BT2" s="838"/>
      <c r="BU2" s="838"/>
      <c r="BV2" s="838"/>
      <c r="BW2" s="529"/>
      <c r="BX2" s="529"/>
      <c r="BY2" s="529"/>
      <c r="BZ2" s="529"/>
    </row>
    <row r="3" spans="1:79" s="26" customFormat="1" ht="3.75" hidden="1" customHeight="1">
      <c r="A3" s="838"/>
      <c r="B3" s="838"/>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c r="AW3" s="838"/>
      <c r="AX3" s="838"/>
      <c r="AY3" s="838"/>
      <c r="AZ3" s="838"/>
      <c r="BA3" s="838"/>
      <c r="BB3" s="838"/>
      <c r="BC3" s="838"/>
      <c r="BD3" s="838"/>
      <c r="BE3" s="838"/>
      <c r="BF3" s="838"/>
      <c r="BG3" s="838"/>
      <c r="BH3" s="838"/>
      <c r="BI3" s="838"/>
      <c r="BJ3" s="838"/>
      <c r="BK3" s="838"/>
      <c r="BL3" s="838"/>
      <c r="BM3" s="838"/>
      <c r="BN3" s="838"/>
      <c r="BO3" s="838"/>
      <c r="BP3" s="838"/>
      <c r="BQ3" s="838"/>
      <c r="BR3" s="838"/>
      <c r="BS3" s="838"/>
      <c r="BT3" s="838"/>
      <c r="BU3" s="838"/>
      <c r="BV3" s="838"/>
      <c r="BW3" s="529"/>
      <c r="BX3" s="529"/>
      <c r="BY3" s="529"/>
      <c r="BZ3" s="529"/>
    </row>
    <row r="4" spans="1:79" s="26" customFormat="1" ht="27" customHeight="1">
      <c r="A4" s="838" t="s">
        <v>849</v>
      </c>
      <c r="B4" s="838"/>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8"/>
      <c r="AH4" s="838"/>
      <c r="AI4" s="838"/>
      <c r="AJ4" s="838"/>
      <c r="AK4" s="838"/>
      <c r="AL4" s="838"/>
      <c r="AM4" s="838"/>
      <c r="AN4" s="838"/>
      <c r="AO4" s="838"/>
      <c r="AP4" s="838"/>
      <c r="AQ4" s="838"/>
      <c r="AR4" s="838"/>
      <c r="AS4" s="838"/>
      <c r="AT4" s="838"/>
      <c r="AU4" s="838"/>
      <c r="AV4" s="838"/>
      <c r="AW4" s="838"/>
      <c r="AX4" s="838"/>
      <c r="AY4" s="838"/>
      <c r="AZ4" s="838"/>
      <c r="BA4" s="838"/>
      <c r="BB4" s="838"/>
      <c r="BC4" s="838"/>
      <c r="BD4" s="838"/>
      <c r="BE4" s="838"/>
      <c r="BF4" s="838"/>
      <c r="BG4" s="838"/>
      <c r="BH4" s="838"/>
      <c r="BI4" s="838"/>
      <c r="BJ4" s="838"/>
      <c r="BK4" s="838"/>
      <c r="BL4" s="838"/>
      <c r="BM4" s="838"/>
      <c r="BN4" s="838"/>
      <c r="BO4" s="838"/>
      <c r="BP4" s="838"/>
      <c r="BQ4" s="838"/>
      <c r="BR4" s="838"/>
      <c r="BS4" s="838"/>
      <c r="BT4" s="838"/>
      <c r="BU4" s="838"/>
      <c r="BV4" s="838"/>
      <c r="BW4" s="529"/>
      <c r="BX4" s="529"/>
      <c r="BY4" s="529"/>
      <c r="BZ4" s="529"/>
    </row>
    <row r="5" spans="1:79" s="26" customFormat="1" ht="24.75" customHeight="1">
      <c r="A5" s="901" t="str">
        <f>'3.13.Thành phố Kon Tum'!A5:BY5</f>
        <v>(Kèm theo Nghị quyết số 22/NQ-HĐND ngày 22 tháng 8 năm 2025 của Hội đồng nhân dân tỉnh)</v>
      </c>
      <c r="B5" s="901"/>
      <c r="C5" s="901"/>
      <c r="D5" s="901"/>
      <c r="E5" s="901"/>
      <c r="F5" s="901"/>
      <c r="G5" s="901"/>
      <c r="H5" s="901"/>
      <c r="I5" s="901"/>
      <c r="J5" s="901"/>
      <c r="K5" s="901"/>
      <c r="L5" s="901"/>
      <c r="M5" s="901"/>
      <c r="N5" s="901"/>
      <c r="O5" s="901"/>
      <c r="P5" s="901"/>
      <c r="Q5" s="901"/>
      <c r="R5" s="901"/>
      <c r="S5" s="901"/>
      <c r="T5" s="901"/>
      <c r="U5" s="901"/>
      <c r="V5" s="901"/>
      <c r="W5" s="901"/>
      <c r="X5" s="901"/>
      <c r="Y5" s="901"/>
      <c r="Z5" s="901"/>
      <c r="AA5" s="901"/>
      <c r="AB5" s="901"/>
      <c r="AC5" s="901"/>
      <c r="AD5" s="901"/>
      <c r="AE5" s="901"/>
      <c r="AF5" s="901"/>
      <c r="AG5" s="901"/>
      <c r="AH5" s="901"/>
      <c r="AI5" s="901"/>
      <c r="AJ5" s="901"/>
      <c r="AK5" s="901"/>
      <c r="AL5" s="901"/>
      <c r="AM5" s="901"/>
      <c r="AN5" s="901"/>
      <c r="AO5" s="901"/>
      <c r="AP5" s="901"/>
      <c r="AQ5" s="901"/>
      <c r="AR5" s="901"/>
      <c r="AS5" s="901"/>
      <c r="AT5" s="901"/>
      <c r="AU5" s="901"/>
      <c r="AV5" s="901"/>
      <c r="AW5" s="901"/>
      <c r="AX5" s="901"/>
      <c r="AY5" s="901"/>
      <c r="AZ5" s="901"/>
      <c r="BA5" s="901"/>
      <c r="BB5" s="901"/>
      <c r="BC5" s="901"/>
      <c r="BD5" s="901"/>
      <c r="BE5" s="901"/>
      <c r="BF5" s="901"/>
      <c r="BG5" s="901"/>
      <c r="BH5" s="901"/>
      <c r="BI5" s="901"/>
      <c r="BJ5" s="901"/>
      <c r="BK5" s="901"/>
      <c r="BL5" s="901"/>
      <c r="BM5" s="901"/>
      <c r="BN5" s="901"/>
      <c r="BO5" s="901"/>
      <c r="BP5" s="901"/>
      <c r="BQ5" s="901"/>
      <c r="BR5" s="901"/>
      <c r="BS5" s="901"/>
      <c r="BT5" s="901"/>
      <c r="BU5" s="901"/>
      <c r="BV5" s="901"/>
      <c r="BW5" s="529"/>
      <c r="BX5" s="529"/>
      <c r="BY5" s="529"/>
      <c r="BZ5" s="529"/>
    </row>
    <row r="6" spans="1:79" s="26" customFormat="1" ht="19.149999999999999" customHeight="1">
      <c r="A6" s="649"/>
      <c r="B6" s="650"/>
      <c r="C6" s="619"/>
      <c r="D6" s="619"/>
      <c r="E6" s="619"/>
      <c r="F6" s="619"/>
      <c r="G6" s="619"/>
      <c r="H6" s="619"/>
      <c r="I6" s="651"/>
      <c r="J6" s="619"/>
      <c r="K6" s="619"/>
      <c r="L6" s="619"/>
      <c r="M6" s="619"/>
      <c r="N6" s="619"/>
      <c r="O6" s="619"/>
      <c r="P6" s="619"/>
      <c r="Q6" s="619"/>
      <c r="R6" s="1"/>
      <c r="S6" s="1"/>
      <c r="T6" s="1"/>
      <c r="U6" s="1"/>
      <c r="V6" s="1"/>
      <c r="W6" s="1"/>
      <c r="X6" s="1"/>
      <c r="Y6" s="1"/>
      <c r="Z6" s="1"/>
      <c r="AA6" s="18"/>
      <c r="AB6" s="1"/>
      <c r="AC6" s="1"/>
      <c r="AD6" s="1"/>
      <c r="AE6" s="1"/>
      <c r="AF6" s="1"/>
      <c r="AG6" s="1"/>
      <c r="AH6" s="1"/>
      <c r="AI6" s="1"/>
      <c r="AJ6" s="1"/>
      <c r="AK6" s="1"/>
      <c r="AL6" s="1"/>
      <c r="AM6" s="1"/>
      <c r="AN6" s="1"/>
      <c r="AO6" s="1"/>
      <c r="AP6" s="1"/>
      <c r="AQ6" s="1"/>
      <c r="AR6" s="1"/>
      <c r="AS6" s="1"/>
      <c r="AT6" s="1"/>
      <c r="AU6" s="1"/>
      <c r="AV6" s="1"/>
      <c r="AW6" s="1"/>
      <c r="AX6" s="1"/>
      <c r="AY6" s="913" t="s">
        <v>1224</v>
      </c>
      <c r="AZ6" s="913"/>
      <c r="BA6" s="913"/>
      <c r="BB6" s="913"/>
      <c r="BC6" s="913"/>
      <c r="BD6" s="913"/>
      <c r="BE6" s="913"/>
      <c r="BF6" s="913"/>
      <c r="BG6" s="913"/>
      <c r="BH6" s="913"/>
      <c r="BI6" s="913"/>
      <c r="BJ6" s="913"/>
      <c r="BK6" s="913"/>
      <c r="BL6" s="913"/>
      <c r="BM6" s="913"/>
      <c r="BN6" s="913"/>
      <c r="BO6" s="913"/>
      <c r="BP6" s="913"/>
      <c r="BQ6" s="913"/>
      <c r="BR6" s="913"/>
      <c r="BS6" s="913"/>
      <c r="BT6" s="913"/>
      <c r="BU6" s="913"/>
      <c r="BV6" s="913"/>
      <c r="BW6" s="1"/>
      <c r="BX6" s="1"/>
      <c r="BY6" s="1"/>
      <c r="BZ6" s="1"/>
    </row>
    <row r="7" spans="1:79" s="26" customFormat="1" ht="33.75" customHeight="1">
      <c r="A7" s="902" t="s">
        <v>16</v>
      </c>
      <c r="B7" s="903" t="s">
        <v>301</v>
      </c>
      <c r="C7" s="903" t="s">
        <v>17</v>
      </c>
      <c r="D7" s="903" t="s">
        <v>19</v>
      </c>
      <c r="E7" s="903" t="s">
        <v>20</v>
      </c>
      <c r="F7" s="903" t="s">
        <v>3673</v>
      </c>
      <c r="G7" s="903" t="s">
        <v>18</v>
      </c>
      <c r="H7" s="903" t="s">
        <v>21</v>
      </c>
      <c r="I7" s="905" t="s">
        <v>23</v>
      </c>
      <c r="J7" s="903" t="s">
        <v>24</v>
      </c>
      <c r="K7" s="903" t="s">
        <v>1904</v>
      </c>
      <c r="L7" s="903"/>
      <c r="M7" s="903"/>
      <c r="N7" s="903"/>
      <c r="O7" s="903"/>
      <c r="P7" s="903"/>
      <c r="Q7" s="903" t="s">
        <v>25</v>
      </c>
      <c r="R7" s="903" t="s">
        <v>22</v>
      </c>
      <c r="S7" s="903" t="s">
        <v>26</v>
      </c>
      <c r="T7" s="903"/>
      <c r="U7" s="903"/>
      <c r="V7" s="903"/>
      <c r="W7" s="903" t="s">
        <v>317</v>
      </c>
      <c r="X7" s="903"/>
      <c r="Y7" s="903"/>
      <c r="Z7" s="903"/>
      <c r="AA7" s="903"/>
      <c r="AB7" s="903"/>
      <c r="AC7" s="903"/>
      <c r="AD7" s="903" t="s">
        <v>63</v>
      </c>
      <c r="AE7" s="903"/>
      <c r="AF7" s="903"/>
      <c r="AG7" s="903"/>
      <c r="AH7" s="903"/>
      <c r="AI7" s="903"/>
      <c r="AJ7" s="903"/>
      <c r="AK7" s="903"/>
      <c r="AL7" s="903"/>
      <c r="AM7" s="903"/>
      <c r="AN7" s="903"/>
      <c r="AO7" s="903"/>
      <c r="AP7" s="903"/>
      <c r="AQ7" s="903"/>
      <c r="AR7" s="903"/>
      <c r="AS7" s="903"/>
      <c r="AT7" s="903" t="s">
        <v>6</v>
      </c>
      <c r="AU7" s="903"/>
      <c r="AV7" s="903"/>
      <c r="AW7" s="903"/>
      <c r="AX7" s="903"/>
      <c r="AY7" s="903"/>
      <c r="AZ7" s="903"/>
      <c r="BA7" s="903"/>
      <c r="BB7" s="903"/>
      <c r="BC7" s="903"/>
      <c r="BD7" s="903"/>
      <c r="BE7" s="903"/>
      <c r="BF7" s="903"/>
      <c r="BG7" s="903"/>
      <c r="BH7" s="903"/>
      <c r="BI7" s="903" t="s">
        <v>28</v>
      </c>
      <c r="BJ7" s="903"/>
      <c r="BK7" s="903"/>
      <c r="BL7" s="903"/>
      <c r="BM7" s="903"/>
      <c r="BN7" s="903"/>
      <c r="BO7" s="903"/>
      <c r="BP7" s="903"/>
      <c r="BQ7" s="903" t="s">
        <v>302</v>
      </c>
      <c r="BR7" s="903"/>
      <c r="BS7" s="903"/>
      <c r="BT7" s="903"/>
      <c r="BU7" s="910" t="s">
        <v>3662</v>
      </c>
      <c r="BV7" s="903" t="s">
        <v>0</v>
      </c>
      <c r="BW7" s="529"/>
      <c r="BX7" s="529"/>
      <c r="BY7" s="529"/>
      <c r="BZ7" s="529"/>
    </row>
    <row r="8" spans="1:79" s="26" customFormat="1" ht="33.75" customHeight="1">
      <c r="A8" s="902"/>
      <c r="B8" s="903"/>
      <c r="C8" s="903"/>
      <c r="D8" s="903"/>
      <c r="E8" s="903"/>
      <c r="F8" s="903"/>
      <c r="G8" s="903"/>
      <c r="H8" s="903"/>
      <c r="I8" s="905"/>
      <c r="J8" s="903"/>
      <c r="K8" s="903"/>
      <c r="L8" s="903"/>
      <c r="M8" s="903"/>
      <c r="N8" s="903"/>
      <c r="O8" s="903"/>
      <c r="P8" s="903"/>
      <c r="Q8" s="903"/>
      <c r="R8" s="903"/>
      <c r="S8" s="903" t="s">
        <v>29</v>
      </c>
      <c r="T8" s="903" t="s">
        <v>1</v>
      </c>
      <c r="U8" s="903"/>
      <c r="V8" s="903"/>
      <c r="W8" s="903" t="s">
        <v>305</v>
      </c>
      <c r="X8" s="903" t="s">
        <v>1</v>
      </c>
      <c r="Y8" s="903"/>
      <c r="Z8" s="903"/>
      <c r="AA8" s="903"/>
      <c r="AB8" s="903"/>
      <c r="AC8" s="903"/>
      <c r="AD8" s="903" t="s">
        <v>65</v>
      </c>
      <c r="AE8" s="903"/>
      <c r="AF8" s="903"/>
      <c r="AG8" s="903"/>
      <c r="AH8" s="903"/>
      <c r="AI8" s="903"/>
      <c r="AJ8" s="903"/>
      <c r="AK8" s="903"/>
      <c r="AL8" s="903" t="s">
        <v>66</v>
      </c>
      <c r="AM8" s="903"/>
      <c r="AN8" s="903"/>
      <c r="AO8" s="903"/>
      <c r="AP8" s="903"/>
      <c r="AQ8" s="903"/>
      <c r="AR8" s="903"/>
      <c r="AS8" s="903"/>
      <c r="AT8" s="903" t="s">
        <v>29</v>
      </c>
      <c r="AU8" s="652"/>
      <c r="AV8" s="652"/>
      <c r="AW8" s="652"/>
      <c r="AX8" s="903" t="s">
        <v>1</v>
      </c>
      <c r="AY8" s="903"/>
      <c r="AZ8" s="903"/>
      <c r="BA8" s="903" t="s">
        <v>850</v>
      </c>
      <c r="BB8" s="903"/>
      <c r="BC8" s="903"/>
      <c r="BD8" s="903"/>
      <c r="BE8" s="903"/>
      <c r="BF8" s="903"/>
      <c r="BG8" s="903"/>
      <c r="BH8" s="903"/>
      <c r="BI8" s="903" t="s">
        <v>30</v>
      </c>
      <c r="BJ8" s="903"/>
      <c r="BK8" s="903"/>
      <c r="BL8" s="903"/>
      <c r="BM8" s="903" t="s">
        <v>89</v>
      </c>
      <c r="BN8" s="903"/>
      <c r="BO8" s="903"/>
      <c r="BP8" s="903"/>
      <c r="BQ8" s="903"/>
      <c r="BR8" s="903"/>
      <c r="BS8" s="903"/>
      <c r="BT8" s="903"/>
      <c r="BU8" s="911"/>
      <c r="BV8" s="903"/>
      <c r="BW8" s="529"/>
      <c r="BX8" s="529"/>
      <c r="BY8" s="529"/>
      <c r="BZ8" s="529"/>
    </row>
    <row r="9" spans="1:79" s="26" customFormat="1" ht="29.25" customHeight="1">
      <c r="A9" s="902"/>
      <c r="B9" s="903"/>
      <c r="C9" s="903"/>
      <c r="D9" s="903"/>
      <c r="E9" s="903"/>
      <c r="F9" s="903"/>
      <c r="G9" s="903"/>
      <c r="H9" s="903"/>
      <c r="I9" s="905"/>
      <c r="J9" s="903"/>
      <c r="K9" s="903" t="s">
        <v>31</v>
      </c>
      <c r="L9" s="903" t="s">
        <v>32</v>
      </c>
      <c r="M9" s="903" t="s">
        <v>33</v>
      </c>
      <c r="N9" s="903" t="s">
        <v>300</v>
      </c>
      <c r="O9" s="903"/>
      <c r="P9" s="903"/>
      <c r="Q9" s="903"/>
      <c r="R9" s="903"/>
      <c r="S9" s="903"/>
      <c r="T9" s="903" t="s">
        <v>34</v>
      </c>
      <c r="U9" s="903" t="s">
        <v>35</v>
      </c>
      <c r="V9" s="903" t="s">
        <v>85</v>
      </c>
      <c r="W9" s="903"/>
      <c r="X9" s="903" t="s">
        <v>34</v>
      </c>
      <c r="Y9" s="903" t="s">
        <v>35</v>
      </c>
      <c r="Z9" s="903" t="s">
        <v>41</v>
      </c>
      <c r="AA9" s="916" t="s">
        <v>8</v>
      </c>
      <c r="AB9" s="904" t="s">
        <v>43</v>
      </c>
      <c r="AC9" s="904" t="s">
        <v>38</v>
      </c>
      <c r="AD9" s="903" t="s">
        <v>29</v>
      </c>
      <c r="AE9" s="903" t="s">
        <v>1</v>
      </c>
      <c r="AF9" s="903"/>
      <c r="AG9" s="903"/>
      <c r="AH9" s="903"/>
      <c r="AI9" s="903"/>
      <c r="AJ9" s="903"/>
      <c r="AK9" s="903"/>
      <c r="AL9" s="903" t="s">
        <v>29</v>
      </c>
      <c r="AM9" s="903" t="s">
        <v>1</v>
      </c>
      <c r="AN9" s="903"/>
      <c r="AO9" s="903"/>
      <c r="AP9" s="903"/>
      <c r="AQ9" s="903"/>
      <c r="AR9" s="903"/>
      <c r="AS9" s="903"/>
      <c r="AT9" s="903"/>
      <c r="AU9" s="652"/>
      <c r="AV9" s="652"/>
      <c r="AW9" s="652"/>
      <c r="AX9" s="904" t="s">
        <v>8</v>
      </c>
      <c r="AY9" s="904" t="s">
        <v>43</v>
      </c>
      <c r="AZ9" s="904" t="s">
        <v>38</v>
      </c>
      <c r="BA9" s="903" t="s">
        <v>29</v>
      </c>
      <c r="BB9" s="903" t="s">
        <v>1</v>
      </c>
      <c r="BC9" s="903"/>
      <c r="BD9" s="903"/>
      <c r="BE9" s="903"/>
      <c r="BF9" s="903"/>
      <c r="BG9" s="903"/>
      <c r="BH9" s="903"/>
      <c r="BI9" s="903" t="s">
        <v>29</v>
      </c>
      <c r="BJ9" s="903" t="s">
        <v>1</v>
      </c>
      <c r="BK9" s="903"/>
      <c r="BL9" s="903"/>
      <c r="BM9" s="903" t="s">
        <v>29</v>
      </c>
      <c r="BN9" s="903" t="s">
        <v>1</v>
      </c>
      <c r="BO9" s="903"/>
      <c r="BP9" s="903"/>
      <c r="BQ9" s="903" t="s">
        <v>29</v>
      </c>
      <c r="BR9" s="903" t="s">
        <v>1</v>
      </c>
      <c r="BS9" s="903"/>
      <c r="BT9" s="903"/>
      <c r="BU9" s="911"/>
      <c r="BV9" s="903"/>
      <c r="BW9" s="906" t="s">
        <v>571</v>
      </c>
      <c r="BX9" s="906"/>
      <c r="BY9" s="907">
        <v>25</v>
      </c>
      <c r="BZ9" s="907"/>
    </row>
    <row r="10" spans="1:79" s="26" customFormat="1" ht="18.75" customHeight="1">
      <c r="A10" s="902"/>
      <c r="B10" s="903"/>
      <c r="C10" s="903"/>
      <c r="D10" s="903"/>
      <c r="E10" s="903"/>
      <c r="F10" s="903"/>
      <c r="G10" s="903"/>
      <c r="H10" s="903"/>
      <c r="I10" s="905"/>
      <c r="J10" s="903"/>
      <c r="K10" s="903"/>
      <c r="L10" s="903"/>
      <c r="M10" s="903"/>
      <c r="N10" s="903" t="s">
        <v>67</v>
      </c>
      <c r="O10" s="903" t="s">
        <v>40</v>
      </c>
      <c r="P10" s="903" t="s">
        <v>36</v>
      </c>
      <c r="Q10" s="903"/>
      <c r="R10" s="903"/>
      <c r="S10" s="903"/>
      <c r="T10" s="903"/>
      <c r="U10" s="903"/>
      <c r="V10" s="903"/>
      <c r="W10" s="903"/>
      <c r="X10" s="903"/>
      <c r="Y10" s="903"/>
      <c r="Z10" s="903"/>
      <c r="AA10" s="916"/>
      <c r="AB10" s="904"/>
      <c r="AC10" s="904"/>
      <c r="AD10" s="903"/>
      <c r="AE10" s="903" t="s">
        <v>34</v>
      </c>
      <c r="AF10" s="903" t="s">
        <v>35</v>
      </c>
      <c r="AG10" s="903" t="s">
        <v>41</v>
      </c>
      <c r="AH10" s="904" t="s">
        <v>42</v>
      </c>
      <c r="AI10" s="904"/>
      <c r="AJ10" s="904"/>
      <c r="AK10" s="904"/>
      <c r="AL10" s="903"/>
      <c r="AM10" s="903" t="s">
        <v>34</v>
      </c>
      <c r="AN10" s="903" t="s">
        <v>35</v>
      </c>
      <c r="AO10" s="903" t="s">
        <v>41</v>
      </c>
      <c r="AP10" s="904" t="s">
        <v>42</v>
      </c>
      <c r="AQ10" s="904"/>
      <c r="AR10" s="904"/>
      <c r="AS10" s="904"/>
      <c r="AT10" s="903"/>
      <c r="AU10" s="903" t="s">
        <v>34</v>
      </c>
      <c r="AV10" s="903" t="s">
        <v>35</v>
      </c>
      <c r="AW10" s="903" t="s">
        <v>41</v>
      </c>
      <c r="AX10" s="904"/>
      <c r="AY10" s="904"/>
      <c r="AZ10" s="904"/>
      <c r="BA10" s="903"/>
      <c r="BB10" s="903" t="s">
        <v>34</v>
      </c>
      <c r="BC10" s="903" t="s">
        <v>35</v>
      </c>
      <c r="BD10" s="903" t="s">
        <v>41</v>
      </c>
      <c r="BE10" s="904" t="s">
        <v>42</v>
      </c>
      <c r="BF10" s="904"/>
      <c r="BG10" s="904"/>
      <c r="BH10" s="904"/>
      <c r="BI10" s="903"/>
      <c r="BJ10" s="903" t="s">
        <v>34</v>
      </c>
      <c r="BK10" s="903" t="s">
        <v>35</v>
      </c>
      <c r="BL10" s="903" t="s">
        <v>39</v>
      </c>
      <c r="BM10" s="903"/>
      <c r="BN10" s="903" t="s">
        <v>34</v>
      </c>
      <c r="BO10" s="903" t="s">
        <v>35</v>
      </c>
      <c r="BP10" s="903" t="s">
        <v>39</v>
      </c>
      <c r="BQ10" s="903"/>
      <c r="BR10" s="903" t="s">
        <v>34</v>
      </c>
      <c r="BS10" s="903" t="s">
        <v>35</v>
      </c>
      <c r="BT10" s="903" t="s">
        <v>39</v>
      </c>
      <c r="BU10" s="911"/>
      <c r="BV10" s="903"/>
      <c r="BW10" s="908" t="s">
        <v>94</v>
      </c>
      <c r="BX10" s="908" t="s">
        <v>95</v>
      </c>
      <c r="BY10" s="907"/>
      <c r="BZ10" s="907"/>
    </row>
    <row r="11" spans="1:79" s="26" customFormat="1" ht="60.75" customHeight="1">
      <c r="A11" s="902"/>
      <c r="B11" s="903"/>
      <c r="C11" s="903"/>
      <c r="D11" s="903"/>
      <c r="E11" s="903"/>
      <c r="F11" s="903"/>
      <c r="G11" s="903"/>
      <c r="H11" s="903"/>
      <c r="I11" s="905"/>
      <c r="J11" s="903"/>
      <c r="K11" s="903"/>
      <c r="L11" s="903"/>
      <c r="M11" s="903"/>
      <c r="N11" s="903"/>
      <c r="O11" s="903"/>
      <c r="P11" s="903"/>
      <c r="Q11" s="903"/>
      <c r="R11" s="903"/>
      <c r="S11" s="903"/>
      <c r="T11" s="903"/>
      <c r="U11" s="903"/>
      <c r="V11" s="903"/>
      <c r="W11" s="903"/>
      <c r="X11" s="903"/>
      <c r="Y11" s="903"/>
      <c r="Z11" s="903"/>
      <c r="AA11" s="916"/>
      <c r="AB11" s="904"/>
      <c r="AC11" s="904"/>
      <c r="AD11" s="903"/>
      <c r="AE11" s="903"/>
      <c r="AF11" s="903"/>
      <c r="AG11" s="903"/>
      <c r="AH11" s="653" t="s">
        <v>94</v>
      </c>
      <c r="AI11" s="653" t="s">
        <v>95</v>
      </c>
      <c r="AJ11" s="653" t="s">
        <v>43</v>
      </c>
      <c r="AK11" s="653" t="s">
        <v>38</v>
      </c>
      <c r="AL11" s="903"/>
      <c r="AM11" s="903"/>
      <c r="AN11" s="903"/>
      <c r="AO11" s="903"/>
      <c r="AP11" s="653" t="s">
        <v>94</v>
      </c>
      <c r="AQ11" s="653" t="s">
        <v>95</v>
      </c>
      <c r="AR11" s="653" t="s">
        <v>43</v>
      </c>
      <c r="AS11" s="653" t="s">
        <v>38</v>
      </c>
      <c r="AT11" s="903"/>
      <c r="AU11" s="903"/>
      <c r="AV11" s="903"/>
      <c r="AW11" s="903"/>
      <c r="AX11" s="904"/>
      <c r="AY11" s="904"/>
      <c r="AZ11" s="904"/>
      <c r="BA11" s="903"/>
      <c r="BB11" s="903"/>
      <c r="BC11" s="903"/>
      <c r="BD11" s="903"/>
      <c r="BE11" s="653" t="s">
        <v>94</v>
      </c>
      <c r="BF11" s="653" t="s">
        <v>95</v>
      </c>
      <c r="BG11" s="653" t="s">
        <v>43</v>
      </c>
      <c r="BH11" s="653" t="s">
        <v>38</v>
      </c>
      <c r="BI11" s="903"/>
      <c r="BJ11" s="903"/>
      <c r="BK11" s="903"/>
      <c r="BL11" s="903"/>
      <c r="BM11" s="903"/>
      <c r="BN11" s="903"/>
      <c r="BO11" s="903"/>
      <c r="BP11" s="903"/>
      <c r="BQ11" s="903"/>
      <c r="BR11" s="903"/>
      <c r="BS11" s="903"/>
      <c r="BT11" s="903"/>
      <c r="BU11" s="912"/>
      <c r="BV11" s="903"/>
      <c r="BW11" s="909"/>
      <c r="BX11" s="909"/>
      <c r="BY11" s="654" t="s">
        <v>94</v>
      </c>
      <c r="BZ11" s="654" t="s">
        <v>95</v>
      </c>
    </row>
    <row r="12" spans="1:79" s="219" customFormat="1" ht="27" customHeight="1">
      <c r="A12" s="655">
        <v>1</v>
      </c>
      <c r="B12" s="655">
        <v>2</v>
      </c>
      <c r="C12" s="655">
        <v>3</v>
      </c>
      <c r="D12" s="655">
        <v>5</v>
      </c>
      <c r="E12" s="655">
        <v>6</v>
      </c>
      <c r="F12" s="655" t="s">
        <v>855</v>
      </c>
      <c r="G12" s="655">
        <v>5</v>
      </c>
      <c r="H12" s="655">
        <v>6</v>
      </c>
      <c r="I12" s="655">
        <v>7</v>
      </c>
      <c r="J12" s="655">
        <v>8</v>
      </c>
      <c r="K12" s="655">
        <v>9</v>
      </c>
      <c r="L12" s="655">
        <v>8</v>
      </c>
      <c r="M12" s="655">
        <v>9</v>
      </c>
      <c r="N12" s="655">
        <v>12</v>
      </c>
      <c r="O12" s="655">
        <v>10</v>
      </c>
      <c r="P12" s="655">
        <v>10</v>
      </c>
      <c r="Q12" s="655">
        <v>15</v>
      </c>
      <c r="R12" s="655">
        <v>11</v>
      </c>
      <c r="S12" s="655">
        <v>11</v>
      </c>
      <c r="T12" s="655">
        <v>20</v>
      </c>
      <c r="U12" s="655">
        <v>21</v>
      </c>
      <c r="V12" s="655">
        <v>12</v>
      </c>
      <c r="W12" s="655">
        <v>13</v>
      </c>
      <c r="X12" s="655">
        <v>24</v>
      </c>
      <c r="Y12" s="655">
        <v>25</v>
      </c>
      <c r="Z12" s="655">
        <v>26</v>
      </c>
      <c r="AA12" s="655">
        <v>14</v>
      </c>
      <c r="AB12" s="655">
        <v>15</v>
      </c>
      <c r="AC12" s="655">
        <v>16</v>
      </c>
      <c r="AD12" s="655">
        <v>31</v>
      </c>
      <c r="AE12" s="655">
        <v>32</v>
      </c>
      <c r="AF12" s="655">
        <v>33</v>
      </c>
      <c r="AG12" s="655">
        <v>34</v>
      </c>
      <c r="AH12" s="655">
        <v>27</v>
      </c>
      <c r="AI12" s="655">
        <v>36</v>
      </c>
      <c r="AJ12" s="655">
        <v>37</v>
      </c>
      <c r="AK12" s="655">
        <v>38</v>
      </c>
      <c r="AL12" s="655">
        <v>39</v>
      </c>
      <c r="AM12" s="655">
        <v>40</v>
      </c>
      <c r="AN12" s="655">
        <v>41</v>
      </c>
      <c r="AO12" s="655">
        <v>42</v>
      </c>
      <c r="AP12" s="655">
        <v>43</v>
      </c>
      <c r="AQ12" s="655">
        <v>44</v>
      </c>
      <c r="AR12" s="655">
        <v>45</v>
      </c>
      <c r="AS12" s="655">
        <v>46</v>
      </c>
      <c r="AT12" s="655">
        <v>17</v>
      </c>
      <c r="AU12" s="655">
        <v>48</v>
      </c>
      <c r="AV12" s="655">
        <v>49</v>
      </c>
      <c r="AW12" s="655">
        <v>50</v>
      </c>
      <c r="AX12" s="655">
        <v>18</v>
      </c>
      <c r="AY12" s="655">
        <v>19</v>
      </c>
      <c r="AZ12" s="655">
        <v>20</v>
      </c>
      <c r="BA12" s="655">
        <v>55</v>
      </c>
      <c r="BB12" s="655">
        <v>56</v>
      </c>
      <c r="BC12" s="655">
        <v>57</v>
      </c>
      <c r="BD12" s="655">
        <v>58</v>
      </c>
      <c r="BE12" s="655">
        <v>59</v>
      </c>
      <c r="BF12" s="655">
        <v>60</v>
      </c>
      <c r="BG12" s="655">
        <v>61</v>
      </c>
      <c r="BH12" s="655">
        <v>62</v>
      </c>
      <c r="BI12" s="655">
        <v>63</v>
      </c>
      <c r="BJ12" s="655">
        <v>64</v>
      </c>
      <c r="BK12" s="655">
        <v>65</v>
      </c>
      <c r="BL12" s="655">
        <v>66</v>
      </c>
      <c r="BM12" s="655">
        <v>67</v>
      </c>
      <c r="BN12" s="655">
        <v>68</v>
      </c>
      <c r="BO12" s="655">
        <v>69</v>
      </c>
      <c r="BP12" s="655">
        <v>70</v>
      </c>
      <c r="BQ12" s="655">
        <v>71</v>
      </c>
      <c r="BR12" s="655">
        <v>72</v>
      </c>
      <c r="BS12" s="655">
        <v>73</v>
      </c>
      <c r="BT12" s="655">
        <v>74</v>
      </c>
      <c r="BU12" s="655">
        <v>21</v>
      </c>
      <c r="BV12" s="655">
        <v>21</v>
      </c>
      <c r="BW12" s="656">
        <v>27</v>
      </c>
      <c r="BX12" s="656">
        <v>28</v>
      </c>
      <c r="BY12" s="656">
        <v>51</v>
      </c>
      <c r="BZ12" s="656">
        <v>52</v>
      </c>
    </row>
    <row r="13" spans="1:79" ht="29.25" customHeight="1">
      <c r="A13" s="532"/>
      <c r="B13" s="532" t="s">
        <v>7</v>
      </c>
      <c r="C13" s="532"/>
      <c r="D13" s="532"/>
      <c r="E13" s="532"/>
      <c r="F13" s="532"/>
      <c r="G13" s="532"/>
      <c r="H13" s="532"/>
      <c r="I13" s="532"/>
      <c r="J13" s="532"/>
      <c r="K13" s="532"/>
      <c r="L13" s="532"/>
      <c r="M13" s="67">
        <f t="shared" ref="M13:AR13" si="0">M14+M26+M128+M127</f>
        <v>413194.36204400001</v>
      </c>
      <c r="N13" s="67">
        <f t="shared" si="0"/>
        <v>135000</v>
      </c>
      <c r="O13" s="67">
        <f t="shared" si="0"/>
        <v>151010</v>
      </c>
      <c r="P13" s="67">
        <f t="shared" si="0"/>
        <v>127842.76204400002</v>
      </c>
      <c r="Q13" s="67">
        <f t="shared" si="0"/>
        <v>0</v>
      </c>
      <c r="R13" s="67">
        <f t="shared" si="0"/>
        <v>0</v>
      </c>
      <c r="S13" s="67">
        <f t="shared" si="0"/>
        <v>59958.6</v>
      </c>
      <c r="T13" s="67">
        <f t="shared" si="0"/>
        <v>0</v>
      </c>
      <c r="U13" s="67">
        <f t="shared" si="0"/>
        <v>46960</v>
      </c>
      <c r="V13" s="67">
        <f t="shared" si="0"/>
        <v>1999.6</v>
      </c>
      <c r="W13" s="67">
        <f t="shared" si="0"/>
        <v>166503.55567500001</v>
      </c>
      <c r="X13" s="67">
        <f t="shared" si="0"/>
        <v>134999.636</v>
      </c>
      <c r="Y13" s="67">
        <f t="shared" si="0"/>
        <v>138010</v>
      </c>
      <c r="Z13" s="67">
        <f t="shared" si="0"/>
        <v>161532.55567500001</v>
      </c>
      <c r="AA13" s="67">
        <f t="shared" si="0"/>
        <v>64789.959470000002</v>
      </c>
      <c r="AB13" s="67">
        <f t="shared" si="0"/>
        <v>13948.524133999999</v>
      </c>
      <c r="AC13" s="67">
        <f t="shared" si="0"/>
        <v>87765.072071000002</v>
      </c>
      <c r="AD13" s="67">
        <f t="shared" si="0"/>
        <v>342478.48105400003</v>
      </c>
      <c r="AE13" s="67">
        <f t="shared" si="0"/>
        <v>135674.636</v>
      </c>
      <c r="AF13" s="67">
        <f t="shared" si="0"/>
        <v>125210</v>
      </c>
      <c r="AG13" s="67">
        <f t="shared" si="0"/>
        <v>83497.970138000004</v>
      </c>
      <c r="AH13" s="67">
        <f t="shared" si="0"/>
        <v>47441.976769000001</v>
      </c>
      <c r="AI13" s="67">
        <f t="shared" si="0"/>
        <v>5085</v>
      </c>
      <c r="AJ13" s="67">
        <f t="shared" si="0"/>
        <v>6063.224134</v>
      </c>
      <c r="AK13" s="67">
        <f t="shared" si="0"/>
        <v>25582.769235</v>
      </c>
      <c r="AL13" s="67">
        <f t="shared" si="0"/>
        <v>316613.83200700005</v>
      </c>
      <c r="AM13" s="67">
        <f t="shared" si="0"/>
        <v>134204.02357000002</v>
      </c>
      <c r="AN13" s="67">
        <f t="shared" si="0"/>
        <v>104841.764</v>
      </c>
      <c r="AO13" s="67">
        <f t="shared" si="0"/>
        <v>79419.343521000003</v>
      </c>
      <c r="AP13" s="67">
        <f t="shared" si="0"/>
        <v>46451.612774000001</v>
      </c>
      <c r="AQ13" s="67">
        <f t="shared" si="0"/>
        <v>5573.057734</v>
      </c>
      <c r="AR13" s="67">
        <f t="shared" si="0"/>
        <v>5992.2782819999993</v>
      </c>
      <c r="AS13" s="67">
        <f t="shared" ref="AS13:BU13" si="1">AS14+AS26+AS128+AS127</f>
        <v>24343.363035000002</v>
      </c>
      <c r="AT13" s="67">
        <f t="shared" si="1"/>
        <v>23788.261536999998</v>
      </c>
      <c r="AU13" s="67">
        <f t="shared" si="1"/>
        <v>0</v>
      </c>
      <c r="AV13" s="67">
        <f t="shared" si="1"/>
        <v>12800</v>
      </c>
      <c r="AW13" s="67">
        <f t="shared" si="1"/>
        <v>18817.261537000002</v>
      </c>
      <c r="AX13" s="67">
        <f t="shared" si="1"/>
        <v>12263.002700999999</v>
      </c>
      <c r="AY13" s="67">
        <f t="shared" si="1"/>
        <v>8019.4884810000003</v>
      </c>
      <c r="AZ13" s="67">
        <f t="shared" si="1"/>
        <v>3505.7703550000001</v>
      </c>
      <c r="BA13" s="67">
        <f t="shared" si="1"/>
        <v>16438.1214</v>
      </c>
      <c r="BB13" s="67">
        <f t="shared" si="1"/>
        <v>0</v>
      </c>
      <c r="BC13" s="67">
        <f t="shared" si="1"/>
        <v>574.35</v>
      </c>
      <c r="BD13" s="67">
        <f t="shared" si="1"/>
        <v>15475.603665000001</v>
      </c>
      <c r="BE13" s="67">
        <f t="shared" si="1"/>
        <v>12032.517400000001</v>
      </c>
      <c r="BF13" s="67">
        <f t="shared" si="1"/>
        <v>0</v>
      </c>
      <c r="BG13" s="67">
        <f t="shared" si="1"/>
        <v>1740</v>
      </c>
      <c r="BH13" s="67">
        <f t="shared" si="1"/>
        <v>2091.2539999999999</v>
      </c>
      <c r="BI13" s="67">
        <f t="shared" si="1"/>
        <v>3807.9247010000004</v>
      </c>
      <c r="BJ13" s="67">
        <f t="shared" si="1"/>
        <v>3146.2260000000001</v>
      </c>
      <c r="BK13" s="67">
        <f t="shared" si="1"/>
        <v>0</v>
      </c>
      <c r="BL13" s="67">
        <f t="shared" si="1"/>
        <v>661.69870100000003</v>
      </c>
      <c r="BM13" s="67">
        <f t="shared" si="1"/>
        <v>597.27404200000001</v>
      </c>
      <c r="BN13" s="67">
        <f t="shared" si="1"/>
        <v>0</v>
      </c>
      <c r="BO13" s="67">
        <f t="shared" si="1"/>
        <v>0</v>
      </c>
      <c r="BP13" s="67">
        <f t="shared" si="1"/>
        <v>597.27404200000001</v>
      </c>
      <c r="BQ13" s="67">
        <f t="shared" si="1"/>
        <v>0</v>
      </c>
      <c r="BR13" s="67">
        <f t="shared" si="1"/>
        <v>0</v>
      </c>
      <c r="BS13" s="67">
        <f t="shared" si="1"/>
        <v>0</v>
      </c>
      <c r="BT13" s="67">
        <f t="shared" si="1"/>
        <v>0</v>
      </c>
      <c r="BU13" s="67">
        <f t="shared" si="1"/>
        <v>782.79690800000003</v>
      </c>
      <c r="BV13" s="67"/>
      <c r="BW13" s="385" t="e">
        <f>BW128+#REF!</f>
        <v>#REF!</v>
      </c>
      <c r="BX13" s="385" t="e">
        <f>BX128+#REF!</f>
        <v>#REF!</v>
      </c>
      <c r="BY13" s="578" t="e">
        <f>BY128+#REF!</f>
        <v>#REF!</v>
      </c>
      <c r="BZ13" s="579" t="e">
        <f>BZ128+#REF!</f>
        <v>#REF!</v>
      </c>
      <c r="CA13" s="114"/>
    </row>
    <row r="14" spans="1:79" s="26" customFormat="1" ht="35.25" customHeight="1">
      <c r="A14" s="657" t="s">
        <v>11</v>
      </c>
      <c r="B14" s="532" t="s">
        <v>3665</v>
      </c>
      <c r="C14" s="657"/>
      <c r="D14" s="657"/>
      <c r="E14" s="657"/>
      <c r="F14" s="657"/>
      <c r="G14" s="657"/>
      <c r="H14" s="657"/>
      <c r="I14" s="657"/>
      <c r="J14" s="657"/>
      <c r="K14" s="657"/>
      <c r="L14" s="657"/>
      <c r="M14" s="658">
        <f>SUM(M15:M25)</f>
        <v>9847.4838160000018</v>
      </c>
      <c r="N14" s="658">
        <f t="shared" ref="N14:BU14" si="2">SUM(N15:N25)</f>
        <v>0</v>
      </c>
      <c r="O14" s="658">
        <f t="shared" si="2"/>
        <v>0</v>
      </c>
      <c r="P14" s="658">
        <f t="shared" si="2"/>
        <v>9847.4838160000018</v>
      </c>
      <c r="Q14" s="658">
        <f t="shared" si="2"/>
        <v>0</v>
      </c>
      <c r="R14" s="658">
        <f t="shared" si="2"/>
        <v>0</v>
      </c>
      <c r="S14" s="658">
        <f t="shared" si="2"/>
        <v>0</v>
      </c>
      <c r="T14" s="658">
        <f t="shared" si="2"/>
        <v>0</v>
      </c>
      <c r="U14" s="658">
        <f t="shared" si="2"/>
        <v>0</v>
      </c>
      <c r="V14" s="658">
        <f t="shared" si="2"/>
        <v>0</v>
      </c>
      <c r="W14" s="658">
        <f t="shared" si="2"/>
        <v>11067.161134</v>
      </c>
      <c r="X14" s="658">
        <f t="shared" si="2"/>
        <v>0</v>
      </c>
      <c r="Y14" s="658">
        <f t="shared" si="2"/>
        <v>0</v>
      </c>
      <c r="Z14" s="658">
        <f t="shared" si="2"/>
        <v>6448.1611339999999</v>
      </c>
      <c r="AA14" s="658">
        <f t="shared" si="2"/>
        <v>0</v>
      </c>
      <c r="AB14" s="658">
        <f t="shared" si="2"/>
        <v>11067.161134</v>
      </c>
      <c r="AC14" s="658">
        <f t="shared" si="2"/>
        <v>0</v>
      </c>
      <c r="AD14" s="658">
        <f t="shared" si="2"/>
        <v>4767.5835009999992</v>
      </c>
      <c r="AE14" s="658">
        <f t="shared" si="2"/>
        <v>0</v>
      </c>
      <c r="AF14" s="658">
        <f t="shared" si="2"/>
        <v>0</v>
      </c>
      <c r="AG14" s="658">
        <f t="shared" si="2"/>
        <v>4767.1611339999999</v>
      </c>
      <c r="AH14" s="658">
        <f t="shared" si="2"/>
        <v>0</v>
      </c>
      <c r="AI14" s="658">
        <f t="shared" si="2"/>
        <v>0</v>
      </c>
      <c r="AJ14" s="658">
        <f t="shared" si="2"/>
        <v>4767.1611339999999</v>
      </c>
      <c r="AK14" s="658">
        <f t="shared" si="2"/>
        <v>0</v>
      </c>
      <c r="AL14" s="658">
        <f t="shared" si="2"/>
        <v>4696.2152819999992</v>
      </c>
      <c r="AM14" s="658">
        <f t="shared" si="2"/>
        <v>0</v>
      </c>
      <c r="AN14" s="658">
        <f t="shared" si="2"/>
        <v>0</v>
      </c>
      <c r="AO14" s="658">
        <f t="shared" si="2"/>
        <v>4696.2152819999992</v>
      </c>
      <c r="AP14" s="658">
        <f t="shared" si="2"/>
        <v>0</v>
      </c>
      <c r="AQ14" s="658">
        <f t="shared" si="2"/>
        <v>0</v>
      </c>
      <c r="AR14" s="658">
        <f t="shared" si="2"/>
        <v>4696.2152819999992</v>
      </c>
      <c r="AS14" s="658">
        <f t="shared" si="2"/>
        <v>0</v>
      </c>
      <c r="AT14" s="658">
        <f t="shared" si="2"/>
        <v>6300</v>
      </c>
      <c r="AU14" s="658">
        <f t="shared" si="2"/>
        <v>0</v>
      </c>
      <c r="AV14" s="658">
        <f t="shared" si="2"/>
        <v>0</v>
      </c>
      <c r="AW14" s="658">
        <f t="shared" si="2"/>
        <v>1681</v>
      </c>
      <c r="AX14" s="658">
        <f t="shared" si="2"/>
        <v>0</v>
      </c>
      <c r="AY14" s="658">
        <f t="shared" si="2"/>
        <v>6300</v>
      </c>
      <c r="AZ14" s="658">
        <f t="shared" si="2"/>
        <v>0</v>
      </c>
      <c r="BA14" s="658">
        <f t="shared" si="2"/>
        <v>740</v>
      </c>
      <c r="BB14" s="658">
        <f t="shared" si="2"/>
        <v>0</v>
      </c>
      <c r="BC14" s="658">
        <f t="shared" si="2"/>
        <v>0</v>
      </c>
      <c r="BD14" s="658">
        <f t="shared" si="2"/>
        <v>740</v>
      </c>
      <c r="BE14" s="658">
        <f t="shared" si="2"/>
        <v>0</v>
      </c>
      <c r="BF14" s="658">
        <f t="shared" si="2"/>
        <v>0</v>
      </c>
      <c r="BG14" s="658">
        <f t="shared" si="2"/>
        <v>740</v>
      </c>
      <c r="BH14" s="658">
        <f t="shared" si="2"/>
        <v>0</v>
      </c>
      <c r="BI14" s="658">
        <f t="shared" si="2"/>
        <v>66.118570000000005</v>
      </c>
      <c r="BJ14" s="658">
        <f t="shared" si="2"/>
        <v>0</v>
      </c>
      <c r="BK14" s="658">
        <f t="shared" si="2"/>
        <v>0</v>
      </c>
      <c r="BL14" s="658">
        <f t="shared" si="2"/>
        <v>66.118570000000005</v>
      </c>
      <c r="BM14" s="658">
        <f t="shared" si="2"/>
        <v>66.118570000000005</v>
      </c>
      <c r="BN14" s="658">
        <f t="shared" si="2"/>
        <v>0</v>
      </c>
      <c r="BO14" s="658">
        <f t="shared" si="2"/>
        <v>0</v>
      </c>
      <c r="BP14" s="658">
        <f t="shared" si="2"/>
        <v>66.118570000000005</v>
      </c>
      <c r="BQ14" s="658">
        <f t="shared" si="2"/>
        <v>0</v>
      </c>
      <c r="BR14" s="658">
        <f t="shared" si="2"/>
        <v>0</v>
      </c>
      <c r="BS14" s="658">
        <f t="shared" si="2"/>
        <v>0</v>
      </c>
      <c r="BT14" s="658">
        <f t="shared" si="2"/>
        <v>0</v>
      </c>
      <c r="BU14" s="658">
        <f t="shared" si="2"/>
        <v>66.118570000000005</v>
      </c>
      <c r="BV14" s="657"/>
      <c r="BW14" s="75"/>
      <c r="BX14" s="75"/>
      <c r="BY14" s="75"/>
      <c r="BZ14" s="75"/>
      <c r="CA14" s="221"/>
    </row>
    <row r="15" spans="1:79" s="26" customFormat="1" ht="57.75" customHeight="1" outlineLevel="1">
      <c r="A15" s="659">
        <v>1</v>
      </c>
      <c r="B15" s="660" t="s">
        <v>668</v>
      </c>
      <c r="C15" s="661" t="s">
        <v>72</v>
      </c>
      <c r="D15" s="661" t="s">
        <v>591</v>
      </c>
      <c r="E15" s="85"/>
      <c r="F15" s="85" t="s">
        <v>570</v>
      </c>
      <c r="G15" s="85" t="s">
        <v>49</v>
      </c>
      <c r="H15" s="661" t="s">
        <v>669</v>
      </c>
      <c r="I15" s="662">
        <v>2021</v>
      </c>
      <c r="J15" s="661">
        <v>2021</v>
      </c>
      <c r="K15" s="661" t="s">
        <v>575</v>
      </c>
      <c r="L15" s="661" t="s">
        <v>863</v>
      </c>
      <c r="M15" s="85">
        <f>N15+O15+P15</f>
        <v>2079.8960000000002</v>
      </c>
      <c r="N15" s="85"/>
      <c r="O15" s="84"/>
      <c r="P15" s="84">
        <v>2079.8960000000002</v>
      </c>
      <c r="Q15" s="85"/>
      <c r="R15" s="85"/>
      <c r="S15" s="85"/>
      <c r="T15" s="85"/>
      <c r="U15" s="85"/>
      <c r="V15" s="85"/>
      <c r="W15" s="84">
        <f t="shared" ref="W15:W25" si="3">AA15+AB15+AC15</f>
        <v>206.25795400000001</v>
      </c>
      <c r="X15" s="85"/>
      <c r="Y15" s="84"/>
      <c r="Z15" s="85">
        <f t="shared" ref="Z15:Z24" si="4">SUM(AA15:AC15)</f>
        <v>206.25795400000001</v>
      </c>
      <c r="AA15" s="85">
        <v>0</v>
      </c>
      <c r="AB15" s="85">
        <v>206.25795400000001</v>
      </c>
      <c r="AC15" s="85"/>
      <c r="AD15" s="85">
        <f>AE15+AF15+AG15</f>
        <v>206.25795400000001</v>
      </c>
      <c r="AE15" s="85"/>
      <c r="AF15" s="84"/>
      <c r="AG15" s="84">
        <f>AH15+AI15+AJ15+AK15</f>
        <v>206.25795400000001</v>
      </c>
      <c r="AH15" s="85"/>
      <c r="AI15" s="85"/>
      <c r="AJ15" s="85">
        <v>206.25795400000001</v>
      </c>
      <c r="AK15" s="85"/>
      <c r="AL15" s="85">
        <f>AM15+AN15+AO15</f>
        <v>203.677888</v>
      </c>
      <c r="AM15" s="85"/>
      <c r="AN15" s="84"/>
      <c r="AO15" s="84">
        <f>AP15+AQ15+AR15+AS15</f>
        <v>203.677888</v>
      </c>
      <c r="AP15" s="85"/>
      <c r="AQ15" s="85"/>
      <c r="AR15" s="85">
        <v>203.677888</v>
      </c>
      <c r="AS15" s="85"/>
      <c r="AT15" s="85">
        <f t="shared" ref="AT15:AT25" si="5">AX15+AY15+AZ15</f>
        <v>0</v>
      </c>
      <c r="AU15" s="85"/>
      <c r="AV15" s="85"/>
      <c r="AW15" s="85">
        <f t="shared" ref="AW15:AW24" si="6">SUM(AX15:AZ15)</f>
        <v>0</v>
      </c>
      <c r="AX15" s="85">
        <v>0</v>
      </c>
      <c r="AY15" s="85"/>
      <c r="AZ15" s="85"/>
      <c r="BA15" s="85"/>
      <c r="BB15" s="85"/>
      <c r="BC15" s="85"/>
      <c r="BD15" s="85"/>
      <c r="BE15" s="85"/>
      <c r="BF15" s="85"/>
      <c r="BG15" s="85"/>
      <c r="BH15" s="85"/>
      <c r="BI15" s="84">
        <f t="shared" ref="BI15:BI24" si="7">BJ15+BK15+BL15</f>
        <v>0</v>
      </c>
      <c r="BJ15" s="85"/>
      <c r="BK15" s="85"/>
      <c r="BL15" s="85"/>
      <c r="BM15" s="84">
        <f t="shared" ref="BM15:BM24" si="8">BN15+BO15+BP15</f>
        <v>0</v>
      </c>
      <c r="BN15" s="85"/>
      <c r="BO15" s="85"/>
      <c r="BP15" s="85"/>
      <c r="BQ15" s="85"/>
      <c r="BR15" s="85"/>
      <c r="BS15" s="85"/>
      <c r="BT15" s="85"/>
      <c r="BU15" s="85"/>
      <c r="BV15" s="85"/>
      <c r="BW15" s="663"/>
      <c r="BX15" s="663"/>
      <c r="BY15" s="663"/>
      <c r="BZ15" s="663"/>
    </row>
    <row r="16" spans="1:79" s="26" customFormat="1" ht="63" customHeight="1" outlineLevel="1">
      <c r="A16" s="659">
        <v>2</v>
      </c>
      <c r="B16" s="660" t="s">
        <v>732</v>
      </c>
      <c r="C16" s="661" t="s">
        <v>77</v>
      </c>
      <c r="D16" s="661" t="s">
        <v>591</v>
      </c>
      <c r="E16" s="85"/>
      <c r="F16" s="85" t="s">
        <v>570</v>
      </c>
      <c r="G16" s="85" t="s">
        <v>49</v>
      </c>
      <c r="H16" s="661" t="s">
        <v>5</v>
      </c>
      <c r="I16" s="662">
        <v>2024</v>
      </c>
      <c r="J16" s="661">
        <v>2024</v>
      </c>
      <c r="K16" s="661" t="s">
        <v>575</v>
      </c>
      <c r="L16" s="661" t="s">
        <v>733</v>
      </c>
      <c r="M16" s="85">
        <f>N16+O16+P16</f>
        <v>3367.8677899999998</v>
      </c>
      <c r="N16" s="85"/>
      <c r="O16" s="84"/>
      <c r="P16" s="84">
        <v>3367.8677899999998</v>
      </c>
      <c r="Q16" s="85"/>
      <c r="R16" s="85"/>
      <c r="S16" s="85"/>
      <c r="T16" s="85"/>
      <c r="U16" s="85"/>
      <c r="V16" s="85"/>
      <c r="W16" s="84">
        <f t="shared" si="3"/>
        <v>1947.3326070000001</v>
      </c>
      <c r="X16" s="85"/>
      <c r="Y16" s="84"/>
      <c r="Z16" s="85">
        <f t="shared" si="4"/>
        <v>1947.3326070000001</v>
      </c>
      <c r="AA16" s="85">
        <v>0</v>
      </c>
      <c r="AB16" s="85">
        <v>1947.3326070000001</v>
      </c>
      <c r="AC16" s="85"/>
      <c r="AD16" s="85">
        <f>AE16+AF16+AG16</f>
        <v>1947.3326070000001</v>
      </c>
      <c r="AE16" s="85"/>
      <c r="AF16" s="84"/>
      <c r="AG16" s="84">
        <f>AH16+AI16+AJ16+AK16</f>
        <v>1947.3326070000001</v>
      </c>
      <c r="AH16" s="85"/>
      <c r="AI16" s="85"/>
      <c r="AJ16" s="85">
        <v>1947.3326070000001</v>
      </c>
      <c r="AK16" s="85"/>
      <c r="AL16" s="85">
        <f>AM16+AN16+AO16</f>
        <v>1881.214037</v>
      </c>
      <c r="AM16" s="85"/>
      <c r="AN16" s="84"/>
      <c r="AO16" s="84">
        <f>AP16+AQ16+AR16+AS16</f>
        <v>1881.214037</v>
      </c>
      <c r="AP16" s="85"/>
      <c r="AQ16" s="85"/>
      <c r="AR16" s="85">
        <v>1881.214037</v>
      </c>
      <c r="AS16" s="85"/>
      <c r="AT16" s="85">
        <f t="shared" si="5"/>
        <v>0</v>
      </c>
      <c r="AU16" s="85"/>
      <c r="AV16" s="84"/>
      <c r="AW16" s="85">
        <f t="shared" si="6"/>
        <v>0</v>
      </c>
      <c r="AX16" s="85">
        <v>0</v>
      </c>
      <c r="AY16" s="85"/>
      <c r="AZ16" s="85"/>
      <c r="BA16" s="85">
        <f>BB16+BC16+BD16</f>
        <v>0</v>
      </c>
      <c r="BB16" s="85"/>
      <c r="BC16" s="84"/>
      <c r="BD16" s="84">
        <f>BE16+BF16+BG16+BH16</f>
        <v>0</v>
      </c>
      <c r="BE16" s="85"/>
      <c r="BF16" s="85"/>
      <c r="BG16" s="85"/>
      <c r="BH16" s="85"/>
      <c r="BI16" s="84">
        <f t="shared" si="7"/>
        <v>66.118570000000005</v>
      </c>
      <c r="BJ16" s="664"/>
      <c r="BK16" s="664"/>
      <c r="BL16" s="664">
        <v>66.118570000000005</v>
      </c>
      <c r="BM16" s="84">
        <f t="shared" si="8"/>
        <v>66.118570000000005</v>
      </c>
      <c r="BN16" s="664"/>
      <c r="BO16" s="664"/>
      <c r="BP16" s="664">
        <v>66.118570000000005</v>
      </c>
      <c r="BQ16" s="664"/>
      <c r="BR16" s="664"/>
      <c r="BS16" s="664"/>
      <c r="BT16" s="664"/>
      <c r="BU16" s="665">
        <v>66.118570000000005</v>
      </c>
      <c r="BV16" s="85"/>
      <c r="BW16" s="663"/>
      <c r="BX16" s="663"/>
      <c r="BY16" s="663"/>
      <c r="BZ16" s="663"/>
    </row>
    <row r="17" spans="1:79" s="26" customFormat="1" ht="69.75" customHeight="1" outlineLevel="1">
      <c r="A17" s="659">
        <v>3</v>
      </c>
      <c r="B17" s="666" t="s">
        <v>749</v>
      </c>
      <c r="C17" s="661" t="s">
        <v>77</v>
      </c>
      <c r="D17" s="661" t="s">
        <v>591</v>
      </c>
      <c r="E17" s="85"/>
      <c r="F17" s="85" t="s">
        <v>570</v>
      </c>
      <c r="G17" s="85" t="s">
        <v>49</v>
      </c>
      <c r="H17" s="661" t="s">
        <v>5</v>
      </c>
      <c r="I17" s="662" t="s">
        <v>84</v>
      </c>
      <c r="J17" s="661" t="s">
        <v>750</v>
      </c>
      <c r="K17" s="661" t="s">
        <v>575</v>
      </c>
      <c r="L17" s="85" t="s">
        <v>751</v>
      </c>
      <c r="M17" s="85">
        <f>N17+O17+P17</f>
        <v>1782.1790000000001</v>
      </c>
      <c r="N17" s="85"/>
      <c r="O17" s="84"/>
      <c r="P17" s="84">
        <v>1782.1790000000001</v>
      </c>
      <c r="Q17" s="85"/>
      <c r="R17" s="85" t="s">
        <v>644</v>
      </c>
      <c r="S17" s="85"/>
      <c r="T17" s="85"/>
      <c r="U17" s="85"/>
      <c r="V17" s="85"/>
      <c r="W17" s="84">
        <f t="shared" si="3"/>
        <v>740</v>
      </c>
      <c r="X17" s="85"/>
      <c r="Y17" s="84"/>
      <c r="Z17" s="85">
        <f t="shared" si="4"/>
        <v>740</v>
      </c>
      <c r="AA17" s="85">
        <v>0</v>
      </c>
      <c r="AB17" s="85">
        <v>740</v>
      </c>
      <c r="AC17" s="85"/>
      <c r="AD17" s="85"/>
      <c r="AE17" s="85"/>
      <c r="AF17" s="84"/>
      <c r="AG17" s="84"/>
      <c r="AH17" s="85"/>
      <c r="AI17" s="85"/>
      <c r="AJ17" s="85"/>
      <c r="AK17" s="85"/>
      <c r="AL17" s="85"/>
      <c r="AM17" s="85"/>
      <c r="AN17" s="84"/>
      <c r="AO17" s="667"/>
      <c r="AP17" s="85"/>
      <c r="AQ17" s="85"/>
      <c r="AR17" s="85"/>
      <c r="AS17" s="85"/>
      <c r="AT17" s="85">
        <f t="shared" si="5"/>
        <v>740</v>
      </c>
      <c r="AU17" s="85"/>
      <c r="AV17" s="84"/>
      <c r="AW17" s="85">
        <f t="shared" si="6"/>
        <v>740</v>
      </c>
      <c r="AX17" s="85">
        <v>0</v>
      </c>
      <c r="AY17" s="85">
        <v>740</v>
      </c>
      <c r="AZ17" s="85"/>
      <c r="BA17" s="85">
        <f>BB17+BC17+BD17</f>
        <v>740</v>
      </c>
      <c r="BB17" s="85"/>
      <c r="BC17" s="84"/>
      <c r="BD17" s="84">
        <f>BE17+BF17+BG17+BH17</f>
        <v>740</v>
      </c>
      <c r="BE17" s="85"/>
      <c r="BF17" s="85"/>
      <c r="BG17" s="85">
        <v>740</v>
      </c>
      <c r="BH17" s="85"/>
      <c r="BI17" s="84">
        <f t="shared" si="7"/>
        <v>0</v>
      </c>
      <c r="BJ17" s="85"/>
      <c r="BK17" s="85"/>
      <c r="BL17" s="85"/>
      <c r="BM17" s="84">
        <f t="shared" si="8"/>
        <v>0</v>
      </c>
      <c r="BN17" s="85"/>
      <c r="BO17" s="85"/>
      <c r="BP17" s="85"/>
      <c r="BQ17" s="85"/>
      <c r="BR17" s="85"/>
      <c r="BS17" s="85"/>
      <c r="BT17" s="85"/>
      <c r="BU17" s="85"/>
      <c r="BV17" s="85" t="s">
        <v>857</v>
      </c>
      <c r="BW17" s="663"/>
      <c r="BX17" s="663"/>
      <c r="BY17" s="663"/>
      <c r="BZ17" s="663"/>
    </row>
    <row r="18" spans="1:79" s="86" customFormat="1" ht="61.5" customHeight="1" outlineLevel="1">
      <c r="A18" s="659">
        <v>4</v>
      </c>
      <c r="B18" s="660" t="s">
        <v>589</v>
      </c>
      <c r="C18" s="661" t="s">
        <v>590</v>
      </c>
      <c r="D18" s="85" t="s">
        <v>591</v>
      </c>
      <c r="E18" s="661" t="s">
        <v>592</v>
      </c>
      <c r="F18" s="85" t="s">
        <v>570</v>
      </c>
      <c r="G18" s="661" t="s">
        <v>49</v>
      </c>
      <c r="H18" s="661" t="s">
        <v>584</v>
      </c>
      <c r="I18" s="662">
        <v>2021</v>
      </c>
      <c r="J18" s="661">
        <v>2021</v>
      </c>
      <c r="K18" s="661" t="s">
        <v>575</v>
      </c>
      <c r="L18" s="661" t="s">
        <v>593</v>
      </c>
      <c r="M18" s="84">
        <v>82.005121000000003</v>
      </c>
      <c r="N18" s="85"/>
      <c r="O18" s="85"/>
      <c r="P18" s="84">
        <v>82.005121000000003</v>
      </c>
      <c r="Q18" s="85" t="s">
        <v>594</v>
      </c>
      <c r="R18" s="661" t="s">
        <v>578</v>
      </c>
      <c r="S18" s="84"/>
      <c r="T18" s="85"/>
      <c r="U18" s="85"/>
      <c r="V18" s="84"/>
      <c r="W18" s="84">
        <f t="shared" si="3"/>
        <v>82</v>
      </c>
      <c r="X18" s="85"/>
      <c r="Y18" s="85"/>
      <c r="Z18" s="85">
        <f t="shared" si="4"/>
        <v>82</v>
      </c>
      <c r="AA18" s="85">
        <v>0</v>
      </c>
      <c r="AB18" s="84">
        <v>82</v>
      </c>
      <c r="AC18" s="85"/>
      <c r="AD18" s="84">
        <v>82.005121000000003</v>
      </c>
      <c r="AE18" s="85"/>
      <c r="AF18" s="85"/>
      <c r="AG18" s="84">
        <f t="shared" ref="AG18:AG24" si="9">AH18+AI18+AJ18+AK18</f>
        <v>82</v>
      </c>
      <c r="AH18" s="85"/>
      <c r="AI18" s="85"/>
      <c r="AJ18" s="84">
        <v>82</v>
      </c>
      <c r="AK18" s="85"/>
      <c r="AL18" s="84">
        <v>81.995957000000004</v>
      </c>
      <c r="AM18" s="85"/>
      <c r="AN18" s="85"/>
      <c r="AO18" s="84">
        <f t="shared" ref="AO18:AO24" si="10">AP18+AQ18+AR18+AS18</f>
        <v>81.995957000000004</v>
      </c>
      <c r="AP18" s="85"/>
      <c r="AQ18" s="85"/>
      <c r="AR18" s="84">
        <v>81.995957000000004</v>
      </c>
      <c r="AS18" s="85"/>
      <c r="AT18" s="85">
        <f t="shared" si="5"/>
        <v>0</v>
      </c>
      <c r="AU18" s="85"/>
      <c r="AV18" s="85"/>
      <c r="AW18" s="85">
        <f t="shared" si="6"/>
        <v>0</v>
      </c>
      <c r="AX18" s="85">
        <v>0</v>
      </c>
      <c r="AY18" s="85"/>
      <c r="AZ18" s="85"/>
      <c r="BA18" s="85">
        <f>BB18+BC18+BD18+BE18+BF18+BG18+BH18</f>
        <v>0</v>
      </c>
      <c r="BB18" s="85"/>
      <c r="BC18" s="85"/>
      <c r="BD18" s="85"/>
      <c r="BE18" s="85"/>
      <c r="BF18" s="85"/>
      <c r="BG18" s="85"/>
      <c r="BH18" s="85"/>
      <c r="BI18" s="84">
        <f t="shared" si="7"/>
        <v>0</v>
      </c>
      <c r="BJ18" s="85"/>
      <c r="BK18" s="85"/>
      <c r="BL18" s="85"/>
      <c r="BM18" s="84">
        <f t="shared" si="8"/>
        <v>0</v>
      </c>
      <c r="BN18" s="85"/>
      <c r="BO18" s="85"/>
      <c r="BP18" s="85"/>
      <c r="BQ18" s="85"/>
      <c r="BR18" s="85"/>
      <c r="BS18" s="85"/>
      <c r="BT18" s="85"/>
      <c r="BU18" s="85"/>
      <c r="BV18" s="85"/>
      <c r="BW18" s="663"/>
      <c r="BX18" s="663"/>
      <c r="BY18" s="663"/>
      <c r="BZ18" s="663"/>
    </row>
    <row r="19" spans="1:79" s="86" customFormat="1" ht="57.75" customHeight="1" outlineLevel="1">
      <c r="A19" s="659">
        <v>5</v>
      </c>
      <c r="B19" s="660" t="s">
        <v>589</v>
      </c>
      <c r="C19" s="661" t="s">
        <v>572</v>
      </c>
      <c r="D19" s="85" t="s">
        <v>591</v>
      </c>
      <c r="E19" s="661" t="s">
        <v>595</v>
      </c>
      <c r="F19" s="85" t="s">
        <v>570</v>
      </c>
      <c r="G19" s="661" t="s">
        <v>49</v>
      </c>
      <c r="H19" s="661" t="s">
        <v>578</v>
      </c>
      <c r="I19" s="662">
        <v>2021</v>
      </c>
      <c r="J19" s="661">
        <v>2021</v>
      </c>
      <c r="K19" s="661" t="s">
        <v>575</v>
      </c>
      <c r="L19" s="661" t="s">
        <v>593</v>
      </c>
      <c r="M19" s="84">
        <v>83.417246000000006</v>
      </c>
      <c r="N19" s="85"/>
      <c r="O19" s="85"/>
      <c r="P19" s="84">
        <v>83.417246000000006</v>
      </c>
      <c r="Q19" s="85" t="s">
        <v>596</v>
      </c>
      <c r="R19" s="661" t="s">
        <v>578</v>
      </c>
      <c r="S19" s="84"/>
      <c r="T19" s="85"/>
      <c r="U19" s="85"/>
      <c r="V19" s="84"/>
      <c r="W19" s="84">
        <f t="shared" si="3"/>
        <v>83</v>
      </c>
      <c r="X19" s="85"/>
      <c r="Y19" s="85"/>
      <c r="Z19" s="85">
        <f t="shared" si="4"/>
        <v>83</v>
      </c>
      <c r="AA19" s="85">
        <v>0</v>
      </c>
      <c r="AB19" s="84">
        <v>83</v>
      </c>
      <c r="AC19" s="85"/>
      <c r="AD19" s="84">
        <v>83.417246000000006</v>
      </c>
      <c r="AE19" s="85"/>
      <c r="AF19" s="85"/>
      <c r="AG19" s="84">
        <f t="shared" si="9"/>
        <v>83</v>
      </c>
      <c r="AH19" s="85"/>
      <c r="AI19" s="85"/>
      <c r="AJ19" s="84">
        <v>83</v>
      </c>
      <c r="AK19" s="85"/>
      <c r="AL19" s="84">
        <v>83.417081999999994</v>
      </c>
      <c r="AM19" s="85"/>
      <c r="AN19" s="85"/>
      <c r="AO19" s="84">
        <f t="shared" si="10"/>
        <v>83.417081999999994</v>
      </c>
      <c r="AP19" s="85"/>
      <c r="AQ19" s="85"/>
      <c r="AR19" s="84">
        <v>83.417081999999994</v>
      </c>
      <c r="AS19" s="85"/>
      <c r="AT19" s="85">
        <f t="shared" si="5"/>
        <v>0</v>
      </c>
      <c r="AU19" s="85"/>
      <c r="AV19" s="85"/>
      <c r="AW19" s="85">
        <f t="shared" si="6"/>
        <v>0</v>
      </c>
      <c r="AX19" s="85">
        <v>0</v>
      </c>
      <c r="AY19" s="85"/>
      <c r="AZ19" s="85"/>
      <c r="BA19" s="85">
        <f>BB19+BC19+BD19+BE19+BF19+BG19+BH19</f>
        <v>0</v>
      </c>
      <c r="BB19" s="85"/>
      <c r="BC19" s="85"/>
      <c r="BD19" s="85"/>
      <c r="BE19" s="85"/>
      <c r="BF19" s="85"/>
      <c r="BG19" s="85"/>
      <c r="BH19" s="85"/>
      <c r="BI19" s="84">
        <f t="shared" si="7"/>
        <v>0</v>
      </c>
      <c r="BJ19" s="85"/>
      <c r="BK19" s="85"/>
      <c r="BL19" s="85"/>
      <c r="BM19" s="84">
        <f t="shared" si="8"/>
        <v>0</v>
      </c>
      <c r="BN19" s="85"/>
      <c r="BO19" s="85"/>
      <c r="BP19" s="85"/>
      <c r="BQ19" s="85"/>
      <c r="BR19" s="85"/>
      <c r="BS19" s="85"/>
      <c r="BT19" s="85"/>
      <c r="BU19" s="85"/>
      <c r="BV19" s="85"/>
      <c r="BW19" s="663"/>
      <c r="BX19" s="663"/>
      <c r="BY19" s="663"/>
      <c r="BZ19" s="663"/>
    </row>
    <row r="20" spans="1:79" s="26" customFormat="1" ht="59.25" customHeight="1" outlineLevel="1">
      <c r="A20" s="659">
        <v>6</v>
      </c>
      <c r="B20" s="660" t="s">
        <v>694</v>
      </c>
      <c r="C20" s="661" t="s">
        <v>77</v>
      </c>
      <c r="D20" s="661" t="s">
        <v>591</v>
      </c>
      <c r="E20" s="85"/>
      <c r="F20" s="85" t="s">
        <v>570</v>
      </c>
      <c r="G20" s="85" t="s">
        <v>49</v>
      </c>
      <c r="H20" s="661" t="s">
        <v>678</v>
      </c>
      <c r="I20" s="662">
        <v>2022</v>
      </c>
      <c r="J20" s="661">
        <v>2022</v>
      </c>
      <c r="K20" s="661" t="s">
        <v>575</v>
      </c>
      <c r="L20" s="661" t="s">
        <v>695</v>
      </c>
      <c r="M20" s="85">
        <f>N20+O20+P20</f>
        <v>1033</v>
      </c>
      <c r="N20" s="85"/>
      <c r="O20" s="84"/>
      <c r="P20" s="84">
        <v>1033</v>
      </c>
      <c r="Q20" s="85"/>
      <c r="R20" s="85" t="s">
        <v>644</v>
      </c>
      <c r="S20" s="85"/>
      <c r="T20" s="85"/>
      <c r="U20" s="85"/>
      <c r="V20" s="85"/>
      <c r="W20" s="84">
        <f t="shared" si="3"/>
        <v>1029.451914</v>
      </c>
      <c r="X20" s="85"/>
      <c r="Y20" s="84"/>
      <c r="Z20" s="85">
        <f t="shared" si="4"/>
        <v>1029.451914</v>
      </c>
      <c r="AA20" s="85">
        <v>0</v>
      </c>
      <c r="AB20" s="85">
        <f>1000+29.451914</f>
        <v>1029.451914</v>
      </c>
      <c r="AC20" s="85"/>
      <c r="AD20" s="85">
        <f>AE20+AF20+AG20</f>
        <v>1029.451914</v>
      </c>
      <c r="AE20" s="85"/>
      <c r="AF20" s="84"/>
      <c r="AG20" s="84">
        <f t="shared" si="9"/>
        <v>1029.451914</v>
      </c>
      <c r="AH20" s="85"/>
      <c r="AI20" s="85"/>
      <c r="AJ20" s="85">
        <f>1000+29.451914</f>
        <v>1029.451914</v>
      </c>
      <c r="AK20" s="85"/>
      <c r="AL20" s="85">
        <f>AM20+AN20+AO20</f>
        <v>1029.451914</v>
      </c>
      <c r="AM20" s="85"/>
      <c r="AN20" s="84"/>
      <c r="AO20" s="84">
        <f t="shared" si="10"/>
        <v>1029.451914</v>
      </c>
      <c r="AP20" s="85"/>
      <c r="AQ20" s="85"/>
      <c r="AR20" s="85">
        <f>1000+29.451914</f>
        <v>1029.451914</v>
      </c>
      <c r="AS20" s="85"/>
      <c r="AT20" s="85">
        <f t="shared" si="5"/>
        <v>0</v>
      </c>
      <c r="AU20" s="85"/>
      <c r="AV20" s="85"/>
      <c r="AW20" s="85">
        <f t="shared" si="6"/>
        <v>0</v>
      </c>
      <c r="AX20" s="85">
        <v>0</v>
      </c>
      <c r="AY20" s="85"/>
      <c r="AZ20" s="85"/>
      <c r="BA20" s="85"/>
      <c r="BB20" s="85"/>
      <c r="BC20" s="85"/>
      <c r="BD20" s="85"/>
      <c r="BE20" s="85"/>
      <c r="BF20" s="85"/>
      <c r="BG20" s="85"/>
      <c r="BH20" s="85"/>
      <c r="BI20" s="84">
        <f t="shared" si="7"/>
        <v>0</v>
      </c>
      <c r="BJ20" s="85"/>
      <c r="BK20" s="85"/>
      <c r="BL20" s="85"/>
      <c r="BM20" s="84">
        <f t="shared" si="8"/>
        <v>0</v>
      </c>
      <c r="BN20" s="85"/>
      <c r="BO20" s="85"/>
      <c r="BP20" s="85"/>
      <c r="BQ20" s="85"/>
      <c r="BR20" s="85"/>
      <c r="BS20" s="85"/>
      <c r="BT20" s="85"/>
      <c r="BU20" s="85"/>
      <c r="BV20" s="85"/>
      <c r="BW20" s="663"/>
      <c r="BX20" s="663"/>
      <c r="BY20" s="663"/>
      <c r="BZ20" s="663"/>
    </row>
    <row r="21" spans="1:79" s="26" customFormat="1" ht="50.25" customHeight="1" outlineLevel="1">
      <c r="A21" s="659">
        <v>7</v>
      </c>
      <c r="B21" s="660" t="s">
        <v>705</v>
      </c>
      <c r="C21" s="661" t="s">
        <v>77</v>
      </c>
      <c r="D21" s="661" t="s">
        <v>591</v>
      </c>
      <c r="E21" s="85"/>
      <c r="F21" s="85" t="s">
        <v>570</v>
      </c>
      <c r="G21" s="85" t="s">
        <v>49</v>
      </c>
      <c r="H21" s="661" t="s">
        <v>5</v>
      </c>
      <c r="I21" s="662">
        <v>2023</v>
      </c>
      <c r="J21" s="661">
        <v>2023</v>
      </c>
      <c r="K21" s="661" t="s">
        <v>575</v>
      </c>
      <c r="L21" s="661" t="s">
        <v>706</v>
      </c>
      <c r="M21" s="85">
        <f>N21+O21+P21</f>
        <v>1096.603466</v>
      </c>
      <c r="N21" s="85"/>
      <c r="O21" s="84"/>
      <c r="P21" s="84">
        <v>1096.603466</v>
      </c>
      <c r="Q21" s="85"/>
      <c r="R21" s="85" t="s">
        <v>644</v>
      </c>
      <c r="S21" s="85"/>
      <c r="T21" s="85"/>
      <c r="U21" s="85"/>
      <c r="V21" s="85"/>
      <c r="W21" s="84">
        <f t="shared" si="3"/>
        <v>1096.603466</v>
      </c>
      <c r="X21" s="85"/>
      <c r="Y21" s="84"/>
      <c r="Z21" s="85">
        <f t="shared" si="4"/>
        <v>1096.603466</v>
      </c>
      <c r="AA21" s="85">
        <v>0</v>
      </c>
      <c r="AB21" s="85">
        <f>207.387179+660.548086+228.668201</f>
        <v>1096.603466</v>
      </c>
      <c r="AC21" s="85"/>
      <c r="AD21" s="85">
        <f>AE21+AF21+AG21</f>
        <v>1096.603466</v>
      </c>
      <c r="AE21" s="85"/>
      <c r="AF21" s="84"/>
      <c r="AG21" s="84">
        <f t="shared" si="9"/>
        <v>1096.603466</v>
      </c>
      <c r="AH21" s="85"/>
      <c r="AI21" s="85"/>
      <c r="AJ21" s="85">
        <f>207.387179+660.548086+228.668201</f>
        <v>1096.603466</v>
      </c>
      <c r="AK21" s="85"/>
      <c r="AL21" s="85">
        <f>AM21+AN21+AO21</f>
        <v>1093.943211</v>
      </c>
      <c r="AM21" s="85"/>
      <c r="AN21" s="84"/>
      <c r="AO21" s="84">
        <f t="shared" si="10"/>
        <v>1093.943211</v>
      </c>
      <c r="AP21" s="85"/>
      <c r="AQ21" s="85"/>
      <c r="AR21" s="85">
        <f>207.387179+660.548086+226.007946</f>
        <v>1093.943211</v>
      </c>
      <c r="AS21" s="85"/>
      <c r="AT21" s="85">
        <f t="shared" si="5"/>
        <v>0</v>
      </c>
      <c r="AU21" s="85"/>
      <c r="AV21" s="85"/>
      <c r="AW21" s="85">
        <f t="shared" si="6"/>
        <v>0</v>
      </c>
      <c r="AX21" s="85">
        <v>0</v>
      </c>
      <c r="AY21" s="85"/>
      <c r="AZ21" s="85"/>
      <c r="BA21" s="85"/>
      <c r="BB21" s="85"/>
      <c r="BC21" s="85"/>
      <c r="BD21" s="85"/>
      <c r="BE21" s="85"/>
      <c r="BF21" s="85"/>
      <c r="BG21" s="85"/>
      <c r="BH21" s="85"/>
      <c r="BI21" s="84">
        <f t="shared" si="7"/>
        <v>0</v>
      </c>
      <c r="BJ21" s="85"/>
      <c r="BK21" s="85"/>
      <c r="BL21" s="85"/>
      <c r="BM21" s="84">
        <f t="shared" si="8"/>
        <v>0</v>
      </c>
      <c r="BN21" s="85"/>
      <c r="BO21" s="85"/>
      <c r="BP21" s="85"/>
      <c r="BQ21" s="85"/>
      <c r="BR21" s="85"/>
      <c r="BS21" s="85"/>
      <c r="BT21" s="85"/>
      <c r="BU21" s="85"/>
      <c r="BV21" s="85"/>
      <c r="BW21" s="663"/>
      <c r="BX21" s="663"/>
      <c r="BY21" s="663"/>
      <c r="BZ21" s="663"/>
    </row>
    <row r="22" spans="1:79" s="26" customFormat="1" ht="50.25" customHeight="1" outlineLevel="1">
      <c r="A22" s="659">
        <v>8</v>
      </c>
      <c r="B22" s="660" t="s">
        <v>545</v>
      </c>
      <c r="C22" s="661" t="s">
        <v>77</v>
      </c>
      <c r="D22" s="661" t="s">
        <v>591</v>
      </c>
      <c r="E22" s="85"/>
      <c r="F22" s="85" t="s">
        <v>570</v>
      </c>
      <c r="G22" s="85" t="s">
        <v>49</v>
      </c>
      <c r="H22" s="661" t="s">
        <v>5</v>
      </c>
      <c r="I22" s="662">
        <v>2023</v>
      </c>
      <c r="J22" s="661">
        <v>2023</v>
      </c>
      <c r="K22" s="661" t="s">
        <v>575</v>
      </c>
      <c r="L22" s="661" t="s">
        <v>707</v>
      </c>
      <c r="M22" s="85">
        <f>N22+O22+P22</f>
        <v>152.68801300000001</v>
      </c>
      <c r="N22" s="85"/>
      <c r="O22" s="84"/>
      <c r="P22" s="84">
        <v>152.68801300000001</v>
      </c>
      <c r="Q22" s="85"/>
      <c r="R22" s="85" t="s">
        <v>644</v>
      </c>
      <c r="S22" s="85"/>
      <c r="T22" s="85"/>
      <c r="U22" s="85"/>
      <c r="V22" s="85"/>
      <c r="W22" s="84">
        <f t="shared" si="3"/>
        <v>152.68801300000001</v>
      </c>
      <c r="X22" s="85"/>
      <c r="Y22" s="84"/>
      <c r="Z22" s="85">
        <f t="shared" si="4"/>
        <v>152.68801300000001</v>
      </c>
      <c r="AA22" s="85">
        <v>0</v>
      </c>
      <c r="AB22" s="85">
        <v>152.68801300000001</v>
      </c>
      <c r="AC22" s="85"/>
      <c r="AD22" s="85">
        <f>AE22+AF22+AG22</f>
        <v>152.68801300000001</v>
      </c>
      <c r="AE22" s="85"/>
      <c r="AF22" s="84"/>
      <c r="AG22" s="84">
        <f t="shared" si="9"/>
        <v>152.68801300000001</v>
      </c>
      <c r="AH22" s="85"/>
      <c r="AI22" s="85"/>
      <c r="AJ22" s="85">
        <v>152.68801300000001</v>
      </c>
      <c r="AK22" s="85"/>
      <c r="AL22" s="85">
        <f>AM22+AN22+AO22</f>
        <v>152.68801300000001</v>
      </c>
      <c r="AM22" s="85"/>
      <c r="AN22" s="84"/>
      <c r="AO22" s="84">
        <f t="shared" si="10"/>
        <v>152.68801300000001</v>
      </c>
      <c r="AP22" s="85"/>
      <c r="AQ22" s="85"/>
      <c r="AR22" s="85">
        <v>152.68801300000001</v>
      </c>
      <c r="AS22" s="85"/>
      <c r="AT22" s="85">
        <f t="shared" si="5"/>
        <v>0</v>
      </c>
      <c r="AU22" s="85"/>
      <c r="AV22" s="85"/>
      <c r="AW22" s="85">
        <f t="shared" si="6"/>
        <v>0</v>
      </c>
      <c r="AX22" s="85">
        <v>0</v>
      </c>
      <c r="AY22" s="85"/>
      <c r="AZ22" s="85"/>
      <c r="BA22" s="85"/>
      <c r="BB22" s="85"/>
      <c r="BC22" s="85"/>
      <c r="BD22" s="85"/>
      <c r="BE22" s="85"/>
      <c r="BF22" s="85"/>
      <c r="BG22" s="85"/>
      <c r="BH22" s="85"/>
      <c r="BI22" s="84">
        <f t="shared" si="7"/>
        <v>0</v>
      </c>
      <c r="BJ22" s="85"/>
      <c r="BK22" s="85"/>
      <c r="BL22" s="85"/>
      <c r="BM22" s="84">
        <f t="shared" si="8"/>
        <v>0</v>
      </c>
      <c r="BN22" s="85"/>
      <c r="BO22" s="85"/>
      <c r="BP22" s="85"/>
      <c r="BQ22" s="85"/>
      <c r="BR22" s="85"/>
      <c r="BS22" s="85"/>
      <c r="BT22" s="85"/>
      <c r="BU22" s="85"/>
      <c r="BV22" s="85"/>
      <c r="BW22" s="663"/>
      <c r="BX22" s="663"/>
      <c r="BY22" s="663"/>
      <c r="BZ22" s="663"/>
    </row>
    <row r="23" spans="1:79" s="26" customFormat="1" ht="53.25" customHeight="1" outlineLevel="1">
      <c r="A23" s="659">
        <v>9</v>
      </c>
      <c r="B23" s="666" t="s">
        <v>589</v>
      </c>
      <c r="C23" s="661" t="s">
        <v>773</v>
      </c>
      <c r="D23" s="661" t="s">
        <v>591</v>
      </c>
      <c r="E23" s="85">
        <v>7936409</v>
      </c>
      <c r="F23" s="85" t="s">
        <v>570</v>
      </c>
      <c r="G23" s="85" t="s">
        <v>49</v>
      </c>
      <c r="H23" s="661" t="s">
        <v>772</v>
      </c>
      <c r="I23" s="662">
        <v>2021</v>
      </c>
      <c r="J23" s="661">
        <v>2021</v>
      </c>
      <c r="K23" s="661" t="s">
        <v>575</v>
      </c>
      <c r="L23" s="85" t="s">
        <v>593</v>
      </c>
      <c r="M23" s="85">
        <v>87.455181999999994</v>
      </c>
      <c r="N23" s="85"/>
      <c r="O23" s="84"/>
      <c r="P23" s="84">
        <v>87.455181999999994</v>
      </c>
      <c r="Q23" s="85" t="s">
        <v>774</v>
      </c>
      <c r="R23" s="85" t="s">
        <v>759</v>
      </c>
      <c r="S23" s="85"/>
      <c r="T23" s="85"/>
      <c r="U23" s="85"/>
      <c r="V23" s="85"/>
      <c r="W23" s="84">
        <f t="shared" si="3"/>
        <v>87.455181999999994</v>
      </c>
      <c r="X23" s="85"/>
      <c r="Y23" s="667"/>
      <c r="Z23" s="85">
        <f t="shared" si="4"/>
        <v>87.455181999999994</v>
      </c>
      <c r="AA23" s="85">
        <v>0</v>
      </c>
      <c r="AB23" s="85">
        <v>87.455181999999994</v>
      </c>
      <c r="AC23" s="85"/>
      <c r="AD23" s="85">
        <f>AE23+AF23+AG23</f>
        <v>87.455181999999994</v>
      </c>
      <c r="AE23" s="85"/>
      <c r="AF23" s="667"/>
      <c r="AG23" s="84">
        <f t="shared" si="9"/>
        <v>87.455181999999994</v>
      </c>
      <c r="AH23" s="85"/>
      <c r="AI23" s="85"/>
      <c r="AJ23" s="85">
        <v>87.455181999999994</v>
      </c>
      <c r="AK23" s="85"/>
      <c r="AL23" s="85">
        <f>AM23+AN23+AO23</f>
        <v>87.455181999999994</v>
      </c>
      <c r="AM23" s="85"/>
      <c r="AN23" s="84"/>
      <c r="AO23" s="84">
        <f t="shared" si="10"/>
        <v>87.455181999999994</v>
      </c>
      <c r="AP23" s="85"/>
      <c r="AQ23" s="85"/>
      <c r="AR23" s="85">
        <v>87.455181999999994</v>
      </c>
      <c r="AS23" s="85"/>
      <c r="AT23" s="85">
        <f t="shared" si="5"/>
        <v>0</v>
      </c>
      <c r="AU23" s="85"/>
      <c r="AV23" s="667"/>
      <c r="AW23" s="85">
        <f t="shared" si="6"/>
        <v>0</v>
      </c>
      <c r="AX23" s="85">
        <v>0</v>
      </c>
      <c r="AY23" s="85"/>
      <c r="AZ23" s="85"/>
      <c r="BA23" s="85">
        <f>BB23+BC23+BD23</f>
        <v>0</v>
      </c>
      <c r="BB23" s="85"/>
      <c r="BC23" s="84"/>
      <c r="BD23" s="84">
        <f>BE23+BF23+BG23+BH23</f>
        <v>0</v>
      </c>
      <c r="BE23" s="85"/>
      <c r="BF23" s="85"/>
      <c r="BG23" s="85"/>
      <c r="BH23" s="85"/>
      <c r="BI23" s="84">
        <f t="shared" si="7"/>
        <v>0</v>
      </c>
      <c r="BJ23" s="85"/>
      <c r="BK23" s="85"/>
      <c r="BL23" s="85"/>
      <c r="BM23" s="84">
        <f t="shared" si="8"/>
        <v>0</v>
      </c>
      <c r="BN23" s="85"/>
      <c r="BO23" s="85"/>
      <c r="BP23" s="85"/>
      <c r="BQ23" s="85"/>
      <c r="BR23" s="85"/>
      <c r="BS23" s="85"/>
      <c r="BT23" s="85"/>
      <c r="BU23" s="85"/>
      <c r="BV23" s="85"/>
      <c r="BW23" s="663"/>
      <c r="BX23" s="663"/>
      <c r="BY23" s="663"/>
      <c r="BZ23" s="663"/>
    </row>
    <row r="24" spans="1:79" s="26" customFormat="1" ht="53.25" customHeight="1" outlineLevel="1">
      <c r="A24" s="659">
        <v>10</v>
      </c>
      <c r="B24" s="666" t="s">
        <v>589</v>
      </c>
      <c r="C24" s="661" t="s">
        <v>775</v>
      </c>
      <c r="D24" s="661" t="s">
        <v>591</v>
      </c>
      <c r="E24" s="85">
        <v>7936402</v>
      </c>
      <c r="F24" s="85" t="s">
        <v>570</v>
      </c>
      <c r="G24" s="85" t="s">
        <v>49</v>
      </c>
      <c r="H24" s="661" t="s">
        <v>758</v>
      </c>
      <c r="I24" s="662">
        <v>2021</v>
      </c>
      <c r="J24" s="661">
        <v>2021</v>
      </c>
      <c r="K24" s="661" t="s">
        <v>575</v>
      </c>
      <c r="L24" s="85" t="s">
        <v>593</v>
      </c>
      <c r="M24" s="85">
        <v>82.371998000000005</v>
      </c>
      <c r="N24" s="85"/>
      <c r="O24" s="84"/>
      <c r="P24" s="84">
        <v>82.371998000000005</v>
      </c>
      <c r="Q24" s="85" t="s">
        <v>776</v>
      </c>
      <c r="R24" s="85" t="s">
        <v>759</v>
      </c>
      <c r="S24" s="85"/>
      <c r="T24" s="85"/>
      <c r="U24" s="85"/>
      <c r="V24" s="85"/>
      <c r="W24" s="84">
        <f t="shared" si="3"/>
        <v>82.371998000000005</v>
      </c>
      <c r="X24" s="85"/>
      <c r="Y24" s="667"/>
      <c r="Z24" s="85">
        <f t="shared" si="4"/>
        <v>82.371998000000005</v>
      </c>
      <c r="AA24" s="85">
        <v>0</v>
      </c>
      <c r="AB24" s="85">
        <v>82.371998000000005</v>
      </c>
      <c r="AC24" s="85"/>
      <c r="AD24" s="85">
        <f>AE24+AF24+AG24</f>
        <v>82.371998000000005</v>
      </c>
      <c r="AE24" s="85"/>
      <c r="AF24" s="667"/>
      <c r="AG24" s="84">
        <f t="shared" si="9"/>
        <v>82.371998000000005</v>
      </c>
      <c r="AH24" s="85"/>
      <c r="AI24" s="85"/>
      <c r="AJ24" s="85">
        <v>82.371998000000005</v>
      </c>
      <c r="AK24" s="85"/>
      <c r="AL24" s="85">
        <f>AM24+AN24+AO24</f>
        <v>82.371998000000005</v>
      </c>
      <c r="AM24" s="85"/>
      <c r="AN24" s="84"/>
      <c r="AO24" s="84">
        <f t="shared" si="10"/>
        <v>82.371998000000005</v>
      </c>
      <c r="AP24" s="85"/>
      <c r="AQ24" s="85"/>
      <c r="AR24" s="85">
        <v>82.371998000000005</v>
      </c>
      <c r="AS24" s="85"/>
      <c r="AT24" s="85">
        <f t="shared" si="5"/>
        <v>0</v>
      </c>
      <c r="AU24" s="85"/>
      <c r="AV24" s="667"/>
      <c r="AW24" s="85">
        <f t="shared" si="6"/>
        <v>0</v>
      </c>
      <c r="AX24" s="85">
        <v>0</v>
      </c>
      <c r="AY24" s="85"/>
      <c r="AZ24" s="85"/>
      <c r="BA24" s="85">
        <f>BB24+BC24+BD24</f>
        <v>0</v>
      </c>
      <c r="BB24" s="85"/>
      <c r="BC24" s="84"/>
      <c r="BD24" s="84">
        <f>BE24+BF24+BG24+BH24</f>
        <v>0</v>
      </c>
      <c r="BE24" s="85"/>
      <c r="BF24" s="85"/>
      <c r="BG24" s="85"/>
      <c r="BH24" s="85"/>
      <c r="BI24" s="84">
        <f t="shared" si="7"/>
        <v>0</v>
      </c>
      <c r="BJ24" s="85"/>
      <c r="BK24" s="85"/>
      <c r="BL24" s="85"/>
      <c r="BM24" s="84">
        <f t="shared" si="8"/>
        <v>0</v>
      </c>
      <c r="BN24" s="85"/>
      <c r="BO24" s="85"/>
      <c r="BP24" s="85"/>
      <c r="BQ24" s="85"/>
      <c r="BR24" s="85"/>
      <c r="BS24" s="85"/>
      <c r="BT24" s="85"/>
      <c r="BU24" s="85"/>
      <c r="BV24" s="85"/>
      <c r="BW24" s="663"/>
      <c r="BX24" s="663"/>
      <c r="BY24" s="663"/>
      <c r="BZ24" s="663"/>
    </row>
    <row r="25" spans="1:79" s="78" customFormat="1" ht="91.5" customHeight="1" outlineLevel="1">
      <c r="A25" s="659">
        <v>11</v>
      </c>
      <c r="B25" s="668" t="s">
        <v>858</v>
      </c>
      <c r="C25" s="669" t="s">
        <v>77</v>
      </c>
      <c r="D25" s="670"/>
      <c r="E25" s="671"/>
      <c r="F25" s="85" t="s">
        <v>570</v>
      </c>
      <c r="G25" s="669"/>
      <c r="H25" s="672"/>
      <c r="I25" s="669"/>
      <c r="J25" s="669"/>
      <c r="K25" s="669"/>
      <c r="L25" s="673"/>
      <c r="M25" s="84"/>
      <c r="N25" s="674">
        <v>0</v>
      </c>
      <c r="O25" s="674">
        <v>0</v>
      </c>
      <c r="P25" s="674">
        <v>0</v>
      </c>
      <c r="Q25" s="85"/>
      <c r="R25" s="85" t="s">
        <v>578</v>
      </c>
      <c r="S25" s="674">
        <v>0</v>
      </c>
      <c r="T25" s="674">
        <v>0</v>
      </c>
      <c r="U25" s="674">
        <v>0</v>
      </c>
      <c r="V25" s="674">
        <v>0</v>
      </c>
      <c r="W25" s="84">
        <f t="shared" si="3"/>
        <v>5560</v>
      </c>
      <c r="X25" s="675">
        <v>0</v>
      </c>
      <c r="Y25" s="675">
        <v>0</v>
      </c>
      <c r="Z25" s="675">
        <v>941</v>
      </c>
      <c r="AA25" s="675">
        <v>0</v>
      </c>
      <c r="AB25" s="675">
        <f>941+4619</f>
        <v>5560</v>
      </c>
      <c r="AC25" s="674">
        <v>0</v>
      </c>
      <c r="AD25" s="674">
        <v>0</v>
      </c>
      <c r="AE25" s="674">
        <v>0</v>
      </c>
      <c r="AF25" s="674">
        <v>0</v>
      </c>
      <c r="AG25" s="674">
        <v>0</v>
      </c>
      <c r="AH25" s="674">
        <v>0</v>
      </c>
      <c r="AI25" s="674">
        <v>0</v>
      </c>
      <c r="AJ25" s="674">
        <v>0</v>
      </c>
      <c r="AK25" s="674">
        <v>0</v>
      </c>
      <c r="AL25" s="674">
        <v>0</v>
      </c>
      <c r="AM25" s="674">
        <v>0</v>
      </c>
      <c r="AN25" s="674">
        <v>0</v>
      </c>
      <c r="AO25" s="674">
        <v>0</v>
      </c>
      <c r="AP25" s="674">
        <v>0</v>
      </c>
      <c r="AQ25" s="674">
        <v>0</v>
      </c>
      <c r="AR25" s="674">
        <v>0</v>
      </c>
      <c r="AS25" s="674">
        <v>0</v>
      </c>
      <c r="AT25" s="85">
        <f t="shared" si="5"/>
        <v>5560</v>
      </c>
      <c r="AU25" s="675">
        <v>0</v>
      </c>
      <c r="AV25" s="675">
        <v>0</v>
      </c>
      <c r="AW25" s="675">
        <v>941</v>
      </c>
      <c r="AX25" s="675">
        <v>0</v>
      </c>
      <c r="AY25" s="675">
        <f>941+4619</f>
        <v>5560</v>
      </c>
      <c r="AZ25" s="674">
        <v>0</v>
      </c>
      <c r="BA25" s="676">
        <v>0</v>
      </c>
      <c r="BB25" s="676">
        <v>0</v>
      </c>
      <c r="BC25" s="676">
        <v>0</v>
      </c>
      <c r="BD25" s="676">
        <v>0</v>
      </c>
      <c r="BE25" s="676">
        <v>0</v>
      </c>
      <c r="BF25" s="676">
        <v>0</v>
      </c>
      <c r="BG25" s="676">
        <v>0</v>
      </c>
      <c r="BH25" s="676">
        <v>0</v>
      </c>
      <c r="BI25" s="676">
        <v>0</v>
      </c>
      <c r="BJ25" s="676">
        <v>0</v>
      </c>
      <c r="BK25" s="676">
        <v>0</v>
      </c>
      <c r="BL25" s="676">
        <v>0</v>
      </c>
      <c r="BM25" s="676">
        <v>0</v>
      </c>
      <c r="BN25" s="676">
        <v>0</v>
      </c>
      <c r="BO25" s="676">
        <v>0</v>
      </c>
      <c r="BP25" s="676">
        <v>0</v>
      </c>
      <c r="BQ25" s="676">
        <v>0</v>
      </c>
      <c r="BR25" s="676">
        <v>0</v>
      </c>
      <c r="BS25" s="676">
        <v>0</v>
      </c>
      <c r="BT25" s="676">
        <v>0</v>
      </c>
      <c r="BU25" s="676"/>
      <c r="BV25" s="672" t="s">
        <v>851</v>
      </c>
      <c r="BW25" s="512"/>
      <c r="BX25" s="512"/>
      <c r="BY25" s="512"/>
      <c r="BZ25" s="512"/>
    </row>
    <row r="26" spans="1:79" s="26" customFormat="1" ht="45" customHeight="1">
      <c r="A26" s="657" t="s">
        <v>10</v>
      </c>
      <c r="B26" s="657" t="s">
        <v>58</v>
      </c>
      <c r="C26" s="657"/>
      <c r="D26" s="657"/>
      <c r="E26" s="657"/>
      <c r="F26" s="657"/>
      <c r="G26" s="657"/>
      <c r="H26" s="657"/>
      <c r="I26" s="657"/>
      <c r="J26" s="657"/>
      <c r="K26" s="657"/>
      <c r="L26" s="657"/>
      <c r="M26" s="658">
        <f>M27+M44+M91+M126</f>
        <v>403346.87822800002</v>
      </c>
      <c r="N26" s="658">
        <f t="shared" ref="N26:BU26" si="11">N27+N44+N91+N126</f>
        <v>135000</v>
      </c>
      <c r="O26" s="658">
        <f t="shared" si="11"/>
        <v>151010</v>
      </c>
      <c r="P26" s="658">
        <f t="shared" si="11"/>
        <v>117995.27822800001</v>
      </c>
      <c r="Q26" s="658">
        <f t="shared" si="11"/>
        <v>0</v>
      </c>
      <c r="R26" s="658">
        <f t="shared" si="11"/>
        <v>0</v>
      </c>
      <c r="S26" s="658">
        <f t="shared" si="11"/>
        <v>59958.6</v>
      </c>
      <c r="T26" s="658">
        <f t="shared" si="11"/>
        <v>0</v>
      </c>
      <c r="U26" s="658">
        <f t="shared" si="11"/>
        <v>46960</v>
      </c>
      <c r="V26" s="658">
        <f t="shared" si="11"/>
        <v>1999.6</v>
      </c>
      <c r="W26" s="658">
        <f t="shared" si="11"/>
        <v>88806.311839999995</v>
      </c>
      <c r="X26" s="658">
        <f t="shared" si="11"/>
        <v>134999.636</v>
      </c>
      <c r="Y26" s="658">
        <f t="shared" si="11"/>
        <v>138010</v>
      </c>
      <c r="Z26" s="658">
        <f t="shared" si="11"/>
        <v>88766.311839999995</v>
      </c>
      <c r="AA26" s="658">
        <f t="shared" si="11"/>
        <v>56826.876769000002</v>
      </c>
      <c r="AB26" s="658">
        <f t="shared" si="11"/>
        <v>2569.3630000000003</v>
      </c>
      <c r="AC26" s="658">
        <f t="shared" si="11"/>
        <v>29410.072071000002</v>
      </c>
      <c r="AD26" s="658">
        <f t="shared" si="11"/>
        <v>329805.17755300005</v>
      </c>
      <c r="AE26" s="658">
        <f t="shared" si="11"/>
        <v>135674.636</v>
      </c>
      <c r="AF26" s="658">
        <f t="shared" si="11"/>
        <v>125210</v>
      </c>
      <c r="AG26" s="658">
        <f t="shared" si="11"/>
        <v>70825.089004000009</v>
      </c>
      <c r="AH26" s="658">
        <f t="shared" si="11"/>
        <v>39536.256769</v>
      </c>
      <c r="AI26" s="658">
        <f t="shared" si="11"/>
        <v>5085</v>
      </c>
      <c r="AJ26" s="658">
        <f t="shared" si="11"/>
        <v>1296.0630000000001</v>
      </c>
      <c r="AK26" s="658">
        <f t="shared" si="11"/>
        <v>25582.769235</v>
      </c>
      <c r="AL26" s="658">
        <f t="shared" si="11"/>
        <v>308984.01010400004</v>
      </c>
      <c r="AM26" s="658">
        <f t="shared" si="11"/>
        <v>134204.02357000002</v>
      </c>
      <c r="AN26" s="658">
        <f t="shared" si="11"/>
        <v>104841.764</v>
      </c>
      <c r="AO26" s="658">
        <f t="shared" si="11"/>
        <v>71789.521617999999</v>
      </c>
      <c r="AP26" s="658">
        <f t="shared" si="11"/>
        <v>43518.006153000002</v>
      </c>
      <c r="AQ26" s="658">
        <f t="shared" si="11"/>
        <v>5573.057734</v>
      </c>
      <c r="AR26" s="658">
        <f t="shared" si="11"/>
        <v>1296.0630000000001</v>
      </c>
      <c r="AS26" s="658">
        <f t="shared" si="11"/>
        <v>24343.363035000002</v>
      </c>
      <c r="AT26" s="658">
        <f t="shared" si="11"/>
        <v>13066.428836000001</v>
      </c>
      <c r="AU26" s="658">
        <f t="shared" si="11"/>
        <v>0</v>
      </c>
      <c r="AV26" s="658">
        <f t="shared" si="11"/>
        <v>12800</v>
      </c>
      <c r="AW26" s="658">
        <f t="shared" si="11"/>
        <v>13026.428836000001</v>
      </c>
      <c r="AX26" s="658">
        <f t="shared" si="11"/>
        <v>8153.17</v>
      </c>
      <c r="AY26" s="658">
        <f t="shared" si="11"/>
        <v>1407.4884809999999</v>
      </c>
      <c r="AZ26" s="658">
        <f t="shared" si="11"/>
        <v>3505.7703550000001</v>
      </c>
      <c r="BA26" s="658">
        <f t="shared" si="11"/>
        <v>11735.288735</v>
      </c>
      <c r="BB26" s="658">
        <f t="shared" si="11"/>
        <v>0</v>
      </c>
      <c r="BC26" s="658">
        <f t="shared" si="11"/>
        <v>574.35</v>
      </c>
      <c r="BD26" s="658">
        <f t="shared" si="11"/>
        <v>10772.771000000001</v>
      </c>
      <c r="BE26" s="658">
        <f t="shared" si="11"/>
        <v>8069.6847350000007</v>
      </c>
      <c r="BF26" s="658">
        <f t="shared" si="11"/>
        <v>0</v>
      </c>
      <c r="BG26" s="658">
        <f t="shared" si="11"/>
        <v>1000</v>
      </c>
      <c r="BH26" s="658">
        <f t="shared" si="11"/>
        <v>2091.2539999999999</v>
      </c>
      <c r="BI26" s="658">
        <f t="shared" si="11"/>
        <v>3739.5561310000003</v>
      </c>
      <c r="BJ26" s="658">
        <f t="shared" si="11"/>
        <v>3146.2260000000001</v>
      </c>
      <c r="BK26" s="658">
        <f t="shared" si="11"/>
        <v>0</v>
      </c>
      <c r="BL26" s="658">
        <f t="shared" si="11"/>
        <v>593.33013100000005</v>
      </c>
      <c r="BM26" s="658">
        <f t="shared" si="11"/>
        <v>531.15547200000003</v>
      </c>
      <c r="BN26" s="658">
        <f t="shared" si="11"/>
        <v>0</v>
      </c>
      <c r="BO26" s="658">
        <f t="shared" si="11"/>
        <v>0</v>
      </c>
      <c r="BP26" s="658">
        <f t="shared" si="11"/>
        <v>531.15547200000003</v>
      </c>
      <c r="BQ26" s="658">
        <f t="shared" si="11"/>
        <v>0</v>
      </c>
      <c r="BR26" s="658">
        <f t="shared" si="11"/>
        <v>0</v>
      </c>
      <c r="BS26" s="658">
        <f t="shared" si="11"/>
        <v>0</v>
      </c>
      <c r="BT26" s="658">
        <f t="shared" si="11"/>
        <v>0</v>
      </c>
      <c r="BU26" s="658">
        <f t="shared" si="11"/>
        <v>519.46013100000005</v>
      </c>
      <c r="BV26" s="657" t="s">
        <v>3692</v>
      </c>
      <c r="BW26" s="75"/>
      <c r="BX26" s="75"/>
      <c r="BY26" s="75"/>
      <c r="BZ26" s="75"/>
      <c r="CA26" s="221"/>
    </row>
    <row r="27" spans="1:79" s="26" customFormat="1" ht="30" customHeight="1" collapsed="1">
      <c r="A27" s="536" t="s">
        <v>12</v>
      </c>
      <c r="B27" s="536" t="s">
        <v>572</v>
      </c>
      <c r="C27" s="536"/>
      <c r="D27" s="536"/>
      <c r="E27" s="536"/>
      <c r="F27" s="536"/>
      <c r="G27" s="536"/>
      <c r="H27" s="536"/>
      <c r="I27" s="536"/>
      <c r="J27" s="536"/>
      <c r="K27" s="536"/>
      <c r="L27" s="536"/>
      <c r="M27" s="104">
        <f>M28</f>
        <v>17388.633996</v>
      </c>
      <c r="N27" s="104">
        <f t="shared" ref="N27:BU27" si="12">N28</f>
        <v>0</v>
      </c>
      <c r="O27" s="104">
        <f t="shared" si="12"/>
        <v>0</v>
      </c>
      <c r="P27" s="104">
        <f t="shared" si="12"/>
        <v>17388.633996</v>
      </c>
      <c r="Q27" s="104">
        <f t="shared" si="12"/>
        <v>0</v>
      </c>
      <c r="R27" s="104">
        <f t="shared" si="12"/>
        <v>0</v>
      </c>
      <c r="S27" s="104">
        <f t="shared" si="12"/>
        <v>0</v>
      </c>
      <c r="T27" s="104">
        <f t="shared" si="12"/>
        <v>0</v>
      </c>
      <c r="U27" s="104">
        <f t="shared" si="12"/>
        <v>0</v>
      </c>
      <c r="V27" s="104">
        <f t="shared" si="12"/>
        <v>0</v>
      </c>
      <c r="W27" s="104">
        <f t="shared" si="12"/>
        <v>17268.633996</v>
      </c>
      <c r="X27" s="104">
        <f t="shared" si="12"/>
        <v>0</v>
      </c>
      <c r="Y27" s="104">
        <f t="shared" si="12"/>
        <v>0</v>
      </c>
      <c r="Z27" s="104">
        <f t="shared" si="12"/>
        <v>17268.633996</v>
      </c>
      <c r="AA27" s="104">
        <f t="shared" si="12"/>
        <v>10536.363601999999</v>
      </c>
      <c r="AB27" s="104">
        <f t="shared" si="12"/>
        <v>674.3</v>
      </c>
      <c r="AC27" s="104">
        <f t="shared" si="12"/>
        <v>6057.9703939999999</v>
      </c>
      <c r="AD27" s="104">
        <f t="shared" si="12"/>
        <v>15189.37516</v>
      </c>
      <c r="AE27" s="104">
        <f t="shared" si="12"/>
        <v>0</v>
      </c>
      <c r="AF27" s="104">
        <f t="shared" si="12"/>
        <v>0</v>
      </c>
      <c r="AG27" s="104">
        <f t="shared" si="12"/>
        <v>15589.37516</v>
      </c>
      <c r="AH27" s="104">
        <f t="shared" si="12"/>
        <v>8147.3636019999994</v>
      </c>
      <c r="AI27" s="104">
        <f t="shared" si="12"/>
        <v>2000</v>
      </c>
      <c r="AJ27" s="104">
        <f t="shared" si="12"/>
        <v>441</v>
      </c>
      <c r="AK27" s="104">
        <f t="shared" si="12"/>
        <v>5001.0115580000002</v>
      </c>
      <c r="AL27" s="104">
        <f t="shared" si="12"/>
        <v>14005.393426000002</v>
      </c>
      <c r="AM27" s="104">
        <f t="shared" si="12"/>
        <v>0</v>
      </c>
      <c r="AN27" s="104">
        <f t="shared" si="12"/>
        <v>0</v>
      </c>
      <c r="AO27" s="104">
        <f t="shared" si="12"/>
        <v>14080.42894</v>
      </c>
      <c r="AP27" s="104">
        <f t="shared" si="12"/>
        <v>7492.4693820000002</v>
      </c>
      <c r="AQ27" s="104">
        <f t="shared" si="12"/>
        <v>1911.5340000000001</v>
      </c>
      <c r="AR27" s="104">
        <f t="shared" si="12"/>
        <v>441</v>
      </c>
      <c r="AS27" s="104">
        <f t="shared" si="12"/>
        <v>4235.4255579999999</v>
      </c>
      <c r="AT27" s="104">
        <f t="shared" si="12"/>
        <v>2149.258836</v>
      </c>
      <c r="AU27" s="104">
        <f t="shared" si="12"/>
        <v>0</v>
      </c>
      <c r="AV27" s="104">
        <f t="shared" si="12"/>
        <v>0</v>
      </c>
      <c r="AW27" s="104">
        <f t="shared" si="12"/>
        <v>2149.258836</v>
      </c>
      <c r="AX27" s="104">
        <f t="shared" si="12"/>
        <v>389</v>
      </c>
      <c r="AY27" s="104">
        <f t="shared" si="12"/>
        <v>367.48848099999998</v>
      </c>
      <c r="AZ27" s="104">
        <f t="shared" si="12"/>
        <v>1392.7703550000001</v>
      </c>
      <c r="BA27" s="104">
        <f t="shared" si="12"/>
        <v>388.16773499999999</v>
      </c>
      <c r="BB27" s="104">
        <f t="shared" si="12"/>
        <v>0</v>
      </c>
      <c r="BC27" s="104">
        <f t="shared" si="12"/>
        <v>0</v>
      </c>
      <c r="BD27" s="104">
        <f t="shared" si="12"/>
        <v>0</v>
      </c>
      <c r="BE27" s="104">
        <f t="shared" si="12"/>
        <v>388.16773499999999</v>
      </c>
      <c r="BF27" s="104">
        <f t="shared" si="12"/>
        <v>0</v>
      </c>
      <c r="BG27" s="104">
        <f t="shared" si="12"/>
        <v>0</v>
      </c>
      <c r="BH27" s="104">
        <f t="shared" si="12"/>
        <v>0</v>
      </c>
      <c r="BI27" s="104">
        <f t="shared" si="12"/>
        <v>25.800000000000011</v>
      </c>
      <c r="BJ27" s="104">
        <f t="shared" si="12"/>
        <v>0</v>
      </c>
      <c r="BK27" s="104">
        <f t="shared" si="12"/>
        <v>0</v>
      </c>
      <c r="BL27" s="104">
        <f t="shared" si="12"/>
        <v>25.800000000000011</v>
      </c>
      <c r="BM27" s="104">
        <f t="shared" si="12"/>
        <v>18.839000000000002</v>
      </c>
      <c r="BN27" s="104">
        <f t="shared" si="12"/>
        <v>0</v>
      </c>
      <c r="BO27" s="104">
        <f t="shared" si="12"/>
        <v>0</v>
      </c>
      <c r="BP27" s="104">
        <f t="shared" si="12"/>
        <v>18.839000000000002</v>
      </c>
      <c r="BQ27" s="104">
        <f t="shared" si="12"/>
        <v>0</v>
      </c>
      <c r="BR27" s="104">
        <f t="shared" si="12"/>
        <v>0</v>
      </c>
      <c r="BS27" s="104">
        <f t="shared" si="12"/>
        <v>0</v>
      </c>
      <c r="BT27" s="104">
        <f t="shared" si="12"/>
        <v>0</v>
      </c>
      <c r="BU27" s="104">
        <f t="shared" si="12"/>
        <v>0</v>
      </c>
      <c r="BV27" s="536"/>
      <c r="BW27" s="75"/>
      <c r="BX27" s="75"/>
      <c r="BY27" s="75"/>
      <c r="BZ27" s="75"/>
      <c r="CA27" s="221"/>
    </row>
    <row r="28" spans="1:79" s="26" customFormat="1" ht="30" customHeight="1">
      <c r="A28" s="553" t="s">
        <v>45</v>
      </c>
      <c r="B28" s="677" t="s">
        <v>51</v>
      </c>
      <c r="C28" s="658"/>
      <c r="D28" s="658"/>
      <c r="E28" s="658"/>
      <c r="F28" s="658"/>
      <c r="G28" s="658"/>
      <c r="H28" s="658"/>
      <c r="I28" s="678"/>
      <c r="J28" s="658"/>
      <c r="K28" s="658"/>
      <c r="L28" s="658"/>
      <c r="M28" s="658">
        <f t="shared" ref="M28:BU28" si="13">SUM(M29:M43)</f>
        <v>17388.633996</v>
      </c>
      <c r="N28" s="658">
        <f t="shared" si="13"/>
        <v>0</v>
      </c>
      <c r="O28" s="658">
        <f t="shared" si="13"/>
        <v>0</v>
      </c>
      <c r="P28" s="658">
        <f t="shared" si="13"/>
        <v>17388.633996</v>
      </c>
      <c r="Q28" s="658">
        <f t="shared" si="13"/>
        <v>0</v>
      </c>
      <c r="R28" s="658">
        <f t="shared" si="13"/>
        <v>0</v>
      </c>
      <c r="S28" s="658">
        <f t="shared" si="13"/>
        <v>0</v>
      </c>
      <c r="T28" s="658">
        <f t="shared" si="13"/>
        <v>0</v>
      </c>
      <c r="U28" s="658">
        <f t="shared" si="13"/>
        <v>0</v>
      </c>
      <c r="V28" s="658">
        <f t="shared" si="13"/>
        <v>0</v>
      </c>
      <c r="W28" s="658">
        <f t="shared" si="13"/>
        <v>17268.633996</v>
      </c>
      <c r="X28" s="658">
        <f t="shared" si="13"/>
        <v>0</v>
      </c>
      <c r="Y28" s="658">
        <f t="shared" si="13"/>
        <v>0</v>
      </c>
      <c r="Z28" s="658">
        <f t="shared" si="13"/>
        <v>17268.633996</v>
      </c>
      <c r="AA28" s="658">
        <f t="shared" si="13"/>
        <v>10536.363601999999</v>
      </c>
      <c r="AB28" s="658">
        <f t="shared" si="13"/>
        <v>674.3</v>
      </c>
      <c r="AC28" s="658">
        <f t="shared" si="13"/>
        <v>6057.9703939999999</v>
      </c>
      <c r="AD28" s="658">
        <f t="shared" si="13"/>
        <v>15189.37516</v>
      </c>
      <c r="AE28" s="658">
        <f t="shared" si="13"/>
        <v>0</v>
      </c>
      <c r="AF28" s="658">
        <f t="shared" si="13"/>
        <v>0</v>
      </c>
      <c r="AG28" s="658">
        <f t="shared" si="13"/>
        <v>15589.37516</v>
      </c>
      <c r="AH28" s="658">
        <f t="shared" si="13"/>
        <v>8147.3636019999994</v>
      </c>
      <c r="AI28" s="658">
        <f t="shared" si="13"/>
        <v>2000</v>
      </c>
      <c r="AJ28" s="658">
        <f t="shared" si="13"/>
        <v>441</v>
      </c>
      <c r="AK28" s="658">
        <f t="shared" si="13"/>
        <v>5001.0115580000002</v>
      </c>
      <c r="AL28" s="658">
        <f t="shared" si="13"/>
        <v>14005.393426000002</v>
      </c>
      <c r="AM28" s="658">
        <f t="shared" si="13"/>
        <v>0</v>
      </c>
      <c r="AN28" s="658">
        <f t="shared" si="13"/>
        <v>0</v>
      </c>
      <c r="AO28" s="658">
        <f t="shared" si="13"/>
        <v>14080.42894</v>
      </c>
      <c r="AP28" s="658">
        <f t="shared" si="13"/>
        <v>7492.4693820000002</v>
      </c>
      <c r="AQ28" s="658">
        <f t="shared" si="13"/>
        <v>1911.5340000000001</v>
      </c>
      <c r="AR28" s="658">
        <f t="shared" si="13"/>
        <v>441</v>
      </c>
      <c r="AS28" s="658">
        <f t="shared" si="13"/>
        <v>4235.4255579999999</v>
      </c>
      <c r="AT28" s="658">
        <f t="shared" si="13"/>
        <v>2149.258836</v>
      </c>
      <c r="AU28" s="658">
        <f t="shared" si="13"/>
        <v>0</v>
      </c>
      <c r="AV28" s="658">
        <f t="shared" si="13"/>
        <v>0</v>
      </c>
      <c r="AW28" s="658">
        <f t="shared" si="13"/>
        <v>2149.258836</v>
      </c>
      <c r="AX28" s="658">
        <f t="shared" si="13"/>
        <v>389</v>
      </c>
      <c r="AY28" s="658">
        <f t="shared" si="13"/>
        <v>367.48848099999998</v>
      </c>
      <c r="AZ28" s="658">
        <f t="shared" si="13"/>
        <v>1392.7703550000001</v>
      </c>
      <c r="BA28" s="658">
        <f t="shared" si="13"/>
        <v>388.16773499999999</v>
      </c>
      <c r="BB28" s="658">
        <f t="shared" si="13"/>
        <v>0</v>
      </c>
      <c r="BC28" s="658">
        <f t="shared" si="13"/>
        <v>0</v>
      </c>
      <c r="BD28" s="658">
        <f t="shared" si="13"/>
        <v>0</v>
      </c>
      <c r="BE28" s="658">
        <f t="shared" si="13"/>
        <v>388.16773499999999</v>
      </c>
      <c r="BF28" s="658">
        <f t="shared" si="13"/>
        <v>0</v>
      </c>
      <c r="BG28" s="658">
        <f t="shared" si="13"/>
        <v>0</v>
      </c>
      <c r="BH28" s="658">
        <f t="shared" si="13"/>
        <v>0</v>
      </c>
      <c r="BI28" s="658">
        <f t="shared" si="13"/>
        <v>25.800000000000011</v>
      </c>
      <c r="BJ28" s="658">
        <f t="shared" si="13"/>
        <v>0</v>
      </c>
      <c r="BK28" s="658">
        <f t="shared" si="13"/>
        <v>0</v>
      </c>
      <c r="BL28" s="658">
        <f t="shared" si="13"/>
        <v>25.800000000000011</v>
      </c>
      <c r="BM28" s="658">
        <f t="shared" si="13"/>
        <v>18.839000000000002</v>
      </c>
      <c r="BN28" s="658">
        <f t="shared" si="13"/>
        <v>0</v>
      </c>
      <c r="BO28" s="658">
        <f t="shared" si="13"/>
        <v>0</v>
      </c>
      <c r="BP28" s="658">
        <f t="shared" si="13"/>
        <v>18.839000000000002</v>
      </c>
      <c r="BQ28" s="658">
        <f t="shared" si="13"/>
        <v>0</v>
      </c>
      <c r="BR28" s="658">
        <f t="shared" si="13"/>
        <v>0</v>
      </c>
      <c r="BS28" s="658">
        <f t="shared" si="13"/>
        <v>0</v>
      </c>
      <c r="BT28" s="658">
        <f t="shared" si="13"/>
        <v>0</v>
      </c>
      <c r="BU28" s="658">
        <f t="shared" si="13"/>
        <v>0</v>
      </c>
      <c r="BV28" s="658"/>
      <c r="BW28" s="75"/>
      <c r="BX28" s="75"/>
      <c r="BY28" s="75"/>
      <c r="BZ28" s="75"/>
    </row>
    <row r="29" spans="1:79" s="26" customFormat="1" ht="54" customHeight="1" outlineLevel="1">
      <c r="A29" s="659">
        <v>1</v>
      </c>
      <c r="B29" s="660" t="s">
        <v>573</v>
      </c>
      <c r="C29" s="661" t="s">
        <v>77</v>
      </c>
      <c r="D29" s="85" t="s">
        <v>48</v>
      </c>
      <c r="E29" s="661" t="s">
        <v>574</v>
      </c>
      <c r="F29" s="661" t="s">
        <v>572</v>
      </c>
      <c r="G29" s="661" t="s">
        <v>49</v>
      </c>
      <c r="H29" s="661" t="s">
        <v>578</v>
      </c>
      <c r="I29" s="662">
        <v>2021</v>
      </c>
      <c r="J29" s="661">
        <v>2021</v>
      </c>
      <c r="K29" s="661" t="s">
        <v>575</v>
      </c>
      <c r="L29" s="661" t="s">
        <v>576</v>
      </c>
      <c r="M29" s="84">
        <v>500</v>
      </c>
      <c r="N29" s="85"/>
      <c r="O29" s="85"/>
      <c r="P29" s="84">
        <v>500</v>
      </c>
      <c r="Q29" s="85" t="s">
        <v>577</v>
      </c>
      <c r="R29" s="661" t="s">
        <v>578</v>
      </c>
      <c r="S29" s="84"/>
      <c r="T29" s="85"/>
      <c r="U29" s="85"/>
      <c r="V29" s="84"/>
      <c r="W29" s="84">
        <f t="shared" ref="W29:W39" si="14">AA29+AB29+AC29</f>
        <v>500</v>
      </c>
      <c r="X29" s="85"/>
      <c r="Y29" s="85"/>
      <c r="Z29" s="85">
        <f t="shared" ref="Z29:Z43" si="15">SUM(AA29:AC29)</f>
        <v>500</v>
      </c>
      <c r="AA29" s="84">
        <v>500</v>
      </c>
      <c r="AB29" s="85"/>
      <c r="AC29" s="85"/>
      <c r="AD29" s="84">
        <v>500</v>
      </c>
      <c r="AE29" s="85"/>
      <c r="AF29" s="85"/>
      <c r="AG29" s="84">
        <f>AH29+AI29+AJ29+AK29</f>
        <v>500</v>
      </c>
      <c r="AH29" s="84">
        <v>500</v>
      </c>
      <c r="AI29" s="84"/>
      <c r="AJ29" s="85"/>
      <c r="AK29" s="85"/>
      <c r="AL29" s="84">
        <v>499.464</v>
      </c>
      <c r="AM29" s="85"/>
      <c r="AN29" s="85"/>
      <c r="AO29" s="84">
        <f>AP29+AQ29+AR29+AS29</f>
        <v>499</v>
      </c>
      <c r="AP29" s="84">
        <v>499</v>
      </c>
      <c r="AQ29" s="84"/>
      <c r="AR29" s="85"/>
      <c r="AS29" s="85"/>
      <c r="AT29" s="85">
        <f t="shared" ref="AT29:AT43" si="16">AX29+AY29+AZ29</f>
        <v>0</v>
      </c>
      <c r="AU29" s="85"/>
      <c r="AV29" s="85"/>
      <c r="AW29" s="85">
        <f t="shared" ref="AW29:AW43" si="17">SUM(AX29:AZ29)</f>
        <v>0</v>
      </c>
      <c r="AX29" s="85">
        <v>0</v>
      </c>
      <c r="AY29" s="85"/>
      <c r="AZ29" s="85"/>
      <c r="BA29" s="85">
        <f>BB29+BC29+BD29+BE29+BF29+BG29+BH29</f>
        <v>0</v>
      </c>
      <c r="BB29" s="85"/>
      <c r="BC29" s="85"/>
      <c r="BD29" s="85"/>
      <c r="BE29" s="85"/>
      <c r="BF29" s="85"/>
      <c r="BG29" s="85"/>
      <c r="BH29" s="85"/>
      <c r="BI29" s="84">
        <f>BJ29+BK29+BL29</f>
        <v>0</v>
      </c>
      <c r="BJ29" s="85"/>
      <c r="BK29" s="85"/>
      <c r="BL29" s="85"/>
      <c r="BM29" s="84">
        <f>BN29+BO29+BP29</f>
        <v>0</v>
      </c>
      <c r="BN29" s="85"/>
      <c r="BO29" s="85"/>
      <c r="BP29" s="85"/>
      <c r="BQ29" s="85"/>
      <c r="BR29" s="85"/>
      <c r="BS29" s="85"/>
      <c r="BT29" s="85"/>
      <c r="BU29" s="85"/>
      <c r="BV29" s="85" t="s">
        <v>868</v>
      </c>
      <c r="BW29" s="679">
        <v>500</v>
      </c>
      <c r="BX29" s="679"/>
      <c r="BY29" s="663"/>
      <c r="BZ29" s="663"/>
    </row>
    <row r="30" spans="1:79" s="26" customFormat="1" ht="51.75" customHeight="1" outlineLevel="1">
      <c r="A30" s="659">
        <v>2</v>
      </c>
      <c r="B30" s="660" t="s">
        <v>579</v>
      </c>
      <c r="C30" s="661" t="s">
        <v>580</v>
      </c>
      <c r="D30" s="85" t="s">
        <v>105</v>
      </c>
      <c r="E30" s="661" t="s">
        <v>581</v>
      </c>
      <c r="F30" s="661" t="s">
        <v>572</v>
      </c>
      <c r="G30" s="661" t="s">
        <v>49</v>
      </c>
      <c r="H30" s="661" t="s">
        <v>584</v>
      </c>
      <c r="I30" s="662">
        <v>2021</v>
      </c>
      <c r="J30" s="661">
        <v>2021</v>
      </c>
      <c r="K30" s="661" t="s">
        <v>575</v>
      </c>
      <c r="L30" s="661" t="s">
        <v>582</v>
      </c>
      <c r="M30" s="84">
        <v>200</v>
      </c>
      <c r="N30" s="85"/>
      <c r="O30" s="85"/>
      <c r="P30" s="84">
        <v>200</v>
      </c>
      <c r="Q30" s="85" t="s">
        <v>583</v>
      </c>
      <c r="R30" s="661" t="s">
        <v>578</v>
      </c>
      <c r="S30" s="84"/>
      <c r="T30" s="85"/>
      <c r="U30" s="85"/>
      <c r="V30" s="84"/>
      <c r="W30" s="84">
        <f t="shared" si="14"/>
        <v>130</v>
      </c>
      <c r="X30" s="85"/>
      <c r="Y30" s="85"/>
      <c r="Z30" s="85">
        <f t="shared" si="15"/>
        <v>130</v>
      </c>
      <c r="AA30" s="84">
        <v>130</v>
      </c>
      <c r="AB30" s="85"/>
      <c r="AC30" s="85"/>
      <c r="AD30" s="84">
        <v>200</v>
      </c>
      <c r="AE30" s="85"/>
      <c r="AF30" s="85"/>
      <c r="AG30" s="84">
        <f>AH30+AI30+AJ30+AK30</f>
        <v>130</v>
      </c>
      <c r="AH30" s="84">
        <v>130</v>
      </c>
      <c r="AI30" s="84"/>
      <c r="AJ30" s="85"/>
      <c r="AK30" s="85"/>
      <c r="AL30" s="84">
        <v>128.52148600000001</v>
      </c>
      <c r="AM30" s="85"/>
      <c r="AN30" s="85"/>
      <c r="AO30" s="84">
        <f>AP30+AQ30+AR30+AS30</f>
        <v>129</v>
      </c>
      <c r="AP30" s="84">
        <v>129</v>
      </c>
      <c r="AQ30" s="84"/>
      <c r="AR30" s="85"/>
      <c r="AS30" s="85"/>
      <c r="AT30" s="85">
        <f t="shared" si="16"/>
        <v>0</v>
      </c>
      <c r="AU30" s="85"/>
      <c r="AV30" s="85"/>
      <c r="AW30" s="85">
        <f t="shared" si="17"/>
        <v>0</v>
      </c>
      <c r="AX30" s="85">
        <v>0</v>
      </c>
      <c r="AY30" s="85"/>
      <c r="AZ30" s="85"/>
      <c r="BA30" s="85">
        <f>BB30+BC30+BD30+BE30+BF30+BG30+BH30</f>
        <v>0</v>
      </c>
      <c r="BB30" s="85"/>
      <c r="BC30" s="85"/>
      <c r="BD30" s="85"/>
      <c r="BE30" s="85"/>
      <c r="BF30" s="85"/>
      <c r="BG30" s="85"/>
      <c r="BH30" s="85"/>
      <c r="BI30" s="84">
        <f>BJ30+BK30+BL30</f>
        <v>0</v>
      </c>
      <c r="BJ30" s="85"/>
      <c r="BK30" s="85"/>
      <c r="BL30" s="85"/>
      <c r="BM30" s="84">
        <f>BN30+BO30+BP30</f>
        <v>0</v>
      </c>
      <c r="BN30" s="85"/>
      <c r="BO30" s="85"/>
      <c r="BP30" s="85"/>
      <c r="BQ30" s="85"/>
      <c r="BR30" s="85"/>
      <c r="BS30" s="85"/>
      <c r="BT30" s="85"/>
      <c r="BU30" s="85"/>
      <c r="BV30" s="85" t="s">
        <v>868</v>
      </c>
      <c r="BW30" s="679">
        <v>130</v>
      </c>
      <c r="BX30" s="679"/>
      <c r="BY30" s="663"/>
      <c r="BZ30" s="663"/>
    </row>
    <row r="31" spans="1:79" s="26" customFormat="1" ht="76.5" customHeight="1" outlineLevel="1">
      <c r="A31" s="659">
        <v>3</v>
      </c>
      <c r="B31" s="660" t="s">
        <v>585</v>
      </c>
      <c r="C31" s="661" t="s">
        <v>580</v>
      </c>
      <c r="D31" s="85" t="s">
        <v>586</v>
      </c>
      <c r="E31" s="661">
        <v>7861783</v>
      </c>
      <c r="F31" s="661" t="s">
        <v>572</v>
      </c>
      <c r="G31" s="661" t="s">
        <v>49</v>
      </c>
      <c r="H31" s="661" t="s">
        <v>584</v>
      </c>
      <c r="I31" s="662">
        <v>2021</v>
      </c>
      <c r="J31" s="661">
        <v>2021</v>
      </c>
      <c r="K31" s="661" t="s">
        <v>575</v>
      </c>
      <c r="L31" s="661" t="s">
        <v>587</v>
      </c>
      <c r="M31" s="84">
        <v>3400</v>
      </c>
      <c r="N31" s="85"/>
      <c r="O31" s="85"/>
      <c r="P31" s="84">
        <v>3400</v>
      </c>
      <c r="Q31" s="85" t="s">
        <v>588</v>
      </c>
      <c r="R31" s="661" t="s">
        <v>578</v>
      </c>
      <c r="S31" s="84"/>
      <c r="T31" s="85"/>
      <c r="U31" s="85"/>
      <c r="V31" s="84"/>
      <c r="W31" s="84">
        <f t="shared" si="14"/>
        <v>3350</v>
      </c>
      <c r="X31" s="85"/>
      <c r="Y31" s="85"/>
      <c r="Z31" s="85">
        <f t="shared" si="15"/>
        <v>3350</v>
      </c>
      <c r="AA31" s="84">
        <v>3350</v>
      </c>
      <c r="AB31" s="85"/>
      <c r="AC31" s="85"/>
      <c r="AD31" s="84">
        <v>3350</v>
      </c>
      <c r="AE31" s="85"/>
      <c r="AF31" s="85"/>
      <c r="AG31" s="84">
        <f>AH31+AI31+AJ31+AK31</f>
        <v>3350</v>
      </c>
      <c r="AH31" s="84">
        <v>3350</v>
      </c>
      <c r="AI31" s="85"/>
      <c r="AJ31" s="85"/>
      <c r="AK31" s="85"/>
      <c r="AL31" s="84">
        <v>3260.471</v>
      </c>
      <c r="AM31" s="85"/>
      <c r="AN31" s="85"/>
      <c r="AO31" s="84">
        <f>AP31+AQ31+AR31+AS31</f>
        <v>3260.471</v>
      </c>
      <c r="AP31" s="84">
        <v>3260.471</v>
      </c>
      <c r="AQ31" s="85"/>
      <c r="AR31" s="85"/>
      <c r="AS31" s="85"/>
      <c r="AT31" s="85">
        <f t="shared" si="16"/>
        <v>0</v>
      </c>
      <c r="AU31" s="85"/>
      <c r="AV31" s="85"/>
      <c r="AW31" s="85">
        <f t="shared" si="17"/>
        <v>0</v>
      </c>
      <c r="AX31" s="85">
        <v>0</v>
      </c>
      <c r="AY31" s="85"/>
      <c r="AZ31" s="85"/>
      <c r="BA31" s="85">
        <f>BB31+BC31+BD31+BE31+BF31+BG31+BH31</f>
        <v>0</v>
      </c>
      <c r="BB31" s="85"/>
      <c r="BC31" s="85"/>
      <c r="BD31" s="85"/>
      <c r="BE31" s="85"/>
      <c r="BF31" s="85"/>
      <c r="BG31" s="85"/>
      <c r="BH31" s="85"/>
      <c r="BI31" s="84">
        <f>BJ31+BK31+BL31</f>
        <v>0</v>
      </c>
      <c r="BJ31" s="85"/>
      <c r="BK31" s="85"/>
      <c r="BL31" s="85"/>
      <c r="BM31" s="84">
        <f>BN31+BO31+BP31</f>
        <v>0</v>
      </c>
      <c r="BN31" s="85"/>
      <c r="BO31" s="85"/>
      <c r="BP31" s="85"/>
      <c r="BQ31" s="85"/>
      <c r="BR31" s="85"/>
      <c r="BS31" s="85"/>
      <c r="BT31" s="85"/>
      <c r="BU31" s="85"/>
      <c r="BV31" s="85" t="s">
        <v>868</v>
      </c>
      <c r="BW31" s="679">
        <v>3350</v>
      </c>
      <c r="BX31" s="663"/>
      <c r="BY31" s="663"/>
      <c r="BZ31" s="663"/>
    </row>
    <row r="32" spans="1:79" s="76" customFormat="1" ht="54" customHeight="1" outlineLevel="1">
      <c r="A32" s="659">
        <v>6</v>
      </c>
      <c r="B32" s="660" t="s">
        <v>597</v>
      </c>
      <c r="C32" s="661" t="s">
        <v>598</v>
      </c>
      <c r="D32" s="85" t="s">
        <v>48</v>
      </c>
      <c r="E32" s="661">
        <v>7894831</v>
      </c>
      <c r="F32" s="661" t="s">
        <v>572</v>
      </c>
      <c r="G32" s="661" t="s">
        <v>49</v>
      </c>
      <c r="H32" s="661" t="s">
        <v>578</v>
      </c>
      <c r="I32" s="662">
        <v>2021</v>
      </c>
      <c r="J32" s="661">
        <v>2021</v>
      </c>
      <c r="K32" s="661" t="s">
        <v>575</v>
      </c>
      <c r="L32" s="661" t="s">
        <v>599</v>
      </c>
      <c r="M32" s="84">
        <v>2955.384</v>
      </c>
      <c r="N32" s="85"/>
      <c r="O32" s="85"/>
      <c r="P32" s="84">
        <v>2955.384</v>
      </c>
      <c r="Q32" s="85" t="s">
        <v>600</v>
      </c>
      <c r="R32" s="661" t="s">
        <v>578</v>
      </c>
      <c r="S32" s="84"/>
      <c r="T32" s="85"/>
      <c r="U32" s="85"/>
      <c r="V32" s="84"/>
      <c r="W32" s="84">
        <f t="shared" si="14"/>
        <v>2955.384</v>
      </c>
      <c r="X32" s="85"/>
      <c r="Y32" s="85"/>
      <c r="Z32" s="85">
        <f t="shared" si="15"/>
        <v>2955.384</v>
      </c>
      <c r="AA32" s="84"/>
      <c r="AB32" s="85"/>
      <c r="AC32" s="84">
        <f>1554.384+1401</f>
        <v>2955.384</v>
      </c>
      <c r="AD32" s="84">
        <v>2955.384</v>
      </c>
      <c r="AE32" s="85"/>
      <c r="AF32" s="85"/>
      <c r="AG32" s="84">
        <v>2955.384</v>
      </c>
      <c r="AH32" s="84"/>
      <c r="AI32" s="85"/>
      <c r="AJ32" s="85"/>
      <c r="AK32" s="84">
        <f>1554.384+1401</f>
        <v>2955.384</v>
      </c>
      <c r="AL32" s="84">
        <v>2140.58</v>
      </c>
      <c r="AM32" s="85"/>
      <c r="AN32" s="85"/>
      <c r="AO32" s="84">
        <v>2140.58</v>
      </c>
      <c r="AP32" s="84"/>
      <c r="AQ32" s="85"/>
      <c r="AR32" s="85"/>
      <c r="AS32" s="84">
        <f>739.58+1401</f>
        <v>2140.58</v>
      </c>
      <c r="AT32" s="85">
        <f t="shared" si="16"/>
        <v>0</v>
      </c>
      <c r="AU32" s="85"/>
      <c r="AV32" s="85"/>
      <c r="AW32" s="85">
        <f t="shared" si="17"/>
        <v>0</v>
      </c>
      <c r="AX32" s="85">
        <v>0</v>
      </c>
      <c r="AY32" s="85"/>
      <c r="AZ32" s="85"/>
      <c r="BA32" s="85">
        <v>0</v>
      </c>
      <c r="BB32" s="85"/>
      <c r="BC32" s="85"/>
      <c r="BD32" s="85"/>
      <c r="BE32" s="85"/>
      <c r="BF32" s="85"/>
      <c r="BG32" s="85"/>
      <c r="BH32" s="85"/>
      <c r="BI32" s="84">
        <v>0</v>
      </c>
      <c r="BJ32" s="85"/>
      <c r="BK32" s="85"/>
      <c r="BL32" s="85"/>
      <c r="BM32" s="84">
        <v>0</v>
      </c>
      <c r="BN32" s="85"/>
      <c r="BO32" s="85"/>
      <c r="BP32" s="85"/>
      <c r="BQ32" s="85"/>
      <c r="BR32" s="85"/>
      <c r="BS32" s="85"/>
      <c r="BT32" s="85"/>
      <c r="BU32" s="85"/>
      <c r="BV32" s="85" t="s">
        <v>868</v>
      </c>
      <c r="BW32" s="679">
        <v>1401</v>
      </c>
      <c r="BX32" s="663"/>
      <c r="BY32" s="663"/>
      <c r="BZ32" s="663"/>
    </row>
    <row r="33" spans="1:78" s="26" customFormat="1" ht="60" customHeight="1" outlineLevel="1">
      <c r="A33" s="659">
        <v>7</v>
      </c>
      <c r="B33" s="660" t="s">
        <v>601</v>
      </c>
      <c r="C33" s="661" t="s">
        <v>598</v>
      </c>
      <c r="D33" s="85" t="s">
        <v>105</v>
      </c>
      <c r="E33" s="661">
        <v>7947139</v>
      </c>
      <c r="F33" s="661" t="s">
        <v>572</v>
      </c>
      <c r="G33" s="661" t="s">
        <v>49</v>
      </c>
      <c r="H33" s="661" t="s">
        <v>578</v>
      </c>
      <c r="I33" s="662">
        <v>2022</v>
      </c>
      <c r="J33" s="661">
        <v>2022</v>
      </c>
      <c r="K33" s="661" t="s">
        <v>575</v>
      </c>
      <c r="L33" s="661" t="s">
        <v>602</v>
      </c>
      <c r="M33" s="84">
        <v>779</v>
      </c>
      <c r="N33" s="85"/>
      <c r="O33" s="85"/>
      <c r="P33" s="84">
        <v>779</v>
      </c>
      <c r="Q33" s="85" t="s">
        <v>603</v>
      </c>
      <c r="R33" s="661" t="s">
        <v>578</v>
      </c>
      <c r="S33" s="84"/>
      <c r="T33" s="85"/>
      <c r="U33" s="85"/>
      <c r="V33" s="84"/>
      <c r="W33" s="84">
        <f t="shared" si="14"/>
        <v>779</v>
      </c>
      <c r="X33" s="85"/>
      <c r="Y33" s="85"/>
      <c r="Z33" s="85">
        <f t="shared" si="15"/>
        <v>779</v>
      </c>
      <c r="AA33" s="84">
        <v>779</v>
      </c>
      <c r="AB33" s="85"/>
      <c r="AC33" s="85"/>
      <c r="AD33" s="84">
        <v>779</v>
      </c>
      <c r="AE33" s="85"/>
      <c r="AF33" s="85"/>
      <c r="AG33" s="84">
        <f t="shared" ref="AG33:AG43" si="18">AH33+AI33+AJ33+AK33</f>
        <v>779</v>
      </c>
      <c r="AH33" s="84">
        <v>779</v>
      </c>
      <c r="AI33" s="84"/>
      <c r="AJ33" s="85"/>
      <c r="AK33" s="85"/>
      <c r="AL33" s="84">
        <v>763.90377999999998</v>
      </c>
      <c r="AM33" s="85"/>
      <c r="AN33" s="85"/>
      <c r="AO33" s="84">
        <f t="shared" ref="AO33:AO43" si="19">AP33+AQ33+AR33+AS33</f>
        <v>763.90377999999998</v>
      </c>
      <c r="AP33" s="84">
        <v>763.90377999999998</v>
      </c>
      <c r="AQ33" s="84"/>
      <c r="AR33" s="85"/>
      <c r="AS33" s="85"/>
      <c r="AT33" s="85">
        <f t="shared" si="16"/>
        <v>0</v>
      </c>
      <c r="AU33" s="85"/>
      <c r="AV33" s="85"/>
      <c r="AW33" s="85">
        <f t="shared" si="17"/>
        <v>0</v>
      </c>
      <c r="AX33" s="85">
        <v>0</v>
      </c>
      <c r="AY33" s="85"/>
      <c r="AZ33" s="85"/>
      <c r="BA33" s="85">
        <f t="shared" ref="BA33:BA43" si="20">BB33+BC33+BD33+BE33+BF33+BG33+BH33</f>
        <v>0</v>
      </c>
      <c r="BB33" s="85"/>
      <c r="BC33" s="85"/>
      <c r="BD33" s="85"/>
      <c r="BE33" s="85"/>
      <c r="BF33" s="85"/>
      <c r="BG33" s="85"/>
      <c r="BH33" s="85"/>
      <c r="BI33" s="84">
        <f t="shared" ref="BI33:BI43" si="21">BJ33+BK33+BL33</f>
        <v>0</v>
      </c>
      <c r="BJ33" s="85"/>
      <c r="BK33" s="85"/>
      <c r="BL33" s="85"/>
      <c r="BM33" s="84">
        <f t="shared" ref="BM33:BM43" si="22">BN33+BO33+BP33</f>
        <v>0</v>
      </c>
      <c r="BN33" s="85"/>
      <c r="BO33" s="85"/>
      <c r="BP33" s="85"/>
      <c r="BQ33" s="85"/>
      <c r="BR33" s="85"/>
      <c r="BS33" s="85"/>
      <c r="BT33" s="85"/>
      <c r="BU33" s="85"/>
      <c r="BV33" s="85" t="s">
        <v>868</v>
      </c>
      <c r="BW33" s="679">
        <v>779</v>
      </c>
      <c r="BX33" s="679"/>
      <c r="BY33" s="663"/>
      <c r="BZ33" s="663"/>
    </row>
    <row r="34" spans="1:78" s="26" customFormat="1" ht="46.5" customHeight="1" outlineLevel="1">
      <c r="A34" s="659">
        <v>8</v>
      </c>
      <c r="B34" s="660" t="s">
        <v>604</v>
      </c>
      <c r="C34" s="661" t="s">
        <v>572</v>
      </c>
      <c r="D34" s="85" t="s">
        <v>586</v>
      </c>
      <c r="E34" s="661">
        <v>7987878</v>
      </c>
      <c r="F34" s="661" t="s">
        <v>572</v>
      </c>
      <c r="G34" s="661" t="s">
        <v>49</v>
      </c>
      <c r="H34" s="661" t="s">
        <v>578</v>
      </c>
      <c r="I34" s="662">
        <v>2021</v>
      </c>
      <c r="J34" s="661">
        <v>2021</v>
      </c>
      <c r="K34" s="661" t="s">
        <v>575</v>
      </c>
      <c r="L34" s="661" t="s">
        <v>605</v>
      </c>
      <c r="M34" s="84">
        <v>150</v>
      </c>
      <c r="N34" s="85"/>
      <c r="O34" s="85"/>
      <c r="P34" s="84">
        <v>150</v>
      </c>
      <c r="Q34" s="85" t="s">
        <v>606</v>
      </c>
      <c r="R34" s="661" t="s">
        <v>578</v>
      </c>
      <c r="S34" s="84"/>
      <c r="T34" s="85"/>
      <c r="U34" s="85"/>
      <c r="V34" s="84"/>
      <c r="W34" s="84">
        <f t="shared" si="14"/>
        <v>150</v>
      </c>
      <c r="X34" s="85"/>
      <c r="Y34" s="85"/>
      <c r="Z34" s="85">
        <f t="shared" si="15"/>
        <v>150</v>
      </c>
      <c r="AA34" s="85">
        <v>0</v>
      </c>
      <c r="AB34" s="85"/>
      <c r="AC34" s="84">
        <v>150</v>
      </c>
      <c r="AD34" s="84">
        <v>150</v>
      </c>
      <c r="AE34" s="85"/>
      <c r="AF34" s="85"/>
      <c r="AG34" s="84">
        <f t="shared" si="18"/>
        <v>150</v>
      </c>
      <c r="AH34" s="85"/>
      <c r="AI34" s="85"/>
      <c r="AJ34" s="85"/>
      <c r="AK34" s="84">
        <v>150</v>
      </c>
      <c r="AL34" s="84">
        <v>149.99700000000001</v>
      </c>
      <c r="AM34" s="85"/>
      <c r="AN34" s="85"/>
      <c r="AO34" s="84">
        <f t="shared" si="19"/>
        <v>149.99700000000001</v>
      </c>
      <c r="AP34" s="85"/>
      <c r="AQ34" s="85"/>
      <c r="AR34" s="85"/>
      <c r="AS34" s="84">
        <v>149.99700000000001</v>
      </c>
      <c r="AT34" s="85">
        <f t="shared" si="16"/>
        <v>0</v>
      </c>
      <c r="AU34" s="85"/>
      <c r="AV34" s="85"/>
      <c r="AW34" s="85">
        <f t="shared" si="17"/>
        <v>0</v>
      </c>
      <c r="AX34" s="85">
        <v>0</v>
      </c>
      <c r="AY34" s="85"/>
      <c r="AZ34" s="85"/>
      <c r="BA34" s="85">
        <f t="shared" si="20"/>
        <v>0</v>
      </c>
      <c r="BB34" s="85"/>
      <c r="BC34" s="85"/>
      <c r="BD34" s="85"/>
      <c r="BE34" s="85"/>
      <c r="BF34" s="85"/>
      <c r="BG34" s="85"/>
      <c r="BH34" s="85"/>
      <c r="BI34" s="84">
        <f t="shared" si="21"/>
        <v>0</v>
      </c>
      <c r="BJ34" s="85"/>
      <c r="BK34" s="85"/>
      <c r="BL34" s="85"/>
      <c r="BM34" s="84">
        <f t="shared" si="22"/>
        <v>0</v>
      </c>
      <c r="BN34" s="85"/>
      <c r="BO34" s="85"/>
      <c r="BP34" s="85"/>
      <c r="BQ34" s="85"/>
      <c r="BR34" s="85"/>
      <c r="BS34" s="85"/>
      <c r="BT34" s="85"/>
      <c r="BU34" s="85"/>
      <c r="BV34" s="85" t="s">
        <v>868</v>
      </c>
      <c r="BW34" s="663"/>
      <c r="BX34" s="663"/>
      <c r="BY34" s="663"/>
      <c r="BZ34" s="663"/>
    </row>
    <row r="35" spans="1:78" s="26" customFormat="1" ht="78" customHeight="1" outlineLevel="1">
      <c r="A35" s="659">
        <v>9</v>
      </c>
      <c r="B35" s="660" t="s">
        <v>607</v>
      </c>
      <c r="C35" s="661" t="s">
        <v>608</v>
      </c>
      <c r="D35" s="85" t="s">
        <v>609</v>
      </c>
      <c r="E35" s="661">
        <v>7004636</v>
      </c>
      <c r="F35" s="661" t="s">
        <v>572</v>
      </c>
      <c r="G35" s="661" t="s">
        <v>49</v>
      </c>
      <c r="H35" s="661" t="s">
        <v>584</v>
      </c>
      <c r="I35" s="662">
        <v>2023</v>
      </c>
      <c r="J35" s="661">
        <v>2023</v>
      </c>
      <c r="K35" s="661" t="s">
        <v>575</v>
      </c>
      <c r="L35" s="661" t="s">
        <v>610</v>
      </c>
      <c r="M35" s="84">
        <v>3384.99116</v>
      </c>
      <c r="N35" s="85"/>
      <c r="O35" s="85"/>
      <c r="P35" s="84">
        <v>3384.99116</v>
      </c>
      <c r="Q35" s="85" t="s">
        <v>611</v>
      </c>
      <c r="R35" s="661" t="s">
        <v>578</v>
      </c>
      <c r="S35" s="84"/>
      <c r="T35" s="85"/>
      <c r="U35" s="85"/>
      <c r="V35" s="84"/>
      <c r="W35" s="84">
        <f t="shared" si="14"/>
        <v>3384.9911599999996</v>
      </c>
      <c r="X35" s="85"/>
      <c r="Y35" s="85"/>
      <c r="Z35" s="85">
        <f t="shared" si="15"/>
        <v>3384.9911599999996</v>
      </c>
      <c r="AA35" s="84">
        <v>1518.3636019999999</v>
      </c>
      <c r="AB35" s="84">
        <v>441</v>
      </c>
      <c r="AC35" s="84">
        <f>1625.627558-200</f>
        <v>1425.6275579999999</v>
      </c>
      <c r="AD35" s="84">
        <v>3384.99116</v>
      </c>
      <c r="AE35" s="85"/>
      <c r="AF35" s="85"/>
      <c r="AG35" s="84">
        <f t="shared" si="18"/>
        <v>3384.9911599999996</v>
      </c>
      <c r="AH35" s="84">
        <f>1318.363602+200</f>
        <v>1518.3636019999999</v>
      </c>
      <c r="AI35" s="85"/>
      <c r="AJ35" s="84">
        <v>441</v>
      </c>
      <c r="AK35" s="84">
        <f>1625.627558-200</f>
        <v>1425.6275579999999</v>
      </c>
      <c r="AL35" s="84">
        <v>3335.77016</v>
      </c>
      <c r="AM35" s="85"/>
      <c r="AN35" s="85"/>
      <c r="AO35" s="84">
        <f t="shared" si="19"/>
        <v>3384.9911599999996</v>
      </c>
      <c r="AP35" s="84">
        <f>1318.363602+150.779</f>
        <v>1469.1426019999999</v>
      </c>
      <c r="AQ35" s="85"/>
      <c r="AR35" s="84">
        <v>441</v>
      </c>
      <c r="AS35" s="84">
        <f>1625.627558-150.779</f>
        <v>1474.8485579999999</v>
      </c>
      <c r="AT35" s="85">
        <f t="shared" si="16"/>
        <v>0</v>
      </c>
      <c r="AU35" s="85"/>
      <c r="AV35" s="85"/>
      <c r="AW35" s="85">
        <f t="shared" si="17"/>
        <v>0</v>
      </c>
      <c r="AX35" s="85">
        <v>0</v>
      </c>
      <c r="AY35" s="85"/>
      <c r="AZ35" s="85"/>
      <c r="BA35" s="85">
        <f t="shared" si="20"/>
        <v>0</v>
      </c>
      <c r="BB35" s="85"/>
      <c r="BC35" s="85"/>
      <c r="BD35" s="85"/>
      <c r="BE35" s="85"/>
      <c r="BF35" s="85"/>
      <c r="BG35" s="85"/>
      <c r="BH35" s="85"/>
      <c r="BI35" s="84">
        <f t="shared" si="21"/>
        <v>0</v>
      </c>
      <c r="BJ35" s="85"/>
      <c r="BK35" s="85"/>
      <c r="BL35" s="85"/>
      <c r="BM35" s="84">
        <f t="shared" si="22"/>
        <v>0</v>
      </c>
      <c r="BN35" s="85"/>
      <c r="BO35" s="85"/>
      <c r="BP35" s="85"/>
      <c r="BQ35" s="85"/>
      <c r="BR35" s="85"/>
      <c r="BS35" s="85"/>
      <c r="BT35" s="85"/>
      <c r="BU35" s="85"/>
      <c r="BV35" s="85" t="s">
        <v>868</v>
      </c>
      <c r="BW35" s="679">
        <f>1318.363602+200</f>
        <v>1518.3636019999999</v>
      </c>
      <c r="BX35" s="663"/>
      <c r="BY35" s="663"/>
      <c r="BZ35" s="663"/>
    </row>
    <row r="36" spans="1:78" s="26" customFormat="1" ht="56.25" customHeight="1" outlineLevel="1">
      <c r="A36" s="659">
        <v>10</v>
      </c>
      <c r="B36" s="660" t="s">
        <v>612</v>
      </c>
      <c r="C36" s="661" t="s">
        <v>613</v>
      </c>
      <c r="D36" s="85" t="s">
        <v>105</v>
      </c>
      <c r="E36" s="661">
        <v>8022300</v>
      </c>
      <c r="F36" s="661" t="s">
        <v>572</v>
      </c>
      <c r="G36" s="661" t="s">
        <v>49</v>
      </c>
      <c r="H36" s="661" t="s">
        <v>584</v>
      </c>
      <c r="I36" s="662">
        <v>2023</v>
      </c>
      <c r="J36" s="661">
        <v>2023</v>
      </c>
      <c r="K36" s="661" t="s">
        <v>575</v>
      </c>
      <c r="L36" s="661" t="s">
        <v>614</v>
      </c>
      <c r="M36" s="84">
        <v>600</v>
      </c>
      <c r="N36" s="85"/>
      <c r="O36" s="85"/>
      <c r="P36" s="84">
        <v>600</v>
      </c>
      <c r="Q36" s="85" t="s">
        <v>615</v>
      </c>
      <c r="R36" s="661" t="s">
        <v>578</v>
      </c>
      <c r="S36" s="84"/>
      <c r="T36" s="85"/>
      <c r="U36" s="85"/>
      <c r="V36" s="84"/>
      <c r="W36" s="84">
        <f t="shared" si="14"/>
        <v>600</v>
      </c>
      <c r="X36" s="85"/>
      <c r="Y36" s="85"/>
      <c r="Z36" s="85">
        <f t="shared" si="15"/>
        <v>600</v>
      </c>
      <c r="AA36" s="84">
        <v>600</v>
      </c>
      <c r="AB36" s="85"/>
      <c r="AC36" s="85"/>
      <c r="AD36" s="84">
        <v>600</v>
      </c>
      <c r="AE36" s="85"/>
      <c r="AF36" s="85"/>
      <c r="AG36" s="84">
        <f t="shared" si="18"/>
        <v>600</v>
      </c>
      <c r="AH36" s="84">
        <v>600</v>
      </c>
      <c r="AI36" s="85"/>
      <c r="AJ36" s="85"/>
      <c r="AK36" s="85"/>
      <c r="AL36" s="84">
        <v>589.154</v>
      </c>
      <c r="AM36" s="85"/>
      <c r="AN36" s="85"/>
      <c r="AO36" s="84">
        <f t="shared" si="19"/>
        <v>589.154</v>
      </c>
      <c r="AP36" s="84">
        <v>589.154</v>
      </c>
      <c r="AQ36" s="85"/>
      <c r="AR36" s="85"/>
      <c r="AS36" s="85"/>
      <c r="AT36" s="85">
        <f t="shared" si="16"/>
        <v>0</v>
      </c>
      <c r="AU36" s="85"/>
      <c r="AV36" s="85"/>
      <c r="AW36" s="85">
        <f t="shared" si="17"/>
        <v>0</v>
      </c>
      <c r="AX36" s="85">
        <v>0</v>
      </c>
      <c r="AY36" s="85"/>
      <c r="AZ36" s="85"/>
      <c r="BA36" s="85">
        <f t="shared" si="20"/>
        <v>0</v>
      </c>
      <c r="BB36" s="85"/>
      <c r="BC36" s="85"/>
      <c r="BD36" s="85"/>
      <c r="BE36" s="85"/>
      <c r="BF36" s="85"/>
      <c r="BG36" s="85"/>
      <c r="BH36" s="85"/>
      <c r="BI36" s="84">
        <f t="shared" si="21"/>
        <v>0</v>
      </c>
      <c r="BJ36" s="85"/>
      <c r="BK36" s="85"/>
      <c r="BL36" s="85"/>
      <c r="BM36" s="84">
        <f t="shared" si="22"/>
        <v>0</v>
      </c>
      <c r="BN36" s="85"/>
      <c r="BO36" s="85"/>
      <c r="BP36" s="85"/>
      <c r="BQ36" s="85"/>
      <c r="BR36" s="85"/>
      <c r="BS36" s="85"/>
      <c r="BT36" s="85"/>
      <c r="BU36" s="85"/>
      <c r="BV36" s="85" t="s">
        <v>868</v>
      </c>
      <c r="BW36" s="679">
        <v>600</v>
      </c>
      <c r="BX36" s="663"/>
      <c r="BY36" s="663"/>
      <c r="BZ36" s="663"/>
    </row>
    <row r="37" spans="1:78" s="26" customFormat="1" ht="54" customHeight="1" outlineLevel="1">
      <c r="A37" s="659">
        <v>11</v>
      </c>
      <c r="B37" s="660" t="s">
        <v>616</v>
      </c>
      <c r="C37" s="661" t="s">
        <v>613</v>
      </c>
      <c r="D37" s="85" t="s">
        <v>105</v>
      </c>
      <c r="E37" s="661">
        <v>8022299</v>
      </c>
      <c r="F37" s="661" t="s">
        <v>572</v>
      </c>
      <c r="G37" s="661" t="s">
        <v>49</v>
      </c>
      <c r="H37" s="661" t="s">
        <v>578</v>
      </c>
      <c r="I37" s="662">
        <v>2023</v>
      </c>
      <c r="J37" s="661">
        <v>2023</v>
      </c>
      <c r="K37" s="661" t="s">
        <v>575</v>
      </c>
      <c r="L37" s="661" t="s">
        <v>617</v>
      </c>
      <c r="M37" s="84">
        <v>600</v>
      </c>
      <c r="N37" s="85"/>
      <c r="O37" s="85"/>
      <c r="P37" s="84">
        <v>600</v>
      </c>
      <c r="Q37" s="85" t="s">
        <v>618</v>
      </c>
      <c r="R37" s="661" t="s">
        <v>578</v>
      </c>
      <c r="S37" s="84"/>
      <c r="T37" s="85"/>
      <c r="U37" s="85"/>
      <c r="V37" s="84"/>
      <c r="W37" s="84">
        <f t="shared" si="14"/>
        <v>600</v>
      </c>
      <c r="X37" s="85"/>
      <c r="Y37" s="85"/>
      <c r="Z37" s="85">
        <f t="shared" si="15"/>
        <v>600</v>
      </c>
      <c r="AA37" s="84">
        <v>600</v>
      </c>
      <c r="AB37" s="85"/>
      <c r="AC37" s="85"/>
      <c r="AD37" s="84">
        <v>600</v>
      </c>
      <c r="AE37" s="85"/>
      <c r="AF37" s="85"/>
      <c r="AG37" s="84">
        <f t="shared" si="18"/>
        <v>600</v>
      </c>
      <c r="AH37" s="84">
        <v>600</v>
      </c>
      <c r="AI37" s="85"/>
      <c r="AJ37" s="85"/>
      <c r="AK37" s="85"/>
      <c r="AL37" s="84">
        <v>582.17899999999997</v>
      </c>
      <c r="AM37" s="85"/>
      <c r="AN37" s="85"/>
      <c r="AO37" s="84">
        <f t="shared" si="19"/>
        <v>582.17899999999997</v>
      </c>
      <c r="AP37" s="84">
        <v>582.17899999999997</v>
      </c>
      <c r="AQ37" s="85"/>
      <c r="AR37" s="85"/>
      <c r="AS37" s="85"/>
      <c r="AT37" s="85">
        <f t="shared" si="16"/>
        <v>0</v>
      </c>
      <c r="AU37" s="85"/>
      <c r="AV37" s="85"/>
      <c r="AW37" s="85">
        <f t="shared" si="17"/>
        <v>0</v>
      </c>
      <c r="AX37" s="85">
        <v>0</v>
      </c>
      <c r="AY37" s="85"/>
      <c r="AZ37" s="85"/>
      <c r="BA37" s="85">
        <f t="shared" si="20"/>
        <v>0</v>
      </c>
      <c r="BB37" s="85"/>
      <c r="BC37" s="85"/>
      <c r="BD37" s="85"/>
      <c r="BE37" s="85"/>
      <c r="BF37" s="85"/>
      <c r="BG37" s="85"/>
      <c r="BH37" s="85"/>
      <c r="BI37" s="84">
        <f t="shared" si="21"/>
        <v>0</v>
      </c>
      <c r="BJ37" s="85"/>
      <c r="BK37" s="85"/>
      <c r="BL37" s="85"/>
      <c r="BM37" s="84">
        <f t="shared" si="22"/>
        <v>0</v>
      </c>
      <c r="BN37" s="85"/>
      <c r="BO37" s="85"/>
      <c r="BP37" s="85"/>
      <c r="BQ37" s="85"/>
      <c r="BR37" s="85"/>
      <c r="BS37" s="85"/>
      <c r="BT37" s="85"/>
      <c r="BU37" s="85"/>
      <c r="BV37" s="85" t="s">
        <v>868</v>
      </c>
      <c r="BW37" s="679">
        <v>600</v>
      </c>
      <c r="BX37" s="663"/>
      <c r="BY37" s="663"/>
      <c r="BZ37" s="663"/>
    </row>
    <row r="38" spans="1:78" s="26" customFormat="1" ht="51.75" customHeight="1" outlineLevel="1">
      <c r="A38" s="659">
        <v>12</v>
      </c>
      <c r="B38" s="660" t="s">
        <v>619</v>
      </c>
      <c r="C38" s="661" t="s">
        <v>613</v>
      </c>
      <c r="D38" s="85" t="s">
        <v>78</v>
      </c>
      <c r="E38" s="661">
        <v>8024393</v>
      </c>
      <c r="F38" s="661" t="s">
        <v>572</v>
      </c>
      <c r="G38" s="661" t="s">
        <v>49</v>
      </c>
      <c r="H38" s="661" t="s">
        <v>578</v>
      </c>
      <c r="I38" s="662">
        <v>2023</v>
      </c>
      <c r="J38" s="661">
        <v>2023</v>
      </c>
      <c r="K38" s="661" t="s">
        <v>575</v>
      </c>
      <c r="L38" s="661" t="s">
        <v>620</v>
      </c>
      <c r="M38" s="84">
        <v>2000</v>
      </c>
      <c r="N38" s="85"/>
      <c r="O38" s="85"/>
      <c r="P38" s="84">
        <v>2000</v>
      </c>
      <c r="Q38" s="85" t="s">
        <v>621</v>
      </c>
      <c r="R38" s="661" t="s">
        <v>578</v>
      </c>
      <c r="S38" s="84"/>
      <c r="T38" s="85"/>
      <c r="U38" s="85"/>
      <c r="V38" s="84"/>
      <c r="W38" s="84">
        <f t="shared" si="14"/>
        <v>2000</v>
      </c>
      <c r="X38" s="85"/>
      <c r="Y38" s="85"/>
      <c r="Z38" s="85">
        <f t="shared" si="15"/>
        <v>2000</v>
      </c>
      <c r="AA38" s="85">
        <v>2000</v>
      </c>
      <c r="AB38" s="85"/>
      <c r="AC38" s="85"/>
      <c r="AD38" s="84">
        <v>2000</v>
      </c>
      <c r="AE38" s="85"/>
      <c r="AF38" s="85"/>
      <c r="AG38" s="84">
        <f t="shared" si="18"/>
        <v>2000</v>
      </c>
      <c r="AH38" s="85"/>
      <c r="AI38" s="84">
        <v>2000</v>
      </c>
      <c r="AJ38" s="85"/>
      <c r="AK38" s="85"/>
      <c r="AL38" s="84">
        <v>1911.5340000000001</v>
      </c>
      <c r="AM38" s="85"/>
      <c r="AN38" s="85"/>
      <c r="AO38" s="84">
        <f t="shared" si="19"/>
        <v>1911.5340000000001</v>
      </c>
      <c r="AP38" s="85"/>
      <c r="AQ38" s="84">
        <v>1911.5340000000001</v>
      </c>
      <c r="AR38" s="85"/>
      <c r="AS38" s="85"/>
      <c r="AT38" s="85">
        <f t="shared" si="16"/>
        <v>0</v>
      </c>
      <c r="AU38" s="85"/>
      <c r="AV38" s="85"/>
      <c r="AW38" s="85">
        <f t="shared" si="17"/>
        <v>0</v>
      </c>
      <c r="AX38" s="85">
        <v>0</v>
      </c>
      <c r="AY38" s="85"/>
      <c r="AZ38" s="85"/>
      <c r="BA38" s="85">
        <f t="shared" si="20"/>
        <v>0</v>
      </c>
      <c r="BB38" s="85"/>
      <c r="BC38" s="85"/>
      <c r="BD38" s="85"/>
      <c r="BE38" s="85"/>
      <c r="BF38" s="85"/>
      <c r="BG38" s="85"/>
      <c r="BH38" s="85"/>
      <c r="BI38" s="84">
        <f t="shared" si="21"/>
        <v>0</v>
      </c>
      <c r="BJ38" s="85"/>
      <c r="BK38" s="85"/>
      <c r="BL38" s="85"/>
      <c r="BM38" s="84">
        <f t="shared" si="22"/>
        <v>0</v>
      </c>
      <c r="BN38" s="85"/>
      <c r="BO38" s="85"/>
      <c r="BP38" s="85"/>
      <c r="BQ38" s="85"/>
      <c r="BR38" s="85"/>
      <c r="BS38" s="85"/>
      <c r="BT38" s="85"/>
      <c r="BU38" s="85"/>
      <c r="BV38" s="85" t="s">
        <v>868</v>
      </c>
      <c r="BW38" s="663"/>
      <c r="BX38" s="679">
        <v>2000</v>
      </c>
      <c r="BY38" s="663"/>
      <c r="BZ38" s="663"/>
    </row>
    <row r="39" spans="1:78" s="26" customFormat="1" ht="60.75" customHeight="1" outlineLevel="1">
      <c r="A39" s="659">
        <v>13</v>
      </c>
      <c r="B39" s="660" t="s">
        <v>622</v>
      </c>
      <c r="C39" s="661" t="s">
        <v>613</v>
      </c>
      <c r="D39" s="85" t="s">
        <v>82</v>
      </c>
      <c r="E39" s="661">
        <v>8091062</v>
      </c>
      <c r="F39" s="661" t="s">
        <v>572</v>
      </c>
      <c r="G39" s="661" t="s">
        <v>49</v>
      </c>
      <c r="H39" s="661" t="s">
        <v>625</v>
      </c>
      <c r="I39" s="662">
        <v>2024</v>
      </c>
      <c r="J39" s="661">
        <v>2024</v>
      </c>
      <c r="K39" s="661" t="s">
        <v>575</v>
      </c>
      <c r="L39" s="661" t="s">
        <v>623</v>
      </c>
      <c r="M39" s="84">
        <v>200</v>
      </c>
      <c r="N39" s="85"/>
      <c r="O39" s="85"/>
      <c r="P39" s="84">
        <v>200</v>
      </c>
      <c r="Q39" s="85" t="s">
        <v>624</v>
      </c>
      <c r="R39" s="661" t="s">
        <v>578</v>
      </c>
      <c r="S39" s="84"/>
      <c r="T39" s="85"/>
      <c r="U39" s="85"/>
      <c r="V39" s="84"/>
      <c r="W39" s="84">
        <f t="shared" si="14"/>
        <v>200</v>
      </c>
      <c r="X39" s="85"/>
      <c r="Y39" s="85"/>
      <c r="Z39" s="85">
        <f t="shared" si="15"/>
        <v>200</v>
      </c>
      <c r="AA39" s="84">
        <v>200</v>
      </c>
      <c r="AB39" s="85"/>
      <c r="AC39" s="85"/>
      <c r="AD39" s="84">
        <v>200</v>
      </c>
      <c r="AE39" s="85"/>
      <c r="AF39" s="85"/>
      <c r="AG39" s="84">
        <f t="shared" si="18"/>
        <v>200</v>
      </c>
      <c r="AH39" s="84">
        <v>200</v>
      </c>
      <c r="AI39" s="84"/>
      <c r="AJ39" s="85"/>
      <c r="AK39" s="85"/>
      <c r="AL39" s="84">
        <v>199.619</v>
      </c>
      <c r="AM39" s="85"/>
      <c r="AN39" s="85"/>
      <c r="AO39" s="84">
        <f t="shared" si="19"/>
        <v>199.619</v>
      </c>
      <c r="AP39" s="84">
        <v>199.619</v>
      </c>
      <c r="AQ39" s="84"/>
      <c r="AR39" s="85"/>
      <c r="AS39" s="85"/>
      <c r="AT39" s="85">
        <f t="shared" si="16"/>
        <v>0</v>
      </c>
      <c r="AU39" s="85"/>
      <c r="AV39" s="85"/>
      <c r="AW39" s="85">
        <f t="shared" si="17"/>
        <v>0</v>
      </c>
      <c r="AX39" s="85">
        <v>0</v>
      </c>
      <c r="AY39" s="85"/>
      <c r="AZ39" s="85"/>
      <c r="BA39" s="85">
        <f t="shared" si="20"/>
        <v>0</v>
      </c>
      <c r="BB39" s="85"/>
      <c r="BC39" s="85"/>
      <c r="BD39" s="85"/>
      <c r="BE39" s="85"/>
      <c r="BF39" s="85"/>
      <c r="BG39" s="85"/>
      <c r="BH39" s="85"/>
      <c r="BI39" s="84">
        <f t="shared" si="21"/>
        <v>0</v>
      </c>
      <c r="BJ39" s="85"/>
      <c r="BK39" s="85"/>
      <c r="BL39" s="85"/>
      <c r="BM39" s="84">
        <f t="shared" si="22"/>
        <v>0</v>
      </c>
      <c r="BN39" s="85"/>
      <c r="BO39" s="85"/>
      <c r="BP39" s="85"/>
      <c r="BQ39" s="85"/>
      <c r="BR39" s="85"/>
      <c r="BS39" s="85"/>
      <c r="BT39" s="85"/>
      <c r="BU39" s="85"/>
      <c r="BV39" s="85" t="s">
        <v>868</v>
      </c>
      <c r="BW39" s="679">
        <v>200</v>
      </c>
      <c r="BX39" s="679"/>
      <c r="BY39" s="663"/>
      <c r="BZ39" s="663"/>
    </row>
    <row r="40" spans="1:78" s="26" customFormat="1" ht="46.15" outlineLevel="1">
      <c r="A40" s="659">
        <v>14</v>
      </c>
      <c r="B40" s="660" t="s">
        <v>626</v>
      </c>
      <c r="C40" s="661" t="s">
        <v>572</v>
      </c>
      <c r="D40" s="85" t="s">
        <v>627</v>
      </c>
      <c r="E40" s="661">
        <v>8127352</v>
      </c>
      <c r="F40" s="661" t="s">
        <v>572</v>
      </c>
      <c r="G40" s="661" t="s">
        <v>49</v>
      </c>
      <c r="H40" s="661" t="s">
        <v>578</v>
      </c>
      <c r="I40" s="662">
        <v>2024</v>
      </c>
      <c r="J40" s="661">
        <v>2024</v>
      </c>
      <c r="K40" s="661" t="s">
        <v>575</v>
      </c>
      <c r="L40" s="661" t="s">
        <v>628</v>
      </c>
      <c r="M40" s="84">
        <v>250</v>
      </c>
      <c r="N40" s="674"/>
      <c r="O40" s="674"/>
      <c r="P40" s="84">
        <v>250</v>
      </c>
      <c r="Q40" s="85" t="s">
        <v>629</v>
      </c>
      <c r="R40" s="661" t="s">
        <v>578</v>
      </c>
      <c r="S40" s="84"/>
      <c r="T40" s="85"/>
      <c r="U40" s="85"/>
      <c r="V40" s="84"/>
      <c r="W40" s="84">
        <f t="shared" ref="W40:W43" si="23">AA40+AB40+AC40</f>
        <v>250</v>
      </c>
      <c r="X40" s="85"/>
      <c r="Y40" s="85"/>
      <c r="Z40" s="85">
        <f t="shared" si="15"/>
        <v>250</v>
      </c>
      <c r="AA40" s="664">
        <v>250</v>
      </c>
      <c r="AB40" s="84"/>
      <c r="AC40" s="84"/>
      <c r="AD40" s="84">
        <v>250</v>
      </c>
      <c r="AE40" s="85"/>
      <c r="AF40" s="85"/>
      <c r="AG40" s="84">
        <f t="shared" si="18"/>
        <v>500</v>
      </c>
      <c r="AH40" s="664">
        <v>250</v>
      </c>
      <c r="AI40" s="85"/>
      <c r="AJ40" s="84"/>
      <c r="AK40" s="84">
        <v>250</v>
      </c>
      <c r="AL40" s="84">
        <v>231</v>
      </c>
      <c r="AM40" s="85"/>
      <c r="AN40" s="85"/>
      <c r="AO40" s="84">
        <f t="shared" si="19"/>
        <v>250</v>
      </c>
      <c r="AP40" s="85"/>
      <c r="AQ40" s="85"/>
      <c r="AR40" s="84"/>
      <c r="AS40" s="84">
        <v>250</v>
      </c>
      <c r="AT40" s="85">
        <f t="shared" si="16"/>
        <v>0</v>
      </c>
      <c r="AU40" s="85"/>
      <c r="AV40" s="85"/>
      <c r="AW40" s="85">
        <f t="shared" si="17"/>
        <v>0</v>
      </c>
      <c r="AX40" s="85">
        <v>0</v>
      </c>
      <c r="AY40" s="85"/>
      <c r="AZ40" s="85"/>
      <c r="BA40" s="85">
        <f t="shared" si="20"/>
        <v>0</v>
      </c>
      <c r="BB40" s="85"/>
      <c r="BC40" s="85"/>
      <c r="BD40" s="85"/>
      <c r="BE40" s="85"/>
      <c r="BF40" s="85"/>
      <c r="BG40" s="85"/>
      <c r="BH40" s="85"/>
      <c r="BI40" s="84">
        <f t="shared" si="21"/>
        <v>19</v>
      </c>
      <c r="BJ40" s="85"/>
      <c r="BK40" s="85"/>
      <c r="BL40" s="661">
        <v>19</v>
      </c>
      <c r="BM40" s="84">
        <f t="shared" si="22"/>
        <v>17.989000000000001</v>
      </c>
      <c r="BN40" s="85"/>
      <c r="BO40" s="85"/>
      <c r="BP40" s="661">
        <v>17.989000000000001</v>
      </c>
      <c r="BQ40" s="661"/>
      <c r="BR40" s="661"/>
      <c r="BS40" s="661"/>
      <c r="BT40" s="661"/>
      <c r="BU40" s="661"/>
      <c r="BV40" s="85" t="s">
        <v>868</v>
      </c>
      <c r="BW40" s="680">
        <v>250</v>
      </c>
      <c r="BX40" s="663"/>
      <c r="BY40" s="663"/>
      <c r="BZ40" s="663"/>
    </row>
    <row r="41" spans="1:78" s="26" customFormat="1" ht="46.15" outlineLevel="1">
      <c r="A41" s="659">
        <v>15</v>
      </c>
      <c r="B41" s="660" t="s">
        <v>630</v>
      </c>
      <c r="C41" s="661" t="s">
        <v>590</v>
      </c>
      <c r="D41" s="85" t="s">
        <v>627</v>
      </c>
      <c r="E41" s="661">
        <v>8100268</v>
      </c>
      <c r="F41" s="661" t="s">
        <v>572</v>
      </c>
      <c r="G41" s="661" t="s">
        <v>49</v>
      </c>
      <c r="H41" s="661" t="s">
        <v>584</v>
      </c>
      <c r="I41" s="662">
        <v>2024</v>
      </c>
      <c r="J41" s="661">
        <v>2024</v>
      </c>
      <c r="K41" s="661" t="s">
        <v>575</v>
      </c>
      <c r="L41" s="661" t="s">
        <v>631</v>
      </c>
      <c r="M41" s="84">
        <v>220</v>
      </c>
      <c r="N41" s="674"/>
      <c r="O41" s="674"/>
      <c r="P41" s="84">
        <v>220</v>
      </c>
      <c r="Q41" s="85" t="s">
        <v>632</v>
      </c>
      <c r="R41" s="661" t="s">
        <v>578</v>
      </c>
      <c r="S41" s="84"/>
      <c r="T41" s="85"/>
      <c r="U41" s="85"/>
      <c r="V41" s="84"/>
      <c r="W41" s="84">
        <f t="shared" si="23"/>
        <v>220</v>
      </c>
      <c r="X41" s="85"/>
      <c r="Y41" s="85"/>
      <c r="Z41" s="85">
        <f t="shared" si="15"/>
        <v>220</v>
      </c>
      <c r="AA41" s="664">
        <v>220</v>
      </c>
      <c r="AB41" s="84"/>
      <c r="AC41" s="84"/>
      <c r="AD41" s="84">
        <v>220</v>
      </c>
      <c r="AE41" s="85"/>
      <c r="AF41" s="85"/>
      <c r="AG41" s="84">
        <f t="shared" si="18"/>
        <v>440</v>
      </c>
      <c r="AH41" s="664">
        <v>220</v>
      </c>
      <c r="AI41" s="85"/>
      <c r="AJ41" s="84"/>
      <c r="AK41" s="84">
        <v>220</v>
      </c>
      <c r="AL41" s="84">
        <v>213.2</v>
      </c>
      <c r="AM41" s="85"/>
      <c r="AN41" s="85"/>
      <c r="AO41" s="84">
        <f t="shared" si="19"/>
        <v>220</v>
      </c>
      <c r="AP41" s="85"/>
      <c r="AQ41" s="85"/>
      <c r="AR41" s="84"/>
      <c r="AS41" s="84">
        <v>220</v>
      </c>
      <c r="AT41" s="85">
        <f t="shared" si="16"/>
        <v>0</v>
      </c>
      <c r="AU41" s="85"/>
      <c r="AV41" s="85"/>
      <c r="AW41" s="85">
        <f t="shared" si="17"/>
        <v>0</v>
      </c>
      <c r="AX41" s="85">
        <v>0</v>
      </c>
      <c r="AY41" s="85"/>
      <c r="AZ41" s="85"/>
      <c r="BA41" s="85">
        <f t="shared" si="20"/>
        <v>0</v>
      </c>
      <c r="BB41" s="85"/>
      <c r="BC41" s="85"/>
      <c r="BD41" s="85"/>
      <c r="BE41" s="85"/>
      <c r="BF41" s="85"/>
      <c r="BG41" s="85"/>
      <c r="BH41" s="85"/>
      <c r="BI41" s="84">
        <f t="shared" si="21"/>
        <v>6.8000000000000114</v>
      </c>
      <c r="BJ41" s="85"/>
      <c r="BK41" s="85"/>
      <c r="BL41" s="661">
        <v>6.8000000000000114</v>
      </c>
      <c r="BM41" s="84">
        <f t="shared" si="22"/>
        <v>0.85</v>
      </c>
      <c r="BN41" s="85"/>
      <c r="BO41" s="85"/>
      <c r="BP41" s="661">
        <v>0.85</v>
      </c>
      <c r="BQ41" s="661"/>
      <c r="BR41" s="661"/>
      <c r="BS41" s="661"/>
      <c r="BT41" s="661"/>
      <c r="BU41" s="661"/>
      <c r="BV41" s="85" t="s">
        <v>868</v>
      </c>
      <c r="BW41" s="680">
        <v>220</v>
      </c>
      <c r="BX41" s="663"/>
      <c r="BY41" s="663"/>
      <c r="BZ41" s="663"/>
    </row>
    <row r="42" spans="1:78" s="27" customFormat="1" ht="69" customHeight="1" outlineLevel="1">
      <c r="A42" s="659">
        <v>16</v>
      </c>
      <c r="B42" s="666" t="s">
        <v>633</v>
      </c>
      <c r="C42" s="661" t="s">
        <v>572</v>
      </c>
      <c r="D42" s="85" t="s">
        <v>105</v>
      </c>
      <c r="E42" s="661">
        <v>8134666</v>
      </c>
      <c r="F42" s="661" t="s">
        <v>572</v>
      </c>
      <c r="G42" s="661" t="s">
        <v>49</v>
      </c>
      <c r="H42" s="661" t="s">
        <v>578</v>
      </c>
      <c r="I42" s="662">
        <v>2025</v>
      </c>
      <c r="J42" s="661">
        <v>2025</v>
      </c>
      <c r="K42" s="661" t="s">
        <v>575</v>
      </c>
      <c r="L42" s="85" t="s">
        <v>634</v>
      </c>
      <c r="M42" s="84">
        <v>389</v>
      </c>
      <c r="N42" s="674"/>
      <c r="O42" s="674"/>
      <c r="P42" s="84">
        <v>389</v>
      </c>
      <c r="Q42" s="85" t="s">
        <v>635</v>
      </c>
      <c r="R42" s="661" t="s">
        <v>578</v>
      </c>
      <c r="S42" s="84"/>
      <c r="T42" s="85"/>
      <c r="U42" s="85"/>
      <c r="V42" s="84"/>
      <c r="W42" s="84">
        <f t="shared" si="23"/>
        <v>389</v>
      </c>
      <c r="X42" s="85"/>
      <c r="Y42" s="85"/>
      <c r="Z42" s="85">
        <f t="shared" si="15"/>
        <v>389</v>
      </c>
      <c r="AA42" s="664">
        <v>389</v>
      </c>
      <c r="AB42" s="85"/>
      <c r="AC42" s="85"/>
      <c r="AD42" s="84"/>
      <c r="AE42" s="85"/>
      <c r="AF42" s="85"/>
      <c r="AG42" s="84"/>
      <c r="AH42" s="664"/>
      <c r="AI42" s="84"/>
      <c r="AJ42" s="85"/>
      <c r="AK42" s="85"/>
      <c r="AL42" s="84"/>
      <c r="AM42" s="85"/>
      <c r="AN42" s="85"/>
      <c r="AO42" s="84">
        <f t="shared" si="19"/>
        <v>0</v>
      </c>
      <c r="AP42" s="85"/>
      <c r="AQ42" s="84"/>
      <c r="AR42" s="85"/>
      <c r="AS42" s="85"/>
      <c r="AT42" s="85">
        <f t="shared" si="16"/>
        <v>389</v>
      </c>
      <c r="AU42" s="85"/>
      <c r="AV42" s="85"/>
      <c r="AW42" s="85">
        <f t="shared" si="17"/>
        <v>389</v>
      </c>
      <c r="AX42" s="85">
        <v>389</v>
      </c>
      <c r="AY42" s="85"/>
      <c r="AZ42" s="85"/>
      <c r="BA42" s="84">
        <f>BB42+BC42+BD42+BE42+BF42+BG42+BH42</f>
        <v>388.16773499999999</v>
      </c>
      <c r="BB42" s="85"/>
      <c r="BC42" s="85"/>
      <c r="BD42" s="85"/>
      <c r="BE42" s="85">
        <v>388.16773499999999</v>
      </c>
      <c r="BF42" s="84"/>
      <c r="BG42" s="85"/>
      <c r="BH42" s="85"/>
      <c r="BI42" s="84">
        <f t="shared" si="21"/>
        <v>0</v>
      </c>
      <c r="BJ42" s="85"/>
      <c r="BK42" s="85"/>
      <c r="BL42" s="85"/>
      <c r="BM42" s="84">
        <f t="shared" si="22"/>
        <v>0</v>
      </c>
      <c r="BN42" s="85"/>
      <c r="BO42" s="85"/>
      <c r="BP42" s="85"/>
      <c r="BQ42" s="85"/>
      <c r="BR42" s="85"/>
      <c r="BS42" s="85"/>
      <c r="BT42" s="85"/>
      <c r="BU42" s="85"/>
      <c r="BV42" s="85" t="s">
        <v>868</v>
      </c>
      <c r="BW42" s="680">
        <v>389</v>
      </c>
      <c r="BX42" s="679"/>
      <c r="BY42" s="663">
        <v>389</v>
      </c>
      <c r="BZ42" s="663"/>
    </row>
    <row r="43" spans="1:78" s="26" customFormat="1" ht="45" customHeight="1" outlineLevel="1">
      <c r="A43" s="659">
        <v>17</v>
      </c>
      <c r="B43" s="666" t="s">
        <v>636</v>
      </c>
      <c r="C43" s="661" t="s">
        <v>572</v>
      </c>
      <c r="D43" s="85" t="s">
        <v>78</v>
      </c>
      <c r="E43" s="674"/>
      <c r="F43" s="661" t="s">
        <v>572</v>
      </c>
      <c r="G43" s="661" t="s">
        <v>49</v>
      </c>
      <c r="H43" s="661" t="s">
        <v>578</v>
      </c>
      <c r="I43" s="662">
        <v>2025</v>
      </c>
      <c r="J43" s="661">
        <v>2025</v>
      </c>
      <c r="K43" s="661" t="s">
        <v>575</v>
      </c>
      <c r="L43" s="85" t="s">
        <v>637</v>
      </c>
      <c r="M43" s="84">
        <v>1760.258836</v>
      </c>
      <c r="N43" s="674"/>
      <c r="O43" s="674"/>
      <c r="P43" s="84">
        <v>1760.258836</v>
      </c>
      <c r="Q43" s="85"/>
      <c r="R43" s="661" t="s">
        <v>578</v>
      </c>
      <c r="S43" s="84"/>
      <c r="T43" s="85"/>
      <c r="U43" s="85"/>
      <c r="V43" s="84"/>
      <c r="W43" s="84">
        <f t="shared" si="23"/>
        <v>1760.258836</v>
      </c>
      <c r="X43" s="85"/>
      <c r="Y43" s="85"/>
      <c r="Z43" s="85">
        <f t="shared" si="15"/>
        <v>1760.258836</v>
      </c>
      <c r="AA43" s="85">
        <v>0</v>
      </c>
      <c r="AB43" s="85">
        <v>233.3</v>
      </c>
      <c r="AC43" s="84">
        <v>1526.958836</v>
      </c>
      <c r="AD43" s="84"/>
      <c r="AE43" s="85"/>
      <c r="AF43" s="85"/>
      <c r="AG43" s="84">
        <f t="shared" si="18"/>
        <v>0</v>
      </c>
      <c r="AH43" s="85"/>
      <c r="AI43" s="85"/>
      <c r="AJ43" s="85"/>
      <c r="AK43" s="84"/>
      <c r="AL43" s="84">
        <f>AR43+AS43</f>
        <v>0</v>
      </c>
      <c r="AM43" s="85"/>
      <c r="AN43" s="85"/>
      <c r="AO43" s="84">
        <f t="shared" si="19"/>
        <v>0</v>
      </c>
      <c r="AP43" s="85"/>
      <c r="AQ43" s="85"/>
      <c r="AR43" s="85"/>
      <c r="AS43" s="84"/>
      <c r="AT43" s="85">
        <f t="shared" si="16"/>
        <v>1760.258836</v>
      </c>
      <c r="AU43" s="85"/>
      <c r="AV43" s="85"/>
      <c r="AW43" s="85">
        <f t="shared" si="17"/>
        <v>1760.258836</v>
      </c>
      <c r="AX43" s="85">
        <v>0</v>
      </c>
      <c r="AY43" s="85">
        <v>367.48848099999998</v>
      </c>
      <c r="AZ43" s="84">
        <v>1392.7703550000001</v>
      </c>
      <c r="BA43" s="85">
        <f t="shared" si="20"/>
        <v>0</v>
      </c>
      <c r="BB43" s="85"/>
      <c r="BC43" s="85"/>
      <c r="BD43" s="85"/>
      <c r="BE43" s="85"/>
      <c r="BF43" s="85"/>
      <c r="BG43" s="85"/>
      <c r="BH43" s="85"/>
      <c r="BI43" s="84">
        <f t="shared" si="21"/>
        <v>0</v>
      </c>
      <c r="BJ43" s="85"/>
      <c r="BK43" s="85"/>
      <c r="BL43" s="85"/>
      <c r="BM43" s="84">
        <f t="shared" si="22"/>
        <v>0</v>
      </c>
      <c r="BN43" s="85"/>
      <c r="BO43" s="85"/>
      <c r="BP43" s="85"/>
      <c r="BQ43" s="85"/>
      <c r="BR43" s="85"/>
      <c r="BS43" s="85"/>
      <c r="BT43" s="85"/>
      <c r="BU43" s="85"/>
      <c r="BV43" s="85"/>
      <c r="BW43" s="663"/>
      <c r="BX43" s="663"/>
      <c r="BY43" s="663"/>
      <c r="BZ43" s="663"/>
    </row>
    <row r="44" spans="1:78" s="26" customFormat="1" ht="30" customHeight="1">
      <c r="A44" s="536" t="s">
        <v>13</v>
      </c>
      <c r="B44" s="104" t="s">
        <v>638</v>
      </c>
      <c r="C44" s="104"/>
      <c r="D44" s="104"/>
      <c r="E44" s="104"/>
      <c r="F44" s="104">
        <f>SUM(F46:F90)</f>
        <v>0</v>
      </c>
      <c r="G44" s="104"/>
      <c r="H44" s="104">
        <f>SUM(H46:H90)</f>
        <v>0</v>
      </c>
      <c r="I44" s="104"/>
      <c r="J44" s="104"/>
      <c r="K44" s="104"/>
      <c r="L44" s="104"/>
      <c r="M44" s="104">
        <f>M45+M51</f>
        <v>164785.34623200001</v>
      </c>
      <c r="N44" s="104">
        <f t="shared" ref="N44:BU44" si="24">N45+N51</f>
        <v>0</v>
      </c>
      <c r="O44" s="104">
        <f t="shared" si="24"/>
        <v>92960</v>
      </c>
      <c r="P44" s="104">
        <f t="shared" si="24"/>
        <v>72483.746232000005</v>
      </c>
      <c r="Q44" s="104">
        <f t="shared" si="24"/>
        <v>0</v>
      </c>
      <c r="R44" s="104">
        <f t="shared" si="24"/>
        <v>0</v>
      </c>
      <c r="S44" s="104">
        <f t="shared" si="24"/>
        <v>59721</v>
      </c>
      <c r="T44" s="104">
        <f t="shared" si="24"/>
        <v>0</v>
      </c>
      <c r="U44" s="104">
        <f t="shared" si="24"/>
        <v>46960</v>
      </c>
      <c r="V44" s="104">
        <f t="shared" si="24"/>
        <v>1762</v>
      </c>
      <c r="W44" s="104">
        <f t="shared" si="24"/>
        <v>48696.811567999997</v>
      </c>
      <c r="X44" s="104">
        <f t="shared" si="24"/>
        <v>0</v>
      </c>
      <c r="Y44" s="104">
        <f t="shared" si="24"/>
        <v>79960</v>
      </c>
      <c r="Z44" s="104">
        <f t="shared" si="24"/>
        <v>48696.811567999997</v>
      </c>
      <c r="AA44" s="104">
        <f t="shared" si="24"/>
        <v>31960.670664000001</v>
      </c>
      <c r="AB44" s="104">
        <f t="shared" si="24"/>
        <v>1855.0630000000001</v>
      </c>
      <c r="AC44" s="104">
        <f t="shared" si="24"/>
        <v>14881.077904</v>
      </c>
      <c r="AD44" s="104">
        <f t="shared" si="24"/>
        <v>116691.26411699998</v>
      </c>
      <c r="AE44" s="104">
        <f t="shared" si="24"/>
        <v>421</v>
      </c>
      <c r="AF44" s="104">
        <f t="shared" si="24"/>
        <v>79960</v>
      </c>
      <c r="AG44" s="104">
        <f t="shared" si="24"/>
        <v>37560.811567999997</v>
      </c>
      <c r="AH44" s="104">
        <f t="shared" si="24"/>
        <v>21273.670664000001</v>
      </c>
      <c r="AI44" s="104">
        <f t="shared" si="24"/>
        <v>3085</v>
      </c>
      <c r="AJ44" s="104">
        <f t="shared" si="24"/>
        <v>855.06299999999999</v>
      </c>
      <c r="AK44" s="104">
        <f t="shared" si="24"/>
        <v>12768.077904</v>
      </c>
      <c r="AL44" s="104">
        <f t="shared" si="24"/>
        <v>97429.001656000008</v>
      </c>
      <c r="AM44" s="104">
        <f t="shared" si="24"/>
        <v>2109.4295699999998</v>
      </c>
      <c r="AN44" s="104">
        <f t="shared" si="24"/>
        <v>59591.764000000003</v>
      </c>
      <c r="AO44" s="104">
        <f t="shared" si="24"/>
        <v>37837.237655999998</v>
      </c>
      <c r="AP44" s="104">
        <f t="shared" si="24"/>
        <v>23375.616268000002</v>
      </c>
      <c r="AQ44" s="104">
        <f t="shared" si="24"/>
        <v>3420.3397339999997</v>
      </c>
      <c r="AR44" s="104">
        <f t="shared" si="24"/>
        <v>855.06299999999999</v>
      </c>
      <c r="AS44" s="104">
        <f t="shared" si="24"/>
        <v>12644.818958000002</v>
      </c>
      <c r="AT44" s="104">
        <f t="shared" si="24"/>
        <v>9207.86</v>
      </c>
      <c r="AU44" s="104">
        <f t="shared" si="24"/>
        <v>0</v>
      </c>
      <c r="AV44" s="104">
        <f t="shared" si="24"/>
        <v>0</v>
      </c>
      <c r="AW44" s="104">
        <f t="shared" si="24"/>
        <v>9207.86</v>
      </c>
      <c r="AX44" s="104">
        <f t="shared" si="24"/>
        <v>6094.8600000000006</v>
      </c>
      <c r="AY44" s="104">
        <f t="shared" si="24"/>
        <v>1000</v>
      </c>
      <c r="AZ44" s="104">
        <f t="shared" si="24"/>
        <v>2113</v>
      </c>
      <c r="BA44" s="104">
        <f t="shared" si="24"/>
        <v>9105.469000000001</v>
      </c>
      <c r="BB44" s="104">
        <f t="shared" si="24"/>
        <v>0</v>
      </c>
      <c r="BC44" s="104">
        <f t="shared" si="24"/>
        <v>0</v>
      </c>
      <c r="BD44" s="104">
        <f t="shared" si="24"/>
        <v>9105.469000000001</v>
      </c>
      <c r="BE44" s="104">
        <f t="shared" si="24"/>
        <v>6015.2970000000005</v>
      </c>
      <c r="BF44" s="104">
        <f t="shared" si="24"/>
        <v>0</v>
      </c>
      <c r="BG44" s="104">
        <f t="shared" si="24"/>
        <v>1000</v>
      </c>
      <c r="BH44" s="104">
        <f t="shared" si="24"/>
        <v>2090.172</v>
      </c>
      <c r="BI44" s="104">
        <f t="shared" si="24"/>
        <v>32.932873000000001</v>
      </c>
      <c r="BJ44" s="104">
        <f t="shared" si="24"/>
        <v>0</v>
      </c>
      <c r="BK44" s="104">
        <f t="shared" si="24"/>
        <v>0</v>
      </c>
      <c r="BL44" s="104">
        <f t="shared" si="24"/>
        <v>32.932873000000001</v>
      </c>
      <c r="BM44" s="104">
        <f t="shared" si="24"/>
        <v>18.985216999999999</v>
      </c>
      <c r="BN44" s="104">
        <f t="shared" si="24"/>
        <v>0</v>
      </c>
      <c r="BO44" s="104">
        <f t="shared" si="24"/>
        <v>0</v>
      </c>
      <c r="BP44" s="104">
        <f t="shared" si="24"/>
        <v>18.985216999999999</v>
      </c>
      <c r="BQ44" s="104">
        <f t="shared" si="24"/>
        <v>0</v>
      </c>
      <c r="BR44" s="104">
        <f t="shared" si="24"/>
        <v>0</v>
      </c>
      <c r="BS44" s="104">
        <f t="shared" si="24"/>
        <v>0</v>
      </c>
      <c r="BT44" s="104">
        <f t="shared" si="24"/>
        <v>0</v>
      </c>
      <c r="BU44" s="104">
        <f t="shared" si="24"/>
        <v>28.514872999999998</v>
      </c>
      <c r="BV44" s="104"/>
      <c r="BW44" s="75"/>
      <c r="BX44" s="75"/>
      <c r="BY44" s="75"/>
      <c r="BZ44" s="75"/>
    </row>
    <row r="45" spans="1:78" s="26" customFormat="1" ht="30" customHeight="1">
      <c r="A45" s="553" t="s">
        <v>45</v>
      </c>
      <c r="B45" s="677" t="s">
        <v>47</v>
      </c>
      <c r="C45" s="658"/>
      <c r="D45" s="658"/>
      <c r="E45" s="658"/>
      <c r="F45" s="658"/>
      <c r="G45" s="658"/>
      <c r="H45" s="658"/>
      <c r="I45" s="678"/>
      <c r="J45" s="658"/>
      <c r="K45" s="658"/>
      <c r="L45" s="658"/>
      <c r="M45" s="658">
        <f>SUM(M46:M50)</f>
        <v>96715.6</v>
      </c>
      <c r="N45" s="658">
        <f t="shared" ref="N45:BU45" si="25">SUM(N46:N50)</f>
        <v>0</v>
      </c>
      <c r="O45" s="658">
        <f t="shared" si="25"/>
        <v>72000</v>
      </c>
      <c r="P45" s="658">
        <f t="shared" si="25"/>
        <v>25374</v>
      </c>
      <c r="Q45" s="658">
        <f t="shared" si="25"/>
        <v>0</v>
      </c>
      <c r="R45" s="658">
        <f t="shared" si="25"/>
        <v>0</v>
      </c>
      <c r="S45" s="658">
        <f t="shared" si="25"/>
        <v>38903</v>
      </c>
      <c r="T45" s="658">
        <f t="shared" si="25"/>
        <v>0</v>
      </c>
      <c r="U45" s="658">
        <f t="shared" si="25"/>
        <v>27000</v>
      </c>
      <c r="V45" s="658">
        <f t="shared" si="25"/>
        <v>904</v>
      </c>
      <c r="W45" s="658">
        <f t="shared" si="25"/>
        <v>4013.2200000000003</v>
      </c>
      <c r="X45" s="658">
        <f t="shared" si="25"/>
        <v>0</v>
      </c>
      <c r="Y45" s="658">
        <f t="shared" si="25"/>
        <v>60000</v>
      </c>
      <c r="Z45" s="658">
        <f t="shared" si="25"/>
        <v>4013.2200000000003</v>
      </c>
      <c r="AA45" s="658">
        <f t="shared" si="25"/>
        <v>3783.2200000000003</v>
      </c>
      <c r="AB45" s="658">
        <f t="shared" si="25"/>
        <v>156</v>
      </c>
      <c r="AC45" s="658">
        <f t="shared" si="25"/>
        <v>74</v>
      </c>
      <c r="AD45" s="658">
        <f t="shared" si="25"/>
        <v>63592.22</v>
      </c>
      <c r="AE45" s="658">
        <f t="shared" si="25"/>
        <v>421</v>
      </c>
      <c r="AF45" s="658">
        <f t="shared" si="25"/>
        <v>60000</v>
      </c>
      <c r="AG45" s="658">
        <f t="shared" si="25"/>
        <v>3592.2200000000003</v>
      </c>
      <c r="AH45" s="658">
        <f t="shared" si="25"/>
        <v>3783.2200000000003</v>
      </c>
      <c r="AI45" s="658">
        <f t="shared" si="25"/>
        <v>0</v>
      </c>
      <c r="AJ45" s="658">
        <f t="shared" si="25"/>
        <v>156</v>
      </c>
      <c r="AK45" s="658">
        <f t="shared" si="25"/>
        <v>74</v>
      </c>
      <c r="AL45" s="658">
        <f t="shared" si="25"/>
        <v>63183.984000000004</v>
      </c>
      <c r="AM45" s="658">
        <f t="shared" si="25"/>
        <v>2109.4295699999998</v>
      </c>
      <c r="AN45" s="658">
        <f t="shared" si="25"/>
        <v>59591.764000000003</v>
      </c>
      <c r="AO45" s="658">
        <f t="shared" si="25"/>
        <v>3592.2200000000003</v>
      </c>
      <c r="AP45" s="658">
        <f t="shared" si="25"/>
        <v>5471.6495700000005</v>
      </c>
      <c r="AQ45" s="658">
        <f t="shared" si="25"/>
        <v>349.17073399999998</v>
      </c>
      <c r="AR45" s="658">
        <f t="shared" si="25"/>
        <v>156</v>
      </c>
      <c r="AS45" s="658">
        <f t="shared" si="25"/>
        <v>74</v>
      </c>
      <c r="AT45" s="658">
        <f t="shared" si="25"/>
        <v>0</v>
      </c>
      <c r="AU45" s="658">
        <f t="shared" si="25"/>
        <v>0</v>
      </c>
      <c r="AV45" s="658">
        <f t="shared" si="25"/>
        <v>0</v>
      </c>
      <c r="AW45" s="658">
        <f t="shared" si="25"/>
        <v>0</v>
      </c>
      <c r="AX45" s="658">
        <f t="shared" si="25"/>
        <v>0</v>
      </c>
      <c r="AY45" s="658">
        <f t="shared" si="25"/>
        <v>0</v>
      </c>
      <c r="AZ45" s="658">
        <f t="shared" si="25"/>
        <v>0</v>
      </c>
      <c r="BA45" s="658">
        <f t="shared" si="25"/>
        <v>0</v>
      </c>
      <c r="BB45" s="658">
        <f t="shared" si="25"/>
        <v>0</v>
      </c>
      <c r="BC45" s="658">
        <f t="shared" si="25"/>
        <v>0</v>
      </c>
      <c r="BD45" s="658">
        <f t="shared" si="25"/>
        <v>0</v>
      </c>
      <c r="BE45" s="658">
        <f t="shared" si="25"/>
        <v>0</v>
      </c>
      <c r="BF45" s="658">
        <f t="shared" si="25"/>
        <v>0</v>
      </c>
      <c r="BG45" s="658">
        <f t="shared" si="25"/>
        <v>0</v>
      </c>
      <c r="BH45" s="658">
        <f t="shared" si="25"/>
        <v>0</v>
      </c>
      <c r="BI45" s="658">
        <f t="shared" si="25"/>
        <v>0</v>
      </c>
      <c r="BJ45" s="658">
        <f t="shared" si="25"/>
        <v>0</v>
      </c>
      <c r="BK45" s="658">
        <f t="shared" si="25"/>
        <v>0</v>
      </c>
      <c r="BL45" s="658">
        <f t="shared" si="25"/>
        <v>0</v>
      </c>
      <c r="BM45" s="658">
        <f t="shared" si="25"/>
        <v>0</v>
      </c>
      <c r="BN45" s="658">
        <f t="shared" si="25"/>
        <v>0</v>
      </c>
      <c r="BO45" s="658">
        <f t="shared" si="25"/>
        <v>0</v>
      </c>
      <c r="BP45" s="658">
        <f t="shared" si="25"/>
        <v>0</v>
      </c>
      <c r="BQ45" s="658">
        <f t="shared" si="25"/>
        <v>0</v>
      </c>
      <c r="BR45" s="658">
        <f t="shared" si="25"/>
        <v>0</v>
      </c>
      <c r="BS45" s="658">
        <f t="shared" si="25"/>
        <v>0</v>
      </c>
      <c r="BT45" s="658">
        <f t="shared" si="25"/>
        <v>0</v>
      </c>
      <c r="BU45" s="658">
        <f t="shared" si="25"/>
        <v>0</v>
      </c>
      <c r="BV45" s="658"/>
      <c r="BW45" s="83"/>
      <c r="BX45" s="83"/>
      <c r="BY45" s="83"/>
      <c r="BZ45" s="83"/>
    </row>
    <row r="46" spans="1:78" s="81" customFormat="1" ht="88.5" customHeight="1" outlineLevel="1">
      <c r="A46" s="659">
        <v>1</v>
      </c>
      <c r="B46" s="681" t="s">
        <v>639</v>
      </c>
      <c r="C46" s="661" t="s">
        <v>640</v>
      </c>
      <c r="D46" s="670" t="s">
        <v>48</v>
      </c>
      <c r="E46" s="669"/>
      <c r="F46" s="669" t="s">
        <v>638</v>
      </c>
      <c r="G46" s="669" t="s">
        <v>49</v>
      </c>
      <c r="H46" s="669" t="s">
        <v>643</v>
      </c>
      <c r="I46" s="669">
        <v>2020</v>
      </c>
      <c r="J46" s="669">
        <v>2020</v>
      </c>
      <c r="K46" s="682"/>
      <c r="L46" s="682" t="s">
        <v>641</v>
      </c>
      <c r="M46" s="683">
        <v>491.6</v>
      </c>
      <c r="N46" s="672"/>
      <c r="O46" s="672"/>
      <c r="P46" s="683">
        <v>1150</v>
      </c>
      <c r="Q46" s="672" t="s">
        <v>642</v>
      </c>
      <c r="R46" s="669" t="s">
        <v>644</v>
      </c>
      <c r="S46" s="683">
        <f>T46+U46+V46</f>
        <v>904</v>
      </c>
      <c r="T46" s="684"/>
      <c r="U46" s="684"/>
      <c r="V46" s="683">
        <f>P46-W46</f>
        <v>904</v>
      </c>
      <c r="W46" s="84">
        <f t="shared" ref="W46:W90" si="26">AA46+AB46+AC46</f>
        <v>246</v>
      </c>
      <c r="X46" s="684"/>
      <c r="Y46" s="684"/>
      <c r="Z46" s="683">
        <f>AA46+AB46+AC46+AD46</f>
        <v>246</v>
      </c>
      <c r="AA46" s="664">
        <v>246</v>
      </c>
      <c r="AB46" s="683"/>
      <c r="AC46" s="684"/>
      <c r="AD46" s="684"/>
      <c r="AE46" s="683">
        <f>AF46+AG46+AH46</f>
        <v>246</v>
      </c>
      <c r="AF46" s="684"/>
      <c r="AG46" s="684"/>
      <c r="AH46" s="685">
        <v>246</v>
      </c>
      <c r="AI46" s="685"/>
      <c r="AJ46" s="684"/>
      <c r="AK46" s="684"/>
      <c r="AL46" s="684"/>
      <c r="AM46" s="683">
        <f>AN46+AO46+AP46</f>
        <v>2006.258836</v>
      </c>
      <c r="AN46" s="684"/>
      <c r="AO46" s="684"/>
      <c r="AP46" s="683">
        <f>AQ46+AR46+AS46+AT43</f>
        <v>2006.258836</v>
      </c>
      <c r="AQ46" s="686">
        <v>246</v>
      </c>
      <c r="AR46" s="683"/>
      <c r="AS46" s="684"/>
      <c r="AT46" s="85">
        <f t="shared" ref="AT46:AT90" si="27">AX46+AY46+AZ46</f>
        <v>0</v>
      </c>
      <c r="AU46" s="683"/>
      <c r="AV46" s="683"/>
      <c r="AW46" s="683"/>
      <c r="AX46" s="683"/>
      <c r="AY46" s="683"/>
      <c r="AZ46" s="683"/>
      <c r="BA46" s="683"/>
      <c r="BB46" s="683"/>
      <c r="BC46" s="683"/>
      <c r="BD46" s="683"/>
      <c r="BE46" s="683"/>
      <c r="BF46" s="683"/>
      <c r="BG46" s="683"/>
      <c r="BH46" s="683"/>
      <c r="BI46" s="683"/>
      <c r="BJ46" s="683"/>
      <c r="BK46" s="687"/>
      <c r="BL46" s="687"/>
      <c r="BM46" s="687"/>
      <c r="BN46" s="687"/>
      <c r="BO46" s="687"/>
      <c r="BP46" s="687"/>
      <c r="BQ46" s="687"/>
      <c r="BR46" s="687"/>
      <c r="BS46" s="683"/>
      <c r="BT46" s="688"/>
      <c r="BU46" s="688"/>
      <c r="BV46" s="688"/>
      <c r="BW46" s="511"/>
      <c r="BX46" s="511"/>
      <c r="BY46" s="511"/>
      <c r="BZ46" s="511"/>
    </row>
    <row r="47" spans="1:78" s="81" customFormat="1" ht="96.75" customHeight="1" outlineLevel="1">
      <c r="A47" s="659">
        <v>2</v>
      </c>
      <c r="B47" s="681" t="s">
        <v>645</v>
      </c>
      <c r="C47" s="670" t="s">
        <v>646</v>
      </c>
      <c r="D47" s="670" t="s">
        <v>105</v>
      </c>
      <c r="E47" s="669"/>
      <c r="F47" s="669" t="s">
        <v>638</v>
      </c>
      <c r="G47" s="669" t="s">
        <v>49</v>
      </c>
      <c r="H47" s="669" t="s">
        <v>643</v>
      </c>
      <c r="I47" s="669" t="s">
        <v>69</v>
      </c>
      <c r="J47" s="669">
        <v>2020</v>
      </c>
      <c r="K47" s="682"/>
      <c r="L47" s="682"/>
      <c r="M47" s="683">
        <v>1975</v>
      </c>
      <c r="N47" s="672"/>
      <c r="O47" s="672"/>
      <c r="P47" s="683">
        <v>1975</v>
      </c>
      <c r="Q47" s="672"/>
      <c r="R47" s="669" t="s">
        <v>644</v>
      </c>
      <c r="S47" s="683">
        <f>T47+U47+V47</f>
        <v>0</v>
      </c>
      <c r="T47" s="684"/>
      <c r="U47" s="684"/>
      <c r="V47" s="683"/>
      <c r="W47" s="84">
        <f t="shared" si="26"/>
        <v>175</v>
      </c>
      <c r="X47" s="684"/>
      <c r="Y47" s="684"/>
      <c r="Z47" s="683">
        <f>AA47+AB47+AC47+AD47</f>
        <v>175</v>
      </c>
      <c r="AA47" s="664">
        <v>175</v>
      </c>
      <c r="AB47" s="683"/>
      <c r="AC47" s="684"/>
      <c r="AD47" s="684"/>
      <c r="AE47" s="683">
        <f>AF47+AG47+AH47</f>
        <v>175</v>
      </c>
      <c r="AF47" s="684"/>
      <c r="AG47" s="684"/>
      <c r="AH47" s="685">
        <v>175</v>
      </c>
      <c r="AI47" s="685"/>
      <c r="AJ47" s="684"/>
      <c r="AK47" s="684"/>
      <c r="AL47" s="684"/>
      <c r="AM47" s="683">
        <f>AN47+AO47+AP47</f>
        <v>103.170734</v>
      </c>
      <c r="AN47" s="684"/>
      <c r="AO47" s="684"/>
      <c r="AP47" s="683">
        <f>AQ47+AR47+AS47+AT46</f>
        <v>103.170734</v>
      </c>
      <c r="AQ47" s="686">
        <v>103.170734</v>
      </c>
      <c r="AR47" s="683"/>
      <c r="AS47" s="684"/>
      <c r="AT47" s="85">
        <f t="shared" si="27"/>
        <v>0</v>
      </c>
      <c r="AU47" s="683"/>
      <c r="AV47" s="683"/>
      <c r="AW47" s="683"/>
      <c r="AX47" s="683"/>
      <c r="AY47" s="683"/>
      <c r="AZ47" s="683"/>
      <c r="BA47" s="683"/>
      <c r="BB47" s="683"/>
      <c r="BC47" s="683"/>
      <c r="BD47" s="683"/>
      <c r="BE47" s="683"/>
      <c r="BF47" s="683"/>
      <c r="BG47" s="683"/>
      <c r="BH47" s="683"/>
      <c r="BI47" s="683"/>
      <c r="BJ47" s="683"/>
      <c r="BK47" s="687"/>
      <c r="BL47" s="687"/>
      <c r="BM47" s="687"/>
      <c r="BN47" s="687"/>
      <c r="BO47" s="687"/>
      <c r="BP47" s="687"/>
      <c r="BQ47" s="687"/>
      <c r="BR47" s="687"/>
      <c r="BS47" s="683"/>
      <c r="BT47" s="688"/>
      <c r="BU47" s="688"/>
      <c r="BV47" s="688"/>
      <c r="BW47" s="511"/>
      <c r="BX47" s="511"/>
      <c r="BY47" s="511"/>
      <c r="BZ47" s="511"/>
    </row>
    <row r="48" spans="1:78" s="82" customFormat="1" ht="62.25" customHeight="1" outlineLevel="1">
      <c r="A48" s="659">
        <v>3</v>
      </c>
      <c r="B48" s="666" t="s">
        <v>647</v>
      </c>
      <c r="C48" s="661" t="s">
        <v>866</v>
      </c>
      <c r="D48" s="85" t="s">
        <v>48</v>
      </c>
      <c r="E48" s="674"/>
      <c r="F48" s="661" t="s">
        <v>638</v>
      </c>
      <c r="G48" s="661" t="s">
        <v>49</v>
      </c>
      <c r="H48" s="661" t="s">
        <v>649</v>
      </c>
      <c r="I48" s="662" t="s">
        <v>69</v>
      </c>
      <c r="J48" s="661">
        <v>2021</v>
      </c>
      <c r="K48" s="661" t="s">
        <v>575</v>
      </c>
      <c r="L48" s="85" t="s">
        <v>648</v>
      </c>
      <c r="M48" s="84">
        <f>N48+O48+P48</f>
        <v>35999</v>
      </c>
      <c r="N48" s="674"/>
      <c r="O48" s="674">
        <v>25000</v>
      </c>
      <c r="P48" s="84">
        <v>10999</v>
      </c>
      <c r="Q48" s="85"/>
      <c r="R48" s="661" t="s">
        <v>644</v>
      </c>
      <c r="S48" s="84">
        <v>35999</v>
      </c>
      <c r="T48" s="85"/>
      <c r="U48" s="85">
        <v>25000</v>
      </c>
      <c r="V48" s="84"/>
      <c r="W48" s="84">
        <f t="shared" si="26"/>
        <v>1833</v>
      </c>
      <c r="X48" s="85"/>
      <c r="Y48" s="85">
        <v>15000</v>
      </c>
      <c r="Z48" s="85">
        <f t="shared" ref="Z48:Z89" si="28">SUM(AA48:AC48)</f>
        <v>1833</v>
      </c>
      <c r="AA48" s="84">
        <f>1677-465.323+391.323</f>
        <v>1603</v>
      </c>
      <c r="AB48" s="85">
        <v>156</v>
      </c>
      <c r="AC48" s="84">
        <f>465.323-391.323</f>
        <v>74</v>
      </c>
      <c r="AD48" s="84">
        <f>AE48+AF48+AG48</f>
        <v>16833</v>
      </c>
      <c r="AE48" s="85"/>
      <c r="AF48" s="85">
        <v>15000</v>
      </c>
      <c r="AG48" s="84">
        <f t="shared" ref="AG48:AG86" si="29">AH48+AI48+AJ48+AK48</f>
        <v>1833</v>
      </c>
      <c r="AH48" s="84">
        <f>1677-465.323+391.323</f>
        <v>1603</v>
      </c>
      <c r="AI48" s="85"/>
      <c r="AJ48" s="85">
        <v>156</v>
      </c>
      <c r="AK48" s="84">
        <f>465.323-391.323</f>
        <v>74</v>
      </c>
      <c r="AL48" s="84">
        <f>AM48+AN48+AO48</f>
        <v>16833</v>
      </c>
      <c r="AM48" s="85"/>
      <c r="AN48" s="85">
        <v>15000</v>
      </c>
      <c r="AO48" s="84">
        <f>AP48+AQ48+AR48+AS48</f>
        <v>1833</v>
      </c>
      <c r="AP48" s="661">
        <f>1211.677+391.323</f>
        <v>1603</v>
      </c>
      <c r="AQ48" s="85"/>
      <c r="AR48" s="85">
        <v>156</v>
      </c>
      <c r="AS48" s="84">
        <f>465.323-391.323</f>
        <v>74</v>
      </c>
      <c r="AT48" s="85">
        <f t="shared" si="27"/>
        <v>0</v>
      </c>
      <c r="AU48" s="85"/>
      <c r="AV48" s="85"/>
      <c r="AW48" s="85">
        <f t="shared" ref="AW48:AW89" si="30">SUM(AX48:AZ48)</f>
        <v>0</v>
      </c>
      <c r="AX48" s="85">
        <v>0</v>
      </c>
      <c r="AY48" s="85"/>
      <c r="AZ48" s="84"/>
      <c r="BA48" s="85"/>
      <c r="BB48" s="85"/>
      <c r="BC48" s="85"/>
      <c r="BD48" s="85"/>
      <c r="BE48" s="85"/>
      <c r="BF48" s="85"/>
      <c r="BG48" s="85"/>
      <c r="BH48" s="85"/>
      <c r="BI48" s="84">
        <f t="shared" ref="BI48:BI89" si="31">BJ48+BK48+BL48</f>
        <v>0</v>
      </c>
      <c r="BJ48" s="85"/>
      <c r="BK48" s="85"/>
      <c r="BL48" s="85"/>
      <c r="BM48" s="84">
        <f t="shared" ref="BM48:BM89" si="32">BN48+BO48+BP48</f>
        <v>0</v>
      </c>
      <c r="BN48" s="85"/>
      <c r="BO48" s="85"/>
      <c r="BP48" s="85"/>
      <c r="BQ48" s="85"/>
      <c r="BR48" s="85"/>
      <c r="BS48" s="85"/>
      <c r="BT48" s="85"/>
      <c r="BU48" s="85"/>
      <c r="BV48" s="85"/>
      <c r="BW48" s="679">
        <v>1677</v>
      </c>
      <c r="BX48" s="663"/>
      <c r="BY48" s="663"/>
      <c r="BZ48" s="663"/>
    </row>
    <row r="49" spans="1:78" s="26" customFormat="1" ht="56.25" customHeight="1" outlineLevel="1">
      <c r="A49" s="659">
        <v>4</v>
      </c>
      <c r="B49" s="666" t="s">
        <v>650</v>
      </c>
      <c r="C49" s="661" t="s">
        <v>866</v>
      </c>
      <c r="D49" s="85" t="s">
        <v>48</v>
      </c>
      <c r="E49" s="674"/>
      <c r="F49" s="661" t="s">
        <v>638</v>
      </c>
      <c r="G49" s="661" t="s">
        <v>49</v>
      </c>
      <c r="H49" s="661" t="s">
        <v>652</v>
      </c>
      <c r="I49" s="662" t="s">
        <v>52</v>
      </c>
      <c r="J49" s="661">
        <v>2022</v>
      </c>
      <c r="K49" s="661" t="s">
        <v>575</v>
      </c>
      <c r="L49" s="85" t="s">
        <v>651</v>
      </c>
      <c r="M49" s="84">
        <f t="shared" ref="M49:M90" si="33">N49+O49+P49</f>
        <v>50000</v>
      </c>
      <c r="N49" s="674"/>
      <c r="O49" s="674">
        <v>45000</v>
      </c>
      <c r="P49" s="84">
        <v>5000</v>
      </c>
      <c r="Q49" s="85"/>
      <c r="R49" s="661" t="s">
        <v>644</v>
      </c>
      <c r="S49" s="84"/>
      <c r="T49" s="85"/>
      <c r="U49" s="85"/>
      <c r="V49" s="84"/>
      <c r="W49" s="84">
        <f t="shared" si="26"/>
        <v>1000</v>
      </c>
      <c r="X49" s="85"/>
      <c r="Y49" s="85">
        <v>45000</v>
      </c>
      <c r="Z49" s="85">
        <f t="shared" si="28"/>
        <v>1000</v>
      </c>
      <c r="AA49" s="84">
        <v>1000</v>
      </c>
      <c r="AB49" s="85"/>
      <c r="AC49" s="84"/>
      <c r="AD49" s="84">
        <f t="shared" ref="AD49:AD85" si="34">AE49+AF49+AG49</f>
        <v>46000</v>
      </c>
      <c r="AE49" s="85"/>
      <c r="AF49" s="85">
        <v>45000</v>
      </c>
      <c r="AG49" s="84">
        <f t="shared" si="29"/>
        <v>1000</v>
      </c>
      <c r="AH49" s="84">
        <v>1000</v>
      </c>
      <c r="AI49" s="85"/>
      <c r="AJ49" s="85"/>
      <c r="AK49" s="84"/>
      <c r="AL49" s="84">
        <f>AM49+AN49+AO49</f>
        <v>45591.764000000003</v>
      </c>
      <c r="AM49" s="85"/>
      <c r="AN49" s="84">
        <v>44591.764000000003</v>
      </c>
      <c r="AO49" s="84">
        <f>AP49+AQ49+AR49+AS49</f>
        <v>1000</v>
      </c>
      <c r="AP49" s="661">
        <v>1000</v>
      </c>
      <c r="AQ49" s="85"/>
      <c r="AR49" s="85"/>
      <c r="AS49" s="84"/>
      <c r="AT49" s="85">
        <f t="shared" si="27"/>
        <v>0</v>
      </c>
      <c r="AU49" s="85"/>
      <c r="AV49" s="85"/>
      <c r="AW49" s="85">
        <f t="shared" si="30"/>
        <v>0</v>
      </c>
      <c r="AX49" s="85">
        <v>0</v>
      </c>
      <c r="AY49" s="85"/>
      <c r="AZ49" s="84"/>
      <c r="BA49" s="85"/>
      <c r="BB49" s="85"/>
      <c r="BC49" s="85"/>
      <c r="BD49" s="85"/>
      <c r="BE49" s="85"/>
      <c r="BF49" s="85"/>
      <c r="BG49" s="85"/>
      <c r="BH49" s="85"/>
      <c r="BI49" s="84">
        <f t="shared" si="31"/>
        <v>0</v>
      </c>
      <c r="BJ49" s="85"/>
      <c r="BK49" s="85"/>
      <c r="BL49" s="85"/>
      <c r="BM49" s="84">
        <f t="shared" si="32"/>
        <v>0</v>
      </c>
      <c r="BN49" s="85"/>
      <c r="BO49" s="85"/>
      <c r="BP49" s="85"/>
      <c r="BQ49" s="85"/>
      <c r="BR49" s="85"/>
      <c r="BS49" s="85"/>
      <c r="BT49" s="85"/>
      <c r="BU49" s="85"/>
      <c r="BV49" s="85"/>
      <c r="BW49" s="679">
        <v>1000</v>
      </c>
      <c r="BX49" s="663"/>
      <c r="BY49" s="663"/>
      <c r="BZ49" s="663"/>
    </row>
    <row r="50" spans="1:78" s="76" customFormat="1" ht="60" customHeight="1" outlineLevel="1">
      <c r="A50" s="659">
        <v>5</v>
      </c>
      <c r="B50" s="666" t="s">
        <v>653</v>
      </c>
      <c r="C50" s="661" t="s">
        <v>866</v>
      </c>
      <c r="D50" s="85" t="s">
        <v>48</v>
      </c>
      <c r="E50" s="674"/>
      <c r="F50" s="661" t="s">
        <v>638</v>
      </c>
      <c r="G50" s="661" t="s">
        <v>49</v>
      </c>
      <c r="H50" s="661" t="s">
        <v>652</v>
      </c>
      <c r="I50" s="662" t="s">
        <v>69</v>
      </c>
      <c r="J50" s="661">
        <v>2020</v>
      </c>
      <c r="K50" s="661" t="s">
        <v>575</v>
      </c>
      <c r="L50" s="85" t="s">
        <v>655</v>
      </c>
      <c r="M50" s="84">
        <f t="shared" si="33"/>
        <v>8250</v>
      </c>
      <c r="N50" s="674"/>
      <c r="O50" s="674">
        <v>2000</v>
      </c>
      <c r="P50" s="84">
        <v>6250</v>
      </c>
      <c r="Q50" s="85"/>
      <c r="R50" s="661" t="s">
        <v>644</v>
      </c>
      <c r="S50" s="84">
        <f>T50+U50+V50</f>
        <v>2000</v>
      </c>
      <c r="T50" s="85"/>
      <c r="U50" s="84">
        <v>2000</v>
      </c>
      <c r="V50" s="84"/>
      <c r="W50" s="84">
        <f t="shared" si="26"/>
        <v>759.22</v>
      </c>
      <c r="X50" s="85"/>
      <c r="Y50" s="85"/>
      <c r="Z50" s="85">
        <f t="shared" si="28"/>
        <v>759.22</v>
      </c>
      <c r="AA50" s="84">
        <f>259.22+500</f>
        <v>759.22</v>
      </c>
      <c r="AB50" s="85"/>
      <c r="AC50" s="84"/>
      <c r="AD50" s="84">
        <f t="shared" si="34"/>
        <v>759.22</v>
      </c>
      <c r="AE50" s="85"/>
      <c r="AF50" s="85"/>
      <c r="AG50" s="84">
        <f t="shared" si="29"/>
        <v>759.22</v>
      </c>
      <c r="AH50" s="84">
        <f>259.22+500</f>
        <v>759.22</v>
      </c>
      <c r="AI50" s="85"/>
      <c r="AJ50" s="85"/>
      <c r="AK50" s="84"/>
      <c r="AL50" s="84">
        <f t="shared" ref="AL50:AL52" si="35">AM50+AN50+AO50</f>
        <v>759.22</v>
      </c>
      <c r="AM50" s="85"/>
      <c r="AN50" s="84"/>
      <c r="AO50" s="84">
        <f t="shared" ref="AO50:AO86" si="36">AP50+AQ50+AR50+AS50</f>
        <v>759.22</v>
      </c>
      <c r="AP50" s="84">
        <f>259.22+500</f>
        <v>759.22</v>
      </c>
      <c r="AQ50" s="85"/>
      <c r="AR50" s="85"/>
      <c r="AS50" s="84"/>
      <c r="AT50" s="85">
        <f t="shared" si="27"/>
        <v>0</v>
      </c>
      <c r="AU50" s="85"/>
      <c r="AV50" s="85"/>
      <c r="AW50" s="85">
        <f t="shared" si="30"/>
        <v>0</v>
      </c>
      <c r="AX50" s="85">
        <v>0</v>
      </c>
      <c r="AY50" s="85"/>
      <c r="AZ50" s="84"/>
      <c r="BA50" s="85"/>
      <c r="BB50" s="85"/>
      <c r="BC50" s="85"/>
      <c r="BD50" s="85"/>
      <c r="BE50" s="85"/>
      <c r="BF50" s="85"/>
      <c r="BG50" s="85"/>
      <c r="BH50" s="85"/>
      <c r="BI50" s="84">
        <f t="shared" si="31"/>
        <v>0</v>
      </c>
      <c r="BJ50" s="85"/>
      <c r="BK50" s="85"/>
      <c r="BL50" s="85"/>
      <c r="BM50" s="84">
        <f t="shared" si="32"/>
        <v>0</v>
      </c>
      <c r="BN50" s="85"/>
      <c r="BO50" s="85"/>
      <c r="BP50" s="85"/>
      <c r="BQ50" s="85"/>
      <c r="BR50" s="85"/>
      <c r="BS50" s="85"/>
      <c r="BT50" s="85"/>
      <c r="BU50" s="85"/>
      <c r="BV50" s="85"/>
      <c r="BW50" s="679">
        <v>259.22000000000003</v>
      </c>
      <c r="BX50" s="663"/>
      <c r="BY50" s="663"/>
      <c r="BZ50" s="663"/>
    </row>
    <row r="51" spans="1:78" s="76" customFormat="1" ht="30" customHeight="1">
      <c r="A51" s="553" t="s">
        <v>45</v>
      </c>
      <c r="B51" s="677" t="s">
        <v>51</v>
      </c>
      <c r="C51" s="677"/>
      <c r="D51" s="677"/>
      <c r="E51" s="677"/>
      <c r="F51" s="677"/>
      <c r="G51" s="677"/>
      <c r="H51" s="677"/>
      <c r="I51" s="677"/>
      <c r="J51" s="677"/>
      <c r="K51" s="677"/>
      <c r="L51" s="677"/>
      <c r="M51" s="689">
        <f>SUM(M52:M90)</f>
        <v>68069.746232000005</v>
      </c>
      <c r="N51" s="689">
        <f t="shared" ref="N51:BU51" si="37">SUM(N52:N90)</f>
        <v>0</v>
      </c>
      <c r="O51" s="689">
        <f t="shared" si="37"/>
        <v>20960</v>
      </c>
      <c r="P51" s="689">
        <f t="shared" si="37"/>
        <v>47109.746231999998</v>
      </c>
      <c r="Q51" s="689">
        <f t="shared" si="37"/>
        <v>0</v>
      </c>
      <c r="R51" s="689">
        <f t="shared" si="37"/>
        <v>0</v>
      </c>
      <c r="S51" s="689">
        <f t="shared" si="37"/>
        <v>20818</v>
      </c>
      <c r="T51" s="689">
        <f t="shared" si="37"/>
        <v>0</v>
      </c>
      <c r="U51" s="689">
        <f t="shared" si="37"/>
        <v>19960</v>
      </c>
      <c r="V51" s="689">
        <f t="shared" si="37"/>
        <v>858</v>
      </c>
      <c r="W51" s="689">
        <f t="shared" si="37"/>
        <v>44683.591567999996</v>
      </c>
      <c r="X51" s="689">
        <f t="shared" si="37"/>
        <v>0</v>
      </c>
      <c r="Y51" s="689">
        <f t="shared" si="37"/>
        <v>19960</v>
      </c>
      <c r="Z51" s="689">
        <f t="shared" si="37"/>
        <v>44683.591567999996</v>
      </c>
      <c r="AA51" s="690">
        <f t="shared" si="37"/>
        <v>28177.450664</v>
      </c>
      <c r="AB51" s="689">
        <f t="shared" si="37"/>
        <v>1699.0630000000001</v>
      </c>
      <c r="AC51" s="689">
        <f t="shared" si="37"/>
        <v>14807.077904</v>
      </c>
      <c r="AD51" s="689">
        <f t="shared" si="37"/>
        <v>53099.04411699999</v>
      </c>
      <c r="AE51" s="689">
        <f t="shared" si="37"/>
        <v>0</v>
      </c>
      <c r="AF51" s="689">
        <f t="shared" si="37"/>
        <v>19960</v>
      </c>
      <c r="AG51" s="689">
        <f t="shared" si="37"/>
        <v>33968.591567999996</v>
      </c>
      <c r="AH51" s="689">
        <f t="shared" si="37"/>
        <v>17490.450664</v>
      </c>
      <c r="AI51" s="689">
        <f t="shared" si="37"/>
        <v>3085</v>
      </c>
      <c r="AJ51" s="689">
        <f t="shared" si="37"/>
        <v>699.06299999999999</v>
      </c>
      <c r="AK51" s="689">
        <f t="shared" si="37"/>
        <v>12694.077904</v>
      </c>
      <c r="AL51" s="689">
        <f t="shared" si="37"/>
        <v>34245.017655999996</v>
      </c>
      <c r="AM51" s="689">
        <f t="shared" si="37"/>
        <v>0</v>
      </c>
      <c r="AN51" s="689">
        <f t="shared" si="37"/>
        <v>0</v>
      </c>
      <c r="AO51" s="689">
        <f t="shared" si="37"/>
        <v>34245.017655999996</v>
      </c>
      <c r="AP51" s="689">
        <f t="shared" si="37"/>
        <v>17903.966698</v>
      </c>
      <c r="AQ51" s="689">
        <f t="shared" si="37"/>
        <v>3071.1689999999999</v>
      </c>
      <c r="AR51" s="689">
        <f t="shared" si="37"/>
        <v>699.06299999999999</v>
      </c>
      <c r="AS51" s="689">
        <f t="shared" si="37"/>
        <v>12570.818958000002</v>
      </c>
      <c r="AT51" s="689">
        <f t="shared" si="37"/>
        <v>9207.86</v>
      </c>
      <c r="AU51" s="689">
        <f t="shared" si="37"/>
        <v>0</v>
      </c>
      <c r="AV51" s="689">
        <f t="shared" si="37"/>
        <v>0</v>
      </c>
      <c r="AW51" s="689">
        <f t="shared" si="37"/>
        <v>9207.86</v>
      </c>
      <c r="AX51" s="689">
        <f t="shared" si="37"/>
        <v>6094.8600000000006</v>
      </c>
      <c r="AY51" s="689">
        <f t="shared" si="37"/>
        <v>1000</v>
      </c>
      <c r="AZ51" s="689">
        <f t="shared" si="37"/>
        <v>2113</v>
      </c>
      <c r="BA51" s="689">
        <f t="shared" si="37"/>
        <v>9105.469000000001</v>
      </c>
      <c r="BB51" s="689">
        <f t="shared" si="37"/>
        <v>0</v>
      </c>
      <c r="BC51" s="689">
        <f t="shared" si="37"/>
        <v>0</v>
      </c>
      <c r="BD51" s="689">
        <f t="shared" si="37"/>
        <v>9105.469000000001</v>
      </c>
      <c r="BE51" s="689">
        <f t="shared" si="37"/>
        <v>6015.2970000000005</v>
      </c>
      <c r="BF51" s="689">
        <f t="shared" si="37"/>
        <v>0</v>
      </c>
      <c r="BG51" s="689">
        <f t="shared" si="37"/>
        <v>1000</v>
      </c>
      <c r="BH51" s="689">
        <f t="shared" si="37"/>
        <v>2090.172</v>
      </c>
      <c r="BI51" s="689">
        <f t="shared" si="37"/>
        <v>32.932873000000001</v>
      </c>
      <c r="BJ51" s="689">
        <f t="shared" si="37"/>
        <v>0</v>
      </c>
      <c r="BK51" s="689">
        <f t="shared" si="37"/>
        <v>0</v>
      </c>
      <c r="BL51" s="689">
        <f t="shared" si="37"/>
        <v>32.932873000000001</v>
      </c>
      <c r="BM51" s="689">
        <f t="shared" si="37"/>
        <v>18.985216999999999</v>
      </c>
      <c r="BN51" s="689">
        <f t="shared" si="37"/>
        <v>0</v>
      </c>
      <c r="BO51" s="689">
        <f t="shared" si="37"/>
        <v>0</v>
      </c>
      <c r="BP51" s="689">
        <f t="shared" si="37"/>
        <v>18.985216999999999</v>
      </c>
      <c r="BQ51" s="689">
        <f t="shared" si="37"/>
        <v>0</v>
      </c>
      <c r="BR51" s="689">
        <f t="shared" si="37"/>
        <v>0</v>
      </c>
      <c r="BS51" s="689">
        <f t="shared" si="37"/>
        <v>0</v>
      </c>
      <c r="BT51" s="689">
        <f t="shared" si="37"/>
        <v>0</v>
      </c>
      <c r="BU51" s="689">
        <f t="shared" si="37"/>
        <v>28.514872999999998</v>
      </c>
      <c r="BV51" s="677"/>
      <c r="BW51" s="679"/>
      <c r="BX51" s="663"/>
      <c r="BY51" s="663"/>
      <c r="BZ51" s="663"/>
    </row>
    <row r="52" spans="1:78" s="77" customFormat="1" ht="51" customHeight="1" outlineLevel="1">
      <c r="A52" s="659">
        <v>1</v>
      </c>
      <c r="B52" s="666" t="s">
        <v>656</v>
      </c>
      <c r="C52" s="661" t="s">
        <v>580</v>
      </c>
      <c r="D52" s="85" t="s">
        <v>48</v>
      </c>
      <c r="E52" s="674"/>
      <c r="F52" s="661" t="s">
        <v>638</v>
      </c>
      <c r="G52" s="661" t="s">
        <v>49</v>
      </c>
      <c r="H52" s="661" t="s">
        <v>652</v>
      </c>
      <c r="I52" s="662">
        <v>2021</v>
      </c>
      <c r="J52" s="661">
        <v>2021</v>
      </c>
      <c r="K52" s="661" t="s">
        <v>575</v>
      </c>
      <c r="L52" s="85" t="s">
        <v>657</v>
      </c>
      <c r="M52" s="84">
        <f t="shared" si="33"/>
        <v>250</v>
      </c>
      <c r="N52" s="674"/>
      <c r="O52" s="674"/>
      <c r="P52" s="84">
        <v>250</v>
      </c>
      <c r="Q52" s="85"/>
      <c r="R52" s="661" t="s">
        <v>644</v>
      </c>
      <c r="S52" s="84"/>
      <c r="T52" s="85"/>
      <c r="U52" s="84"/>
      <c r="V52" s="84"/>
      <c r="W52" s="84">
        <f t="shared" si="26"/>
        <v>250</v>
      </c>
      <c r="X52" s="85"/>
      <c r="Y52" s="85"/>
      <c r="Z52" s="85">
        <f t="shared" si="28"/>
        <v>250</v>
      </c>
      <c r="AA52" s="84">
        <f>250</f>
        <v>250</v>
      </c>
      <c r="AB52" s="85"/>
      <c r="AC52" s="84"/>
      <c r="AD52" s="84">
        <f t="shared" si="34"/>
        <v>250</v>
      </c>
      <c r="AE52" s="85"/>
      <c r="AF52" s="85"/>
      <c r="AG52" s="84">
        <f t="shared" si="29"/>
        <v>250</v>
      </c>
      <c r="AH52" s="84">
        <f>250</f>
        <v>250</v>
      </c>
      <c r="AI52" s="85"/>
      <c r="AJ52" s="85"/>
      <c r="AK52" s="84"/>
      <c r="AL52" s="84">
        <f t="shared" si="35"/>
        <v>246.94349099999999</v>
      </c>
      <c r="AM52" s="85"/>
      <c r="AN52" s="84"/>
      <c r="AO52" s="84">
        <f t="shared" si="36"/>
        <v>246.94349099999999</v>
      </c>
      <c r="AP52" s="84">
        <f>246.943491</f>
        <v>246.94349099999999</v>
      </c>
      <c r="AQ52" s="85"/>
      <c r="AR52" s="85"/>
      <c r="AS52" s="84"/>
      <c r="AT52" s="85">
        <f t="shared" si="27"/>
        <v>0</v>
      </c>
      <c r="AU52" s="85"/>
      <c r="AV52" s="85"/>
      <c r="AW52" s="85">
        <f t="shared" si="30"/>
        <v>0</v>
      </c>
      <c r="AX52" s="85">
        <v>0</v>
      </c>
      <c r="AY52" s="85"/>
      <c r="AZ52" s="84"/>
      <c r="BA52" s="85"/>
      <c r="BB52" s="85"/>
      <c r="BC52" s="85"/>
      <c r="BD52" s="85"/>
      <c r="BE52" s="85"/>
      <c r="BF52" s="85"/>
      <c r="BG52" s="85"/>
      <c r="BH52" s="85"/>
      <c r="BI52" s="84">
        <f t="shared" si="31"/>
        <v>0</v>
      </c>
      <c r="BJ52" s="85"/>
      <c r="BK52" s="85"/>
      <c r="BL52" s="85"/>
      <c r="BM52" s="84">
        <f t="shared" si="32"/>
        <v>0</v>
      </c>
      <c r="BN52" s="85"/>
      <c r="BO52" s="85"/>
      <c r="BP52" s="85"/>
      <c r="BQ52" s="85"/>
      <c r="BR52" s="85"/>
      <c r="BS52" s="85"/>
      <c r="BT52" s="85"/>
      <c r="BU52" s="85"/>
      <c r="BV52" s="85"/>
      <c r="BW52" s="679">
        <v>250</v>
      </c>
      <c r="BX52" s="663"/>
      <c r="BY52" s="663"/>
      <c r="BZ52" s="663"/>
    </row>
    <row r="53" spans="1:78" s="26" customFormat="1" ht="69" customHeight="1" outlineLevel="1">
      <c r="A53" s="659">
        <v>2</v>
      </c>
      <c r="B53" s="666" t="s">
        <v>658</v>
      </c>
      <c r="C53" s="661" t="s">
        <v>580</v>
      </c>
      <c r="D53" s="85" t="s">
        <v>105</v>
      </c>
      <c r="E53" s="674"/>
      <c r="F53" s="661" t="s">
        <v>638</v>
      </c>
      <c r="G53" s="661" t="s">
        <v>49</v>
      </c>
      <c r="H53" s="661" t="s">
        <v>660</v>
      </c>
      <c r="I53" s="662">
        <v>2021</v>
      </c>
      <c r="J53" s="661">
        <v>2021</v>
      </c>
      <c r="K53" s="661" t="s">
        <v>575</v>
      </c>
      <c r="L53" s="85" t="s">
        <v>659</v>
      </c>
      <c r="M53" s="84">
        <f>N53+O53+P53</f>
        <v>4400</v>
      </c>
      <c r="N53" s="674"/>
      <c r="O53" s="674"/>
      <c r="P53" s="84">
        <v>4400</v>
      </c>
      <c r="Q53" s="85"/>
      <c r="R53" s="661" t="s">
        <v>644</v>
      </c>
      <c r="S53" s="84"/>
      <c r="T53" s="85"/>
      <c r="U53" s="84"/>
      <c r="V53" s="84"/>
      <c r="W53" s="84">
        <f t="shared" si="26"/>
        <v>4254</v>
      </c>
      <c r="X53" s="85"/>
      <c r="Y53" s="85"/>
      <c r="Z53" s="85">
        <f t="shared" si="28"/>
        <v>4254</v>
      </c>
      <c r="AA53" s="84">
        <v>4254</v>
      </c>
      <c r="AB53" s="85"/>
      <c r="AC53" s="84"/>
      <c r="AD53" s="84">
        <f t="shared" si="34"/>
        <v>4254</v>
      </c>
      <c r="AE53" s="85"/>
      <c r="AF53" s="85"/>
      <c r="AG53" s="84">
        <f t="shared" si="29"/>
        <v>4254</v>
      </c>
      <c r="AH53" s="84">
        <f>1680+34+500</f>
        <v>2214</v>
      </c>
      <c r="AI53" s="85">
        <f>1020+1020</f>
        <v>2040</v>
      </c>
      <c r="AJ53" s="85"/>
      <c r="AK53" s="84"/>
      <c r="AL53" s="84">
        <f>AM53+AN53+AO53</f>
        <v>4236.817</v>
      </c>
      <c r="AM53" s="85"/>
      <c r="AN53" s="84"/>
      <c r="AO53" s="84">
        <f t="shared" si="36"/>
        <v>4236.817</v>
      </c>
      <c r="AP53" s="84">
        <f>1676.648+34+500</f>
        <v>2210.6480000000001</v>
      </c>
      <c r="AQ53" s="85">
        <f>1020+978.859+27.31</f>
        <v>2026.1689999999999</v>
      </c>
      <c r="AR53" s="85"/>
      <c r="AS53" s="84"/>
      <c r="AT53" s="85">
        <f t="shared" si="27"/>
        <v>0</v>
      </c>
      <c r="AU53" s="85"/>
      <c r="AV53" s="85"/>
      <c r="AW53" s="85">
        <f t="shared" si="30"/>
        <v>0</v>
      </c>
      <c r="AX53" s="85">
        <v>0</v>
      </c>
      <c r="AY53" s="85"/>
      <c r="AZ53" s="84"/>
      <c r="BA53" s="85"/>
      <c r="BB53" s="85"/>
      <c r="BC53" s="85"/>
      <c r="BD53" s="85"/>
      <c r="BE53" s="85"/>
      <c r="BF53" s="85"/>
      <c r="BG53" s="85"/>
      <c r="BH53" s="85"/>
      <c r="BI53" s="84">
        <f t="shared" si="31"/>
        <v>0</v>
      </c>
      <c r="BJ53" s="85"/>
      <c r="BK53" s="85"/>
      <c r="BL53" s="85"/>
      <c r="BM53" s="84">
        <f t="shared" si="32"/>
        <v>0</v>
      </c>
      <c r="BN53" s="85"/>
      <c r="BO53" s="85"/>
      <c r="BP53" s="85"/>
      <c r="BQ53" s="85"/>
      <c r="BR53" s="85"/>
      <c r="BS53" s="85"/>
      <c r="BT53" s="85"/>
      <c r="BU53" s="85"/>
      <c r="BV53" s="85"/>
      <c r="BW53" s="679">
        <f>1680+34+500</f>
        <v>2214</v>
      </c>
      <c r="BX53" s="663">
        <f>1020+1020</f>
        <v>2040</v>
      </c>
      <c r="BY53" s="663"/>
      <c r="BZ53" s="663"/>
    </row>
    <row r="54" spans="1:78" s="26" customFormat="1" ht="60.75" customHeight="1" outlineLevel="1">
      <c r="A54" s="659">
        <v>3</v>
      </c>
      <c r="B54" s="660" t="s">
        <v>661</v>
      </c>
      <c r="C54" s="661" t="s">
        <v>580</v>
      </c>
      <c r="D54" s="661" t="s">
        <v>105</v>
      </c>
      <c r="E54" s="85"/>
      <c r="F54" s="85" t="s">
        <v>638</v>
      </c>
      <c r="G54" s="85" t="s">
        <v>49</v>
      </c>
      <c r="H54" s="661" t="s">
        <v>652</v>
      </c>
      <c r="I54" s="662">
        <v>2021</v>
      </c>
      <c r="J54" s="661">
        <v>2021</v>
      </c>
      <c r="K54" s="661" t="s">
        <v>575</v>
      </c>
      <c r="L54" s="661" t="s">
        <v>662</v>
      </c>
      <c r="M54" s="85">
        <f t="shared" si="33"/>
        <v>540</v>
      </c>
      <c r="N54" s="85"/>
      <c r="O54" s="84"/>
      <c r="P54" s="667">
        <v>540</v>
      </c>
      <c r="Q54" s="85"/>
      <c r="R54" s="85" t="s">
        <v>644</v>
      </c>
      <c r="S54" s="85"/>
      <c r="T54" s="85"/>
      <c r="U54" s="85"/>
      <c r="V54" s="85"/>
      <c r="W54" s="84">
        <f t="shared" si="26"/>
        <v>540</v>
      </c>
      <c r="X54" s="85"/>
      <c r="Y54" s="84"/>
      <c r="Z54" s="85">
        <f t="shared" si="28"/>
        <v>540</v>
      </c>
      <c r="AA54" s="85">
        <v>540</v>
      </c>
      <c r="AB54" s="85"/>
      <c r="AC54" s="85"/>
      <c r="AD54" s="85">
        <f t="shared" si="34"/>
        <v>540</v>
      </c>
      <c r="AE54" s="85"/>
      <c r="AF54" s="84"/>
      <c r="AG54" s="84">
        <f t="shared" si="29"/>
        <v>540</v>
      </c>
      <c r="AH54" s="85">
        <v>540</v>
      </c>
      <c r="AI54" s="85"/>
      <c r="AJ54" s="85"/>
      <c r="AK54" s="85"/>
      <c r="AL54" s="84">
        <f>AM54+AN54+AO54</f>
        <v>515.65253099999995</v>
      </c>
      <c r="AM54" s="85"/>
      <c r="AN54" s="84"/>
      <c r="AO54" s="84">
        <f t="shared" si="36"/>
        <v>515.65253099999995</v>
      </c>
      <c r="AP54" s="85">
        <v>515.65253099999995</v>
      </c>
      <c r="AQ54" s="85"/>
      <c r="AR54" s="85"/>
      <c r="AS54" s="85"/>
      <c r="AT54" s="85">
        <f t="shared" si="27"/>
        <v>0</v>
      </c>
      <c r="AU54" s="85"/>
      <c r="AV54" s="85"/>
      <c r="AW54" s="85">
        <f t="shared" si="30"/>
        <v>0</v>
      </c>
      <c r="AX54" s="85">
        <v>0</v>
      </c>
      <c r="AY54" s="85"/>
      <c r="AZ54" s="85"/>
      <c r="BA54" s="85"/>
      <c r="BB54" s="85"/>
      <c r="BC54" s="85"/>
      <c r="BD54" s="85"/>
      <c r="BE54" s="85"/>
      <c r="BF54" s="85"/>
      <c r="BG54" s="85"/>
      <c r="BH54" s="85"/>
      <c r="BI54" s="84">
        <f t="shared" si="31"/>
        <v>0</v>
      </c>
      <c r="BJ54" s="85"/>
      <c r="BK54" s="85"/>
      <c r="BL54" s="85"/>
      <c r="BM54" s="84">
        <f t="shared" si="32"/>
        <v>0</v>
      </c>
      <c r="BN54" s="85"/>
      <c r="BO54" s="85"/>
      <c r="BP54" s="85"/>
      <c r="BQ54" s="85"/>
      <c r="BR54" s="85"/>
      <c r="BS54" s="85"/>
      <c r="BT54" s="85"/>
      <c r="BU54" s="85"/>
      <c r="BV54" s="85"/>
      <c r="BW54" s="663">
        <v>540</v>
      </c>
      <c r="BX54" s="663"/>
      <c r="BY54" s="663"/>
      <c r="BZ54" s="663"/>
    </row>
    <row r="55" spans="1:78" s="26" customFormat="1" ht="62.25" customHeight="1" outlineLevel="1">
      <c r="A55" s="659">
        <v>4</v>
      </c>
      <c r="B55" s="660" t="s">
        <v>639</v>
      </c>
      <c r="C55" s="661" t="s">
        <v>580</v>
      </c>
      <c r="D55" s="661" t="s">
        <v>48</v>
      </c>
      <c r="E55" s="85"/>
      <c r="F55" s="85" t="s">
        <v>638</v>
      </c>
      <c r="G55" s="85" t="s">
        <v>49</v>
      </c>
      <c r="H55" s="661" t="s">
        <v>652</v>
      </c>
      <c r="I55" s="662" t="s">
        <v>69</v>
      </c>
      <c r="J55" s="661" t="s">
        <v>69</v>
      </c>
      <c r="K55" s="661" t="s">
        <v>575</v>
      </c>
      <c r="L55" s="661" t="s">
        <v>663</v>
      </c>
      <c r="M55" s="85">
        <f>N55+O55+P55</f>
        <v>1150</v>
      </c>
      <c r="N55" s="85"/>
      <c r="O55" s="84"/>
      <c r="P55" s="667">
        <v>1150</v>
      </c>
      <c r="Q55" s="85"/>
      <c r="R55" s="85" t="s">
        <v>644</v>
      </c>
      <c r="S55" s="84">
        <f t="shared" ref="S55:S56" si="38">T55+U55+V55</f>
        <v>858</v>
      </c>
      <c r="T55" s="85"/>
      <c r="U55" s="85"/>
      <c r="V55" s="85">
        <v>858</v>
      </c>
      <c r="W55" s="84">
        <f t="shared" si="26"/>
        <v>1150</v>
      </c>
      <c r="X55" s="85"/>
      <c r="Y55" s="84"/>
      <c r="Z55" s="85">
        <f t="shared" si="28"/>
        <v>1150</v>
      </c>
      <c r="AA55" s="85">
        <v>1150</v>
      </c>
      <c r="AB55" s="85"/>
      <c r="AC55" s="85"/>
      <c r="AD55" s="85">
        <f t="shared" si="34"/>
        <v>1150</v>
      </c>
      <c r="AE55" s="85"/>
      <c r="AF55" s="84"/>
      <c r="AG55" s="84">
        <f t="shared" si="29"/>
        <v>1150</v>
      </c>
      <c r="AH55" s="85">
        <v>1150</v>
      </c>
      <c r="AI55" s="85"/>
      <c r="AJ55" s="85"/>
      <c r="AK55" s="85"/>
      <c r="AL55" s="85">
        <f t="shared" ref="AL55:AL86" si="39">AM55+AN55+AO55</f>
        <v>246</v>
      </c>
      <c r="AM55" s="85"/>
      <c r="AN55" s="84"/>
      <c r="AO55" s="84">
        <f t="shared" si="36"/>
        <v>246</v>
      </c>
      <c r="AP55" s="85">
        <f>246</f>
        <v>246</v>
      </c>
      <c r="AQ55" s="85"/>
      <c r="AR55" s="85"/>
      <c r="AS55" s="85"/>
      <c r="AT55" s="85">
        <f t="shared" si="27"/>
        <v>0</v>
      </c>
      <c r="AU55" s="85"/>
      <c r="AV55" s="85"/>
      <c r="AW55" s="85">
        <f t="shared" si="30"/>
        <v>0</v>
      </c>
      <c r="AX55" s="85">
        <v>0</v>
      </c>
      <c r="AY55" s="85"/>
      <c r="AZ55" s="85"/>
      <c r="BA55" s="85"/>
      <c r="BB55" s="85"/>
      <c r="BC55" s="85"/>
      <c r="BD55" s="85"/>
      <c r="BE55" s="85"/>
      <c r="BF55" s="85"/>
      <c r="BG55" s="85"/>
      <c r="BH55" s="85"/>
      <c r="BI55" s="84">
        <f t="shared" si="31"/>
        <v>0</v>
      </c>
      <c r="BJ55" s="85"/>
      <c r="BK55" s="85"/>
      <c r="BL55" s="85"/>
      <c r="BM55" s="84">
        <f t="shared" si="32"/>
        <v>0</v>
      </c>
      <c r="BN55" s="85"/>
      <c r="BO55" s="85"/>
      <c r="BP55" s="85"/>
      <c r="BQ55" s="85"/>
      <c r="BR55" s="85"/>
      <c r="BS55" s="85"/>
      <c r="BT55" s="85"/>
      <c r="BU55" s="85"/>
      <c r="BV55" s="85"/>
      <c r="BW55" s="663">
        <v>1150</v>
      </c>
      <c r="BX55" s="663"/>
      <c r="BY55" s="663"/>
      <c r="BZ55" s="663"/>
    </row>
    <row r="56" spans="1:78" s="26" customFormat="1" ht="50.25" customHeight="1" outlineLevel="1">
      <c r="A56" s="659">
        <v>5</v>
      </c>
      <c r="B56" s="660" t="s">
        <v>664</v>
      </c>
      <c r="C56" s="661" t="s">
        <v>613</v>
      </c>
      <c r="D56" s="661" t="s">
        <v>48</v>
      </c>
      <c r="E56" s="85"/>
      <c r="F56" s="85" t="s">
        <v>638</v>
      </c>
      <c r="G56" s="85" t="s">
        <v>49</v>
      </c>
      <c r="H56" s="661" t="s">
        <v>660</v>
      </c>
      <c r="I56" s="662" t="s">
        <v>69</v>
      </c>
      <c r="J56" s="661" t="s">
        <v>69</v>
      </c>
      <c r="K56" s="661" t="s">
        <v>575</v>
      </c>
      <c r="L56" s="661" t="s">
        <v>665</v>
      </c>
      <c r="M56" s="85">
        <f>N56+O56+P56</f>
        <v>21750</v>
      </c>
      <c r="N56" s="85"/>
      <c r="O56" s="84">
        <v>20960</v>
      </c>
      <c r="P56" s="667">
        <v>790</v>
      </c>
      <c r="Q56" s="85"/>
      <c r="R56" s="85" t="s">
        <v>644</v>
      </c>
      <c r="S56" s="84">
        <f t="shared" si="38"/>
        <v>19960</v>
      </c>
      <c r="T56" s="85"/>
      <c r="U56" s="85">
        <v>19960</v>
      </c>
      <c r="V56" s="85"/>
      <c r="W56" s="84">
        <f t="shared" si="26"/>
        <v>790</v>
      </c>
      <c r="X56" s="85"/>
      <c r="Y56" s="84">
        <v>19960</v>
      </c>
      <c r="Z56" s="85">
        <f t="shared" si="28"/>
        <v>790</v>
      </c>
      <c r="AA56" s="85">
        <v>790</v>
      </c>
      <c r="AB56" s="85"/>
      <c r="AC56" s="85"/>
      <c r="AD56" s="85">
        <f t="shared" si="34"/>
        <v>20750</v>
      </c>
      <c r="AE56" s="85"/>
      <c r="AF56" s="84">
        <v>19960</v>
      </c>
      <c r="AG56" s="84">
        <f t="shared" si="29"/>
        <v>790</v>
      </c>
      <c r="AH56" s="85">
        <v>790</v>
      </c>
      <c r="AI56" s="85"/>
      <c r="AJ56" s="85"/>
      <c r="AK56" s="85"/>
      <c r="AL56" s="85">
        <f t="shared" si="39"/>
        <v>790</v>
      </c>
      <c r="AM56" s="85"/>
      <c r="AN56" s="84"/>
      <c r="AO56" s="84">
        <f t="shared" si="36"/>
        <v>790</v>
      </c>
      <c r="AP56" s="85">
        <v>790</v>
      </c>
      <c r="AQ56" s="85"/>
      <c r="AR56" s="85"/>
      <c r="AS56" s="85"/>
      <c r="AT56" s="85">
        <f t="shared" si="27"/>
        <v>0</v>
      </c>
      <c r="AU56" s="85"/>
      <c r="AV56" s="85"/>
      <c r="AW56" s="85">
        <f t="shared" si="30"/>
        <v>0</v>
      </c>
      <c r="AX56" s="85">
        <v>0</v>
      </c>
      <c r="AY56" s="85"/>
      <c r="AZ56" s="85"/>
      <c r="BA56" s="85"/>
      <c r="BB56" s="85"/>
      <c r="BC56" s="85"/>
      <c r="BD56" s="85"/>
      <c r="BE56" s="85"/>
      <c r="BF56" s="85"/>
      <c r="BG56" s="85"/>
      <c r="BH56" s="85"/>
      <c r="BI56" s="84">
        <f t="shared" si="31"/>
        <v>0</v>
      </c>
      <c r="BJ56" s="85"/>
      <c r="BK56" s="85"/>
      <c r="BL56" s="85"/>
      <c r="BM56" s="84">
        <f t="shared" si="32"/>
        <v>0</v>
      </c>
      <c r="BN56" s="85"/>
      <c r="BO56" s="85"/>
      <c r="BP56" s="85"/>
      <c r="BQ56" s="85"/>
      <c r="BR56" s="85"/>
      <c r="BS56" s="85"/>
      <c r="BT56" s="85"/>
      <c r="BU56" s="85"/>
      <c r="BV56" s="85"/>
      <c r="BW56" s="663">
        <v>790</v>
      </c>
      <c r="BX56" s="663"/>
      <c r="BY56" s="663"/>
      <c r="BZ56" s="663"/>
    </row>
    <row r="57" spans="1:78" s="26" customFormat="1" ht="54.75" customHeight="1" outlineLevel="1">
      <c r="A57" s="659">
        <v>6</v>
      </c>
      <c r="B57" s="660" t="s">
        <v>666</v>
      </c>
      <c r="C57" s="661" t="s">
        <v>77</v>
      </c>
      <c r="D57" s="661" t="s">
        <v>105</v>
      </c>
      <c r="E57" s="85"/>
      <c r="F57" s="85" t="s">
        <v>638</v>
      </c>
      <c r="G57" s="85" t="s">
        <v>49</v>
      </c>
      <c r="H57" s="661" t="s">
        <v>652</v>
      </c>
      <c r="I57" s="662">
        <v>2021</v>
      </c>
      <c r="J57" s="661">
        <v>2021</v>
      </c>
      <c r="K57" s="661" t="s">
        <v>575</v>
      </c>
      <c r="L57" s="661" t="s">
        <v>667</v>
      </c>
      <c r="M57" s="85">
        <f>N57+O57+P57</f>
        <v>994</v>
      </c>
      <c r="N57" s="85"/>
      <c r="O57" s="84"/>
      <c r="P57" s="84">
        <v>994</v>
      </c>
      <c r="Q57" s="85"/>
      <c r="R57" s="85" t="s">
        <v>644</v>
      </c>
      <c r="S57" s="85"/>
      <c r="T57" s="85"/>
      <c r="U57" s="85"/>
      <c r="V57" s="85"/>
      <c r="W57" s="84">
        <f t="shared" si="26"/>
        <v>856.97813099999996</v>
      </c>
      <c r="X57" s="85"/>
      <c r="Y57" s="84"/>
      <c r="Z57" s="85">
        <f t="shared" si="28"/>
        <v>856.97813099999996</v>
      </c>
      <c r="AA57" s="85">
        <v>600</v>
      </c>
      <c r="AB57" s="85">
        <v>183.13900000000001</v>
      </c>
      <c r="AC57" s="85">
        <v>73.839130999999995</v>
      </c>
      <c r="AD57" s="85">
        <f t="shared" si="34"/>
        <v>856.97813099999996</v>
      </c>
      <c r="AE57" s="85"/>
      <c r="AF57" s="84"/>
      <c r="AG57" s="84">
        <f t="shared" si="29"/>
        <v>856.97813099999996</v>
      </c>
      <c r="AH57" s="85">
        <v>600</v>
      </c>
      <c r="AI57" s="85"/>
      <c r="AJ57" s="85">
        <v>183.13900000000001</v>
      </c>
      <c r="AK57" s="85">
        <v>73.839130999999995</v>
      </c>
      <c r="AL57" s="85">
        <f t="shared" si="39"/>
        <v>850.85550899999998</v>
      </c>
      <c r="AM57" s="85"/>
      <c r="AN57" s="84"/>
      <c r="AO57" s="84">
        <f t="shared" si="36"/>
        <v>850.85550899999998</v>
      </c>
      <c r="AP57" s="85">
        <v>600</v>
      </c>
      <c r="AQ57" s="85"/>
      <c r="AR57" s="85">
        <v>183.13900000000001</v>
      </c>
      <c r="AS57" s="85">
        <v>67.716509000000002</v>
      </c>
      <c r="AT57" s="85">
        <f t="shared" si="27"/>
        <v>0</v>
      </c>
      <c r="AU57" s="85"/>
      <c r="AV57" s="85"/>
      <c r="AW57" s="85">
        <f t="shared" si="30"/>
        <v>0</v>
      </c>
      <c r="AX57" s="85">
        <v>0</v>
      </c>
      <c r="AY57" s="85"/>
      <c r="AZ57" s="85"/>
      <c r="BA57" s="85"/>
      <c r="BB57" s="85"/>
      <c r="BC57" s="85"/>
      <c r="BD57" s="85"/>
      <c r="BE57" s="85"/>
      <c r="BF57" s="85"/>
      <c r="BG57" s="85"/>
      <c r="BH57" s="85"/>
      <c r="BI57" s="84">
        <f t="shared" si="31"/>
        <v>0</v>
      </c>
      <c r="BJ57" s="85"/>
      <c r="BK57" s="85"/>
      <c r="BL57" s="85"/>
      <c r="BM57" s="84">
        <f t="shared" si="32"/>
        <v>0</v>
      </c>
      <c r="BN57" s="85"/>
      <c r="BO57" s="85"/>
      <c r="BP57" s="85"/>
      <c r="BQ57" s="85"/>
      <c r="BR57" s="85"/>
      <c r="BS57" s="85"/>
      <c r="BT57" s="85"/>
      <c r="BU57" s="85"/>
      <c r="BV57" s="85"/>
      <c r="BW57" s="663">
        <v>600</v>
      </c>
      <c r="BX57" s="663"/>
      <c r="BY57" s="663"/>
      <c r="BZ57" s="663"/>
    </row>
    <row r="58" spans="1:78" s="26" customFormat="1" ht="50.25" customHeight="1" outlineLevel="1">
      <c r="A58" s="659">
        <v>8</v>
      </c>
      <c r="B58" s="660" t="s">
        <v>670</v>
      </c>
      <c r="C58" s="661" t="s">
        <v>671</v>
      </c>
      <c r="D58" s="661" t="s">
        <v>105</v>
      </c>
      <c r="E58" s="85"/>
      <c r="F58" s="85" t="s">
        <v>638</v>
      </c>
      <c r="G58" s="85" t="s">
        <v>49</v>
      </c>
      <c r="H58" s="661" t="s">
        <v>660</v>
      </c>
      <c r="I58" s="662">
        <v>2021</v>
      </c>
      <c r="J58" s="661">
        <v>2021</v>
      </c>
      <c r="K58" s="661" t="s">
        <v>575</v>
      </c>
      <c r="L58" s="661" t="s">
        <v>672</v>
      </c>
      <c r="M58" s="85">
        <f t="shared" si="33"/>
        <v>745.84299999999996</v>
      </c>
      <c r="N58" s="85"/>
      <c r="O58" s="84"/>
      <c r="P58" s="84">
        <v>745.84299999999996</v>
      </c>
      <c r="Q58" s="85"/>
      <c r="R58" s="85" t="s">
        <v>644</v>
      </c>
      <c r="S58" s="85"/>
      <c r="T58" s="85"/>
      <c r="U58" s="85"/>
      <c r="V58" s="85"/>
      <c r="W58" s="84">
        <f t="shared" si="26"/>
        <v>747</v>
      </c>
      <c r="X58" s="85"/>
      <c r="Y58" s="84"/>
      <c r="Z58" s="85">
        <f t="shared" si="28"/>
        <v>747</v>
      </c>
      <c r="AA58" s="85">
        <v>747</v>
      </c>
      <c r="AB58" s="85"/>
      <c r="AC58" s="85"/>
      <c r="AD58" s="85">
        <f t="shared" si="34"/>
        <v>747</v>
      </c>
      <c r="AE58" s="85"/>
      <c r="AF58" s="84"/>
      <c r="AG58" s="84">
        <f t="shared" si="29"/>
        <v>747</v>
      </c>
      <c r="AH58" s="85">
        <f>380+367</f>
        <v>747</v>
      </c>
      <c r="AI58" s="85"/>
      <c r="AJ58" s="85"/>
      <c r="AK58" s="85"/>
      <c r="AL58" s="85">
        <f t="shared" si="39"/>
        <v>741.00759799999992</v>
      </c>
      <c r="AM58" s="85"/>
      <c r="AN58" s="84"/>
      <c r="AO58" s="84">
        <f t="shared" si="36"/>
        <v>741.00759799999992</v>
      </c>
      <c r="AP58" s="85">
        <f>380+361.007598</f>
        <v>741.00759799999992</v>
      </c>
      <c r="AQ58" s="85"/>
      <c r="AR58" s="85"/>
      <c r="AS58" s="85"/>
      <c r="AT58" s="85">
        <f t="shared" si="27"/>
        <v>0</v>
      </c>
      <c r="AU58" s="85"/>
      <c r="AV58" s="85"/>
      <c r="AW58" s="85">
        <f t="shared" si="30"/>
        <v>0</v>
      </c>
      <c r="AX58" s="85">
        <v>0</v>
      </c>
      <c r="AY58" s="85"/>
      <c r="AZ58" s="85"/>
      <c r="BA58" s="85"/>
      <c r="BB58" s="85"/>
      <c r="BC58" s="85"/>
      <c r="BD58" s="85"/>
      <c r="BE58" s="85"/>
      <c r="BF58" s="85"/>
      <c r="BG58" s="85"/>
      <c r="BH58" s="85"/>
      <c r="BI58" s="84">
        <f t="shared" si="31"/>
        <v>0</v>
      </c>
      <c r="BJ58" s="85"/>
      <c r="BK58" s="85"/>
      <c r="BL58" s="85"/>
      <c r="BM58" s="84">
        <f t="shared" si="32"/>
        <v>0</v>
      </c>
      <c r="BN58" s="85"/>
      <c r="BO58" s="85"/>
      <c r="BP58" s="85"/>
      <c r="BQ58" s="85"/>
      <c r="BR58" s="85"/>
      <c r="BS58" s="85"/>
      <c r="BT58" s="85"/>
      <c r="BU58" s="85"/>
      <c r="BV58" s="85"/>
      <c r="BW58" s="663">
        <f>380+367</f>
        <v>747</v>
      </c>
      <c r="BX58" s="663"/>
      <c r="BY58" s="663"/>
      <c r="BZ58" s="663"/>
    </row>
    <row r="59" spans="1:78" s="26" customFormat="1" ht="74.25" customHeight="1" outlineLevel="1">
      <c r="A59" s="659">
        <v>9</v>
      </c>
      <c r="B59" s="660" t="s">
        <v>673</v>
      </c>
      <c r="C59" s="661" t="s">
        <v>598</v>
      </c>
      <c r="D59" s="661" t="s">
        <v>105</v>
      </c>
      <c r="E59" s="85"/>
      <c r="F59" s="85" t="s">
        <v>638</v>
      </c>
      <c r="G59" s="85" t="s">
        <v>49</v>
      </c>
      <c r="H59" s="661" t="s">
        <v>652</v>
      </c>
      <c r="I59" s="662">
        <v>2022</v>
      </c>
      <c r="J59" s="661">
        <v>2022</v>
      </c>
      <c r="K59" s="661" t="s">
        <v>575</v>
      </c>
      <c r="L59" s="661" t="s">
        <v>674</v>
      </c>
      <c r="M59" s="85">
        <f t="shared" si="33"/>
        <v>350</v>
      </c>
      <c r="N59" s="85"/>
      <c r="O59" s="84"/>
      <c r="P59" s="84">
        <v>350</v>
      </c>
      <c r="Q59" s="85"/>
      <c r="R59" s="85" t="s">
        <v>644</v>
      </c>
      <c r="S59" s="85"/>
      <c r="T59" s="85"/>
      <c r="U59" s="85"/>
      <c r="V59" s="85"/>
      <c r="W59" s="84">
        <f t="shared" si="26"/>
        <v>350</v>
      </c>
      <c r="X59" s="85"/>
      <c r="Y59" s="84"/>
      <c r="Z59" s="85">
        <f t="shared" si="28"/>
        <v>350</v>
      </c>
      <c r="AA59" s="85">
        <v>350</v>
      </c>
      <c r="AB59" s="85"/>
      <c r="AC59" s="85"/>
      <c r="AD59" s="85">
        <f t="shared" si="34"/>
        <v>350</v>
      </c>
      <c r="AE59" s="85"/>
      <c r="AF59" s="84"/>
      <c r="AG59" s="84">
        <f t="shared" si="29"/>
        <v>350</v>
      </c>
      <c r="AH59" s="85">
        <v>350</v>
      </c>
      <c r="AI59" s="85"/>
      <c r="AJ59" s="85"/>
      <c r="AK59" s="85"/>
      <c r="AL59" s="85">
        <f t="shared" si="39"/>
        <v>343.85505599999999</v>
      </c>
      <c r="AM59" s="85"/>
      <c r="AN59" s="84"/>
      <c r="AO59" s="84">
        <f t="shared" si="36"/>
        <v>343.85505599999999</v>
      </c>
      <c r="AP59" s="85">
        <v>343.85505599999999</v>
      </c>
      <c r="AQ59" s="85"/>
      <c r="AR59" s="85"/>
      <c r="AS59" s="85"/>
      <c r="AT59" s="85">
        <f t="shared" si="27"/>
        <v>0</v>
      </c>
      <c r="AU59" s="85"/>
      <c r="AV59" s="85"/>
      <c r="AW59" s="85">
        <f t="shared" si="30"/>
        <v>0</v>
      </c>
      <c r="AX59" s="85">
        <v>0</v>
      </c>
      <c r="AY59" s="85"/>
      <c r="AZ59" s="85"/>
      <c r="BA59" s="85"/>
      <c r="BB59" s="85"/>
      <c r="BC59" s="85"/>
      <c r="BD59" s="85"/>
      <c r="BE59" s="85"/>
      <c r="BF59" s="85"/>
      <c r="BG59" s="85"/>
      <c r="BH59" s="85"/>
      <c r="BI59" s="84">
        <f t="shared" si="31"/>
        <v>0</v>
      </c>
      <c r="BJ59" s="85"/>
      <c r="BK59" s="85"/>
      <c r="BL59" s="85"/>
      <c r="BM59" s="84">
        <f t="shared" si="32"/>
        <v>0</v>
      </c>
      <c r="BN59" s="85"/>
      <c r="BO59" s="85"/>
      <c r="BP59" s="85"/>
      <c r="BQ59" s="85"/>
      <c r="BR59" s="85"/>
      <c r="BS59" s="85"/>
      <c r="BT59" s="85"/>
      <c r="BU59" s="85"/>
      <c r="BV59" s="85"/>
      <c r="BW59" s="663">
        <v>350</v>
      </c>
      <c r="BX59" s="663"/>
      <c r="BY59" s="663"/>
      <c r="BZ59" s="663"/>
    </row>
    <row r="60" spans="1:78" s="26" customFormat="1" ht="50.25" customHeight="1" outlineLevel="1">
      <c r="A60" s="659">
        <v>10</v>
      </c>
      <c r="B60" s="660" t="s">
        <v>675</v>
      </c>
      <c r="C60" s="661" t="s">
        <v>676</v>
      </c>
      <c r="D60" s="661" t="s">
        <v>105</v>
      </c>
      <c r="E60" s="85"/>
      <c r="F60" s="85" t="s">
        <v>638</v>
      </c>
      <c r="G60" s="85" t="s">
        <v>49</v>
      </c>
      <c r="H60" s="661" t="s">
        <v>678</v>
      </c>
      <c r="I60" s="662">
        <v>2022</v>
      </c>
      <c r="J60" s="661">
        <v>2022</v>
      </c>
      <c r="K60" s="661" t="s">
        <v>575</v>
      </c>
      <c r="L60" s="661" t="s">
        <v>677</v>
      </c>
      <c r="M60" s="85">
        <f t="shared" si="33"/>
        <v>200</v>
      </c>
      <c r="N60" s="85"/>
      <c r="O60" s="84"/>
      <c r="P60" s="84">
        <v>200</v>
      </c>
      <c r="Q60" s="85"/>
      <c r="R60" s="85" t="s">
        <v>644</v>
      </c>
      <c r="S60" s="85"/>
      <c r="T60" s="85"/>
      <c r="U60" s="85"/>
      <c r="V60" s="85"/>
      <c r="W60" s="84">
        <f t="shared" si="26"/>
        <v>200</v>
      </c>
      <c r="X60" s="85"/>
      <c r="Y60" s="84"/>
      <c r="Z60" s="85">
        <f t="shared" si="28"/>
        <v>200</v>
      </c>
      <c r="AA60" s="85">
        <v>200</v>
      </c>
      <c r="AB60" s="85"/>
      <c r="AC60" s="85"/>
      <c r="AD60" s="85">
        <f t="shared" si="34"/>
        <v>200</v>
      </c>
      <c r="AE60" s="85"/>
      <c r="AF60" s="84"/>
      <c r="AG60" s="84">
        <f t="shared" si="29"/>
        <v>200</v>
      </c>
      <c r="AH60" s="85">
        <v>200</v>
      </c>
      <c r="AI60" s="85"/>
      <c r="AJ60" s="85"/>
      <c r="AK60" s="85"/>
      <c r="AL60" s="85">
        <f t="shared" si="39"/>
        <v>197.053</v>
      </c>
      <c r="AM60" s="85"/>
      <c r="AN60" s="84"/>
      <c r="AO60" s="84">
        <f t="shared" si="36"/>
        <v>197.053</v>
      </c>
      <c r="AP60" s="85">
        <v>197.053</v>
      </c>
      <c r="AQ60" s="85"/>
      <c r="AR60" s="85"/>
      <c r="AS60" s="85"/>
      <c r="AT60" s="85">
        <f t="shared" si="27"/>
        <v>0</v>
      </c>
      <c r="AU60" s="85"/>
      <c r="AV60" s="85"/>
      <c r="AW60" s="85">
        <f t="shared" si="30"/>
        <v>0</v>
      </c>
      <c r="AX60" s="85">
        <v>0</v>
      </c>
      <c r="AY60" s="85"/>
      <c r="AZ60" s="85"/>
      <c r="BA60" s="85"/>
      <c r="BB60" s="85"/>
      <c r="BC60" s="85"/>
      <c r="BD60" s="85"/>
      <c r="BE60" s="85"/>
      <c r="BF60" s="85"/>
      <c r="BG60" s="85"/>
      <c r="BH60" s="85"/>
      <c r="BI60" s="84">
        <f t="shared" si="31"/>
        <v>0</v>
      </c>
      <c r="BJ60" s="85"/>
      <c r="BK60" s="85"/>
      <c r="BL60" s="85"/>
      <c r="BM60" s="84">
        <f t="shared" si="32"/>
        <v>0</v>
      </c>
      <c r="BN60" s="85"/>
      <c r="BO60" s="85"/>
      <c r="BP60" s="85"/>
      <c r="BQ60" s="85"/>
      <c r="BR60" s="85"/>
      <c r="BS60" s="85"/>
      <c r="BT60" s="85"/>
      <c r="BU60" s="85"/>
      <c r="BV60" s="85"/>
      <c r="BW60" s="663">
        <v>200</v>
      </c>
      <c r="BX60" s="663"/>
      <c r="BY60" s="663"/>
      <c r="BZ60" s="663"/>
    </row>
    <row r="61" spans="1:78" s="26" customFormat="1" ht="50.25" customHeight="1" outlineLevel="1">
      <c r="A61" s="659">
        <v>11</v>
      </c>
      <c r="B61" s="660" t="s">
        <v>679</v>
      </c>
      <c r="C61" s="661" t="s">
        <v>676</v>
      </c>
      <c r="D61" s="661" t="s">
        <v>78</v>
      </c>
      <c r="E61" s="85"/>
      <c r="F61" s="85" t="s">
        <v>638</v>
      </c>
      <c r="G61" s="85" t="s">
        <v>49</v>
      </c>
      <c r="H61" s="661" t="s">
        <v>678</v>
      </c>
      <c r="I61" s="662">
        <v>2022</v>
      </c>
      <c r="J61" s="661">
        <v>2022</v>
      </c>
      <c r="K61" s="661" t="s">
        <v>575</v>
      </c>
      <c r="L61" s="661" t="s">
        <v>680</v>
      </c>
      <c r="M61" s="85">
        <f t="shared" si="33"/>
        <v>70</v>
      </c>
      <c r="N61" s="85"/>
      <c r="O61" s="84"/>
      <c r="P61" s="84">
        <v>70</v>
      </c>
      <c r="Q61" s="85"/>
      <c r="R61" s="85" t="s">
        <v>644</v>
      </c>
      <c r="S61" s="85"/>
      <c r="T61" s="85"/>
      <c r="U61" s="85"/>
      <c r="V61" s="85"/>
      <c r="W61" s="84">
        <f t="shared" si="26"/>
        <v>70</v>
      </c>
      <c r="X61" s="85"/>
      <c r="Y61" s="84"/>
      <c r="Z61" s="85">
        <f t="shared" si="28"/>
        <v>70</v>
      </c>
      <c r="AA61" s="85">
        <v>70</v>
      </c>
      <c r="AB61" s="85"/>
      <c r="AC61" s="85"/>
      <c r="AD61" s="85">
        <f t="shared" si="34"/>
        <v>70</v>
      </c>
      <c r="AE61" s="85"/>
      <c r="AF61" s="84"/>
      <c r="AG61" s="84">
        <f t="shared" si="29"/>
        <v>70</v>
      </c>
      <c r="AH61" s="85">
        <v>70</v>
      </c>
      <c r="AI61" s="85"/>
      <c r="AJ61" s="85"/>
      <c r="AK61" s="85"/>
      <c r="AL61" s="85">
        <f t="shared" si="39"/>
        <v>69.900999999999996</v>
      </c>
      <c r="AM61" s="85"/>
      <c r="AN61" s="84"/>
      <c r="AO61" s="84">
        <f t="shared" si="36"/>
        <v>69.900999999999996</v>
      </c>
      <c r="AP61" s="85">
        <v>69.900999999999996</v>
      </c>
      <c r="AQ61" s="85"/>
      <c r="AR61" s="85"/>
      <c r="AS61" s="85"/>
      <c r="AT61" s="85">
        <f t="shared" si="27"/>
        <v>0</v>
      </c>
      <c r="AU61" s="85"/>
      <c r="AV61" s="85"/>
      <c r="AW61" s="85">
        <f t="shared" si="30"/>
        <v>0</v>
      </c>
      <c r="AX61" s="85">
        <v>0</v>
      </c>
      <c r="AY61" s="85"/>
      <c r="AZ61" s="85"/>
      <c r="BA61" s="85"/>
      <c r="BB61" s="85"/>
      <c r="BC61" s="85"/>
      <c r="BD61" s="85"/>
      <c r="BE61" s="85"/>
      <c r="BF61" s="85"/>
      <c r="BG61" s="85"/>
      <c r="BH61" s="85"/>
      <c r="BI61" s="84">
        <f t="shared" si="31"/>
        <v>0</v>
      </c>
      <c r="BJ61" s="85"/>
      <c r="BK61" s="85"/>
      <c r="BL61" s="85"/>
      <c r="BM61" s="84">
        <f t="shared" si="32"/>
        <v>0</v>
      </c>
      <c r="BN61" s="85"/>
      <c r="BO61" s="85"/>
      <c r="BP61" s="85"/>
      <c r="BQ61" s="85"/>
      <c r="BR61" s="85"/>
      <c r="BS61" s="85"/>
      <c r="BT61" s="85"/>
      <c r="BU61" s="85"/>
      <c r="BV61" s="85"/>
      <c r="BW61" s="663">
        <v>70</v>
      </c>
      <c r="BX61" s="663"/>
      <c r="BY61" s="663"/>
      <c r="BZ61" s="663"/>
    </row>
    <row r="62" spans="1:78" s="26" customFormat="1" ht="70.5" customHeight="1" outlineLevel="1">
      <c r="A62" s="659">
        <v>12</v>
      </c>
      <c r="B62" s="660" t="s">
        <v>681</v>
      </c>
      <c r="C62" s="661" t="s">
        <v>598</v>
      </c>
      <c r="D62" s="661" t="s">
        <v>105</v>
      </c>
      <c r="E62" s="85"/>
      <c r="F62" s="85" t="s">
        <v>638</v>
      </c>
      <c r="G62" s="85" t="s">
        <v>49</v>
      </c>
      <c r="H62" s="661" t="s">
        <v>652</v>
      </c>
      <c r="I62" s="662">
        <v>2022</v>
      </c>
      <c r="J62" s="661">
        <v>2022</v>
      </c>
      <c r="K62" s="661" t="s">
        <v>575</v>
      </c>
      <c r="L62" s="661" t="s">
        <v>682</v>
      </c>
      <c r="M62" s="85">
        <f t="shared" si="33"/>
        <v>650</v>
      </c>
      <c r="N62" s="85"/>
      <c r="O62" s="84"/>
      <c r="P62" s="84">
        <v>650</v>
      </c>
      <c r="Q62" s="85"/>
      <c r="R62" s="85" t="s">
        <v>644</v>
      </c>
      <c r="S62" s="85"/>
      <c r="T62" s="85"/>
      <c r="U62" s="85"/>
      <c r="V62" s="85"/>
      <c r="W62" s="84">
        <f t="shared" si="26"/>
        <v>650</v>
      </c>
      <c r="X62" s="85"/>
      <c r="Y62" s="84"/>
      <c r="Z62" s="85">
        <f t="shared" si="28"/>
        <v>650</v>
      </c>
      <c r="AA62" s="85">
        <v>650</v>
      </c>
      <c r="AB62" s="85"/>
      <c r="AC62" s="85"/>
      <c r="AD62" s="85">
        <f t="shared" si="34"/>
        <v>650</v>
      </c>
      <c r="AE62" s="85"/>
      <c r="AF62" s="84"/>
      <c r="AG62" s="84">
        <f t="shared" si="29"/>
        <v>650</v>
      </c>
      <c r="AH62" s="85">
        <v>650</v>
      </c>
      <c r="AI62" s="85"/>
      <c r="AJ62" s="85"/>
      <c r="AK62" s="85"/>
      <c r="AL62" s="85">
        <f t="shared" si="39"/>
        <v>624.94802200000004</v>
      </c>
      <c r="AM62" s="85"/>
      <c r="AN62" s="84"/>
      <c r="AO62" s="84">
        <f t="shared" si="36"/>
        <v>624.94802200000004</v>
      </c>
      <c r="AP62" s="667">
        <v>624.94802200000004</v>
      </c>
      <c r="AQ62" s="85"/>
      <c r="AR62" s="85"/>
      <c r="AS62" s="85"/>
      <c r="AT62" s="85">
        <f t="shared" si="27"/>
        <v>0</v>
      </c>
      <c r="AU62" s="85"/>
      <c r="AV62" s="85"/>
      <c r="AW62" s="85">
        <f t="shared" si="30"/>
        <v>0</v>
      </c>
      <c r="AX62" s="85">
        <v>0</v>
      </c>
      <c r="AY62" s="85"/>
      <c r="AZ62" s="85"/>
      <c r="BA62" s="85"/>
      <c r="BB62" s="85"/>
      <c r="BC62" s="85"/>
      <c r="BD62" s="85"/>
      <c r="BE62" s="85"/>
      <c r="BF62" s="85"/>
      <c r="BG62" s="85"/>
      <c r="BH62" s="85"/>
      <c r="BI62" s="84">
        <f t="shared" si="31"/>
        <v>0</v>
      </c>
      <c r="BJ62" s="85"/>
      <c r="BK62" s="85"/>
      <c r="BL62" s="85"/>
      <c r="BM62" s="84">
        <f t="shared" si="32"/>
        <v>0</v>
      </c>
      <c r="BN62" s="85"/>
      <c r="BO62" s="85"/>
      <c r="BP62" s="85"/>
      <c r="BQ62" s="85"/>
      <c r="BR62" s="85"/>
      <c r="BS62" s="85"/>
      <c r="BT62" s="85"/>
      <c r="BU62" s="85"/>
      <c r="BV62" s="85"/>
      <c r="BW62" s="663">
        <v>650</v>
      </c>
      <c r="BX62" s="663"/>
      <c r="BY62" s="663"/>
      <c r="BZ62" s="663"/>
    </row>
    <row r="63" spans="1:78" s="26" customFormat="1" ht="50.25" customHeight="1" outlineLevel="1">
      <c r="A63" s="659">
        <v>13</v>
      </c>
      <c r="B63" s="660" t="s">
        <v>683</v>
      </c>
      <c r="C63" s="661" t="s">
        <v>684</v>
      </c>
      <c r="D63" s="661" t="s">
        <v>105</v>
      </c>
      <c r="E63" s="85"/>
      <c r="F63" s="85" t="s">
        <v>638</v>
      </c>
      <c r="G63" s="85" t="s">
        <v>49</v>
      </c>
      <c r="H63" s="661" t="s">
        <v>660</v>
      </c>
      <c r="I63" s="662">
        <v>2022</v>
      </c>
      <c r="J63" s="661">
        <v>2022</v>
      </c>
      <c r="K63" s="661" t="s">
        <v>575</v>
      </c>
      <c r="L63" s="661" t="s">
        <v>685</v>
      </c>
      <c r="M63" s="85">
        <f t="shared" si="33"/>
        <v>4028</v>
      </c>
      <c r="N63" s="85"/>
      <c r="O63" s="84"/>
      <c r="P63" s="84">
        <v>4028</v>
      </c>
      <c r="Q63" s="85"/>
      <c r="R63" s="85" t="s">
        <v>644</v>
      </c>
      <c r="S63" s="85"/>
      <c r="T63" s="85"/>
      <c r="U63" s="85"/>
      <c r="V63" s="85"/>
      <c r="W63" s="84">
        <f t="shared" si="26"/>
        <v>4028</v>
      </c>
      <c r="X63" s="85"/>
      <c r="Y63" s="84"/>
      <c r="Z63" s="85">
        <f t="shared" si="28"/>
        <v>4028</v>
      </c>
      <c r="AA63" s="85">
        <v>4028</v>
      </c>
      <c r="AB63" s="85"/>
      <c r="AC63" s="85"/>
      <c r="AD63" s="85">
        <f t="shared" si="34"/>
        <v>2472</v>
      </c>
      <c r="AE63" s="85"/>
      <c r="AF63" s="84"/>
      <c r="AG63" s="84">
        <f t="shared" si="29"/>
        <v>2472</v>
      </c>
      <c r="AH63" s="85">
        <f>2234+1794-1556</f>
        <v>2472</v>
      </c>
      <c r="AI63" s="85"/>
      <c r="AJ63" s="85"/>
      <c r="AK63" s="85"/>
      <c r="AL63" s="85">
        <f t="shared" si="39"/>
        <v>4019</v>
      </c>
      <c r="AM63" s="85"/>
      <c r="AN63" s="84"/>
      <c r="AO63" s="84">
        <f t="shared" si="36"/>
        <v>4019</v>
      </c>
      <c r="AP63" s="85">
        <f>2234+1785</f>
        <v>4019</v>
      </c>
      <c r="AQ63" s="85"/>
      <c r="AR63" s="85"/>
      <c r="AS63" s="85"/>
      <c r="AT63" s="85">
        <f t="shared" si="27"/>
        <v>0</v>
      </c>
      <c r="AU63" s="85"/>
      <c r="AV63" s="85"/>
      <c r="AW63" s="85">
        <f t="shared" si="30"/>
        <v>0</v>
      </c>
      <c r="AX63" s="85">
        <v>0</v>
      </c>
      <c r="AY63" s="85"/>
      <c r="AZ63" s="85"/>
      <c r="BA63" s="85"/>
      <c r="BB63" s="85"/>
      <c r="BC63" s="85"/>
      <c r="BD63" s="85"/>
      <c r="BE63" s="85"/>
      <c r="BF63" s="85"/>
      <c r="BG63" s="85"/>
      <c r="BH63" s="85"/>
      <c r="BI63" s="84">
        <f t="shared" si="31"/>
        <v>0</v>
      </c>
      <c r="BJ63" s="85"/>
      <c r="BK63" s="85"/>
      <c r="BL63" s="85"/>
      <c r="BM63" s="84">
        <f t="shared" si="32"/>
        <v>0</v>
      </c>
      <c r="BN63" s="85"/>
      <c r="BO63" s="85"/>
      <c r="BP63" s="85"/>
      <c r="BQ63" s="85"/>
      <c r="BR63" s="85"/>
      <c r="BS63" s="85"/>
      <c r="BT63" s="85"/>
      <c r="BU63" s="85"/>
      <c r="BV63" s="85"/>
      <c r="BW63" s="663">
        <f>2234+1794</f>
        <v>4028</v>
      </c>
      <c r="BX63" s="663"/>
      <c r="BY63" s="663"/>
      <c r="BZ63" s="663"/>
    </row>
    <row r="64" spans="1:78" s="26" customFormat="1" ht="50.25" customHeight="1" outlineLevel="1">
      <c r="A64" s="659">
        <v>14</v>
      </c>
      <c r="B64" s="660" t="s">
        <v>686</v>
      </c>
      <c r="C64" s="661" t="s">
        <v>613</v>
      </c>
      <c r="D64" s="661" t="s">
        <v>105</v>
      </c>
      <c r="E64" s="85"/>
      <c r="F64" s="85" t="s">
        <v>638</v>
      </c>
      <c r="G64" s="85" t="s">
        <v>49</v>
      </c>
      <c r="H64" s="661" t="s">
        <v>678</v>
      </c>
      <c r="I64" s="662">
        <v>2022</v>
      </c>
      <c r="J64" s="661">
        <v>2022</v>
      </c>
      <c r="K64" s="661" t="s">
        <v>575</v>
      </c>
      <c r="L64" s="661" t="s">
        <v>687</v>
      </c>
      <c r="M64" s="85">
        <f t="shared" si="33"/>
        <v>600</v>
      </c>
      <c r="N64" s="85"/>
      <c r="O64" s="84"/>
      <c r="P64" s="84">
        <v>600</v>
      </c>
      <c r="Q64" s="85"/>
      <c r="R64" s="85" t="s">
        <v>644</v>
      </c>
      <c r="S64" s="85"/>
      <c r="T64" s="85"/>
      <c r="U64" s="85"/>
      <c r="V64" s="85"/>
      <c r="W64" s="84">
        <f t="shared" si="26"/>
        <v>600</v>
      </c>
      <c r="X64" s="85"/>
      <c r="Y64" s="84"/>
      <c r="Z64" s="85">
        <f t="shared" si="28"/>
        <v>600</v>
      </c>
      <c r="AA64" s="85">
        <v>600</v>
      </c>
      <c r="AB64" s="85"/>
      <c r="AC64" s="85"/>
      <c r="AD64" s="85">
        <f t="shared" si="34"/>
        <v>600</v>
      </c>
      <c r="AE64" s="85"/>
      <c r="AF64" s="84"/>
      <c r="AG64" s="84">
        <f t="shared" si="29"/>
        <v>600</v>
      </c>
      <c r="AH64" s="85">
        <v>600</v>
      </c>
      <c r="AI64" s="85"/>
      <c r="AJ64" s="85"/>
      <c r="AK64" s="85"/>
      <c r="AL64" s="85">
        <f t="shared" si="39"/>
        <v>587.86699999999996</v>
      </c>
      <c r="AM64" s="674"/>
      <c r="AN64" s="84"/>
      <c r="AO64" s="84">
        <f t="shared" si="36"/>
        <v>587.86699999999996</v>
      </c>
      <c r="AP64" s="85">
        <f>300+287.867</f>
        <v>587.86699999999996</v>
      </c>
      <c r="AQ64" s="85"/>
      <c r="AR64" s="85"/>
      <c r="AS64" s="85"/>
      <c r="AT64" s="85">
        <f t="shared" si="27"/>
        <v>0</v>
      </c>
      <c r="AU64" s="85"/>
      <c r="AV64" s="85"/>
      <c r="AW64" s="85">
        <f t="shared" si="30"/>
        <v>0</v>
      </c>
      <c r="AX64" s="85">
        <v>0</v>
      </c>
      <c r="AY64" s="85"/>
      <c r="AZ64" s="85"/>
      <c r="BA64" s="85"/>
      <c r="BB64" s="85"/>
      <c r="BC64" s="85"/>
      <c r="BD64" s="85"/>
      <c r="BE64" s="85"/>
      <c r="BF64" s="85"/>
      <c r="BG64" s="85"/>
      <c r="BH64" s="85"/>
      <c r="BI64" s="84">
        <f t="shared" si="31"/>
        <v>0</v>
      </c>
      <c r="BJ64" s="85"/>
      <c r="BK64" s="85"/>
      <c r="BL64" s="85"/>
      <c r="BM64" s="84">
        <f t="shared" si="32"/>
        <v>0</v>
      </c>
      <c r="BN64" s="85"/>
      <c r="BO64" s="85"/>
      <c r="BP64" s="85"/>
      <c r="BQ64" s="85"/>
      <c r="BR64" s="85"/>
      <c r="BS64" s="85"/>
      <c r="BT64" s="85"/>
      <c r="BU64" s="85"/>
      <c r="BV64" s="85"/>
      <c r="BW64" s="663">
        <v>600</v>
      </c>
      <c r="BX64" s="663"/>
      <c r="BY64" s="663"/>
      <c r="BZ64" s="663"/>
    </row>
    <row r="65" spans="1:78" s="26" customFormat="1" ht="50.25" customHeight="1" outlineLevel="1">
      <c r="A65" s="659">
        <v>15</v>
      </c>
      <c r="B65" s="660" t="s">
        <v>688</v>
      </c>
      <c r="C65" s="661" t="s">
        <v>613</v>
      </c>
      <c r="D65" s="661" t="s">
        <v>105</v>
      </c>
      <c r="E65" s="85"/>
      <c r="F65" s="85" t="s">
        <v>638</v>
      </c>
      <c r="G65" s="85" t="s">
        <v>49</v>
      </c>
      <c r="H65" s="661" t="s">
        <v>660</v>
      </c>
      <c r="I65" s="662">
        <v>2022</v>
      </c>
      <c r="J65" s="661">
        <v>2022</v>
      </c>
      <c r="K65" s="661" t="s">
        <v>575</v>
      </c>
      <c r="L65" s="661" t="s">
        <v>689</v>
      </c>
      <c r="M65" s="85">
        <f t="shared" si="33"/>
        <v>600</v>
      </c>
      <c r="N65" s="85"/>
      <c r="O65" s="84"/>
      <c r="P65" s="84">
        <v>600</v>
      </c>
      <c r="Q65" s="85"/>
      <c r="R65" s="85" t="s">
        <v>644</v>
      </c>
      <c r="S65" s="85"/>
      <c r="T65" s="85"/>
      <c r="U65" s="85"/>
      <c r="V65" s="85"/>
      <c r="W65" s="84">
        <f t="shared" si="26"/>
        <v>600</v>
      </c>
      <c r="X65" s="85"/>
      <c r="Y65" s="84"/>
      <c r="Z65" s="85">
        <f t="shared" si="28"/>
        <v>600</v>
      </c>
      <c r="AA65" s="85">
        <v>600</v>
      </c>
      <c r="AB65" s="85"/>
      <c r="AC65" s="85"/>
      <c r="AD65" s="85">
        <f t="shared" si="34"/>
        <v>600</v>
      </c>
      <c r="AE65" s="85"/>
      <c r="AF65" s="84"/>
      <c r="AG65" s="84">
        <f t="shared" si="29"/>
        <v>600</v>
      </c>
      <c r="AH65" s="85">
        <v>600</v>
      </c>
      <c r="AI65" s="85"/>
      <c r="AJ65" s="85"/>
      <c r="AK65" s="85"/>
      <c r="AL65" s="85">
        <f t="shared" si="39"/>
        <v>588.07299999999998</v>
      </c>
      <c r="AM65" s="85"/>
      <c r="AN65" s="84"/>
      <c r="AO65" s="84">
        <f t="shared" si="36"/>
        <v>588.07299999999998</v>
      </c>
      <c r="AP65" s="85">
        <f>300+288.073</f>
        <v>588.07299999999998</v>
      </c>
      <c r="AQ65" s="85"/>
      <c r="AR65" s="85"/>
      <c r="AS65" s="85"/>
      <c r="AT65" s="85">
        <f t="shared" si="27"/>
        <v>0</v>
      </c>
      <c r="AU65" s="85"/>
      <c r="AV65" s="85"/>
      <c r="AW65" s="85">
        <f t="shared" si="30"/>
        <v>0</v>
      </c>
      <c r="AX65" s="85">
        <v>0</v>
      </c>
      <c r="AY65" s="85"/>
      <c r="AZ65" s="85"/>
      <c r="BA65" s="85"/>
      <c r="BB65" s="85"/>
      <c r="BC65" s="85"/>
      <c r="BD65" s="85"/>
      <c r="BE65" s="85"/>
      <c r="BF65" s="85"/>
      <c r="BG65" s="85"/>
      <c r="BH65" s="85"/>
      <c r="BI65" s="84">
        <f t="shared" si="31"/>
        <v>0</v>
      </c>
      <c r="BJ65" s="85"/>
      <c r="BK65" s="85"/>
      <c r="BL65" s="85"/>
      <c r="BM65" s="84">
        <f t="shared" si="32"/>
        <v>0</v>
      </c>
      <c r="BN65" s="85"/>
      <c r="BO65" s="85"/>
      <c r="BP65" s="85"/>
      <c r="BQ65" s="85"/>
      <c r="BR65" s="85"/>
      <c r="BS65" s="85"/>
      <c r="BT65" s="85"/>
      <c r="BU65" s="85"/>
      <c r="BV65" s="85"/>
      <c r="BW65" s="663">
        <v>600</v>
      </c>
      <c r="BX65" s="663"/>
      <c r="BY65" s="663"/>
      <c r="BZ65" s="663"/>
    </row>
    <row r="66" spans="1:78" s="26" customFormat="1" ht="78" customHeight="1" outlineLevel="1">
      <c r="A66" s="659">
        <v>16</v>
      </c>
      <c r="B66" s="660" t="s">
        <v>690</v>
      </c>
      <c r="C66" s="661" t="s">
        <v>598</v>
      </c>
      <c r="D66" s="661" t="s">
        <v>105</v>
      </c>
      <c r="E66" s="85"/>
      <c r="F66" s="85" t="s">
        <v>638</v>
      </c>
      <c r="G66" s="85" t="s">
        <v>49</v>
      </c>
      <c r="H66" s="661" t="s">
        <v>678</v>
      </c>
      <c r="I66" s="662">
        <v>2022</v>
      </c>
      <c r="J66" s="661">
        <v>2022</v>
      </c>
      <c r="K66" s="661" t="s">
        <v>575</v>
      </c>
      <c r="L66" s="661" t="s">
        <v>691</v>
      </c>
      <c r="M66" s="85">
        <f t="shared" si="33"/>
        <v>1800</v>
      </c>
      <c r="N66" s="85"/>
      <c r="O66" s="84"/>
      <c r="P66" s="84">
        <v>1800</v>
      </c>
      <c r="Q66" s="85"/>
      <c r="R66" s="85" t="s">
        <v>644</v>
      </c>
      <c r="S66" s="85"/>
      <c r="T66" s="85"/>
      <c r="U66" s="85"/>
      <c r="V66" s="85"/>
      <c r="W66" s="84">
        <f t="shared" si="26"/>
        <v>404.67962499999999</v>
      </c>
      <c r="X66" s="85"/>
      <c r="Y66" s="84"/>
      <c r="Z66" s="85">
        <f t="shared" si="28"/>
        <v>404.67962499999999</v>
      </c>
      <c r="AA66" s="85">
        <v>404.67962499999999</v>
      </c>
      <c r="AB66" s="85"/>
      <c r="AC66" s="85"/>
      <c r="AD66" s="85">
        <f t="shared" si="34"/>
        <v>404.67962499999999</v>
      </c>
      <c r="AE66" s="85"/>
      <c r="AF66" s="84"/>
      <c r="AG66" s="84">
        <f t="shared" si="29"/>
        <v>404.67962499999999</v>
      </c>
      <c r="AH66" s="85">
        <f>115.049+289.630625</f>
        <v>404.67962499999999</v>
      </c>
      <c r="AI66" s="85"/>
      <c r="AJ66" s="85"/>
      <c r="AK66" s="85"/>
      <c r="AL66" s="85">
        <f t="shared" si="39"/>
        <v>306.19</v>
      </c>
      <c r="AM66" s="85"/>
      <c r="AN66" s="84"/>
      <c r="AO66" s="84">
        <f t="shared" si="36"/>
        <v>306.19</v>
      </c>
      <c r="AP66" s="85">
        <f>16.559375+289.630625</f>
        <v>306.19</v>
      </c>
      <c r="AQ66" s="85"/>
      <c r="AR66" s="85"/>
      <c r="AS66" s="85"/>
      <c r="AT66" s="85">
        <f t="shared" si="27"/>
        <v>0</v>
      </c>
      <c r="AU66" s="85"/>
      <c r="AV66" s="85"/>
      <c r="AW66" s="85">
        <f t="shared" si="30"/>
        <v>0</v>
      </c>
      <c r="AX66" s="85">
        <v>0</v>
      </c>
      <c r="AY66" s="85"/>
      <c r="AZ66" s="85"/>
      <c r="BA66" s="85"/>
      <c r="BB66" s="85"/>
      <c r="BC66" s="85"/>
      <c r="BD66" s="85"/>
      <c r="BE66" s="85"/>
      <c r="BF66" s="85"/>
      <c r="BG66" s="85"/>
      <c r="BH66" s="85"/>
      <c r="BI66" s="84">
        <f t="shared" si="31"/>
        <v>0</v>
      </c>
      <c r="BJ66" s="85"/>
      <c r="BK66" s="85"/>
      <c r="BL66" s="85"/>
      <c r="BM66" s="84">
        <f t="shared" si="32"/>
        <v>0</v>
      </c>
      <c r="BN66" s="85"/>
      <c r="BO66" s="85"/>
      <c r="BP66" s="85"/>
      <c r="BQ66" s="85"/>
      <c r="BR66" s="85"/>
      <c r="BS66" s="85"/>
      <c r="BT66" s="85"/>
      <c r="BU66" s="85"/>
      <c r="BV66" s="85"/>
      <c r="BW66" s="663">
        <f>115.049+289.630625</f>
        <v>404.67962499999999</v>
      </c>
      <c r="BX66" s="663"/>
      <c r="BY66" s="663"/>
      <c r="BZ66" s="663"/>
    </row>
    <row r="67" spans="1:78" s="26" customFormat="1" ht="95.25" customHeight="1" outlineLevel="1">
      <c r="A67" s="659">
        <v>17</v>
      </c>
      <c r="B67" s="660" t="s">
        <v>692</v>
      </c>
      <c r="C67" s="661" t="s">
        <v>77</v>
      </c>
      <c r="D67" s="661" t="s">
        <v>591</v>
      </c>
      <c r="E67" s="85"/>
      <c r="F67" s="85" t="s">
        <v>638</v>
      </c>
      <c r="G67" s="85" t="s">
        <v>49</v>
      </c>
      <c r="H67" s="661" t="s">
        <v>678</v>
      </c>
      <c r="I67" s="662">
        <v>2022</v>
      </c>
      <c r="J67" s="661">
        <v>2022</v>
      </c>
      <c r="K67" s="661" t="s">
        <v>575</v>
      </c>
      <c r="L67" s="661" t="s">
        <v>693</v>
      </c>
      <c r="M67" s="85">
        <f>N67+O67+P67</f>
        <v>550.29999999999995</v>
      </c>
      <c r="N67" s="85"/>
      <c r="O67" s="84"/>
      <c r="P67" s="84">
        <v>550.29999999999995</v>
      </c>
      <c r="Q67" s="85"/>
      <c r="R67" s="85" t="s">
        <v>644</v>
      </c>
      <c r="S67" s="85"/>
      <c r="T67" s="85"/>
      <c r="U67" s="85"/>
      <c r="V67" s="85"/>
      <c r="W67" s="84">
        <f>AA67+AB67+AC67</f>
        <v>515.92399999999998</v>
      </c>
      <c r="X67" s="85"/>
      <c r="Y67" s="84"/>
      <c r="Z67" s="85">
        <f>SUM(AA67:AC67)</f>
        <v>515.92399999999998</v>
      </c>
      <c r="AA67" s="85">
        <v>0</v>
      </c>
      <c r="AB67" s="85">
        <f>361+154.924</f>
        <v>515.92399999999998</v>
      </c>
      <c r="AC67" s="85"/>
      <c r="AD67" s="85">
        <f>AE67+AF67+AG67</f>
        <v>515.92399999999998</v>
      </c>
      <c r="AE67" s="85"/>
      <c r="AF67" s="84"/>
      <c r="AG67" s="84">
        <f>AH67+AI67+AJ67+AK67</f>
        <v>515.92399999999998</v>
      </c>
      <c r="AH67" s="85"/>
      <c r="AI67" s="85"/>
      <c r="AJ67" s="85">
        <f>361+154.924</f>
        <v>515.92399999999998</v>
      </c>
      <c r="AK67" s="85"/>
      <c r="AL67" s="85">
        <f>AM67+AN67+AO67</f>
        <v>515.92399999999998</v>
      </c>
      <c r="AM67" s="85"/>
      <c r="AN67" s="84"/>
      <c r="AO67" s="84">
        <f>AP67+AQ67+AR67+AS67</f>
        <v>515.92399999999998</v>
      </c>
      <c r="AP67" s="85"/>
      <c r="AQ67" s="85"/>
      <c r="AR67" s="85">
        <f>361+154.924</f>
        <v>515.92399999999998</v>
      </c>
      <c r="AS67" s="85"/>
      <c r="AT67" s="85">
        <f>AX67+AY67+AZ67</f>
        <v>0</v>
      </c>
      <c r="AU67" s="85"/>
      <c r="AV67" s="85"/>
      <c r="AW67" s="85">
        <f>SUM(AX67:AZ67)</f>
        <v>0</v>
      </c>
      <c r="AX67" s="85">
        <v>0</v>
      </c>
      <c r="AY67" s="85"/>
      <c r="AZ67" s="85"/>
      <c r="BA67" s="85"/>
      <c r="BB67" s="85"/>
      <c r="BC67" s="85"/>
      <c r="BD67" s="85"/>
      <c r="BE67" s="85"/>
      <c r="BF67" s="85"/>
      <c r="BG67" s="85"/>
      <c r="BH67" s="85"/>
      <c r="BI67" s="84">
        <f>BJ67+BK67+BL67</f>
        <v>0</v>
      </c>
      <c r="BJ67" s="85"/>
      <c r="BK67" s="85"/>
      <c r="BL67" s="85"/>
      <c r="BM67" s="84">
        <f>BN67+BO67+BP67</f>
        <v>0</v>
      </c>
      <c r="BN67" s="85"/>
      <c r="BO67" s="85"/>
      <c r="BP67" s="85"/>
      <c r="BQ67" s="85"/>
      <c r="BR67" s="85"/>
      <c r="BS67" s="85"/>
      <c r="BT67" s="85"/>
      <c r="BU67" s="85"/>
      <c r="BV67" s="85"/>
      <c r="BW67" s="663"/>
      <c r="BX67" s="663"/>
      <c r="BY67" s="663"/>
      <c r="BZ67" s="663"/>
    </row>
    <row r="68" spans="1:78" s="26" customFormat="1" ht="50.25" customHeight="1" outlineLevel="1">
      <c r="A68" s="659">
        <v>19</v>
      </c>
      <c r="B68" s="660" t="s">
        <v>696</v>
      </c>
      <c r="C68" s="661" t="s">
        <v>598</v>
      </c>
      <c r="D68" s="661" t="s">
        <v>82</v>
      </c>
      <c r="E68" s="85"/>
      <c r="F68" s="85" t="s">
        <v>638</v>
      </c>
      <c r="G68" s="85" t="s">
        <v>49</v>
      </c>
      <c r="H68" s="661" t="s">
        <v>660</v>
      </c>
      <c r="I68" s="662">
        <v>2022</v>
      </c>
      <c r="J68" s="661">
        <v>2022</v>
      </c>
      <c r="K68" s="661" t="s">
        <v>575</v>
      </c>
      <c r="L68" s="661" t="s">
        <v>697</v>
      </c>
      <c r="M68" s="85">
        <f t="shared" si="33"/>
        <v>1200</v>
      </c>
      <c r="N68" s="85"/>
      <c r="O68" s="84"/>
      <c r="P68" s="84">
        <v>1200</v>
      </c>
      <c r="Q68" s="85"/>
      <c r="R68" s="85" t="s">
        <v>644</v>
      </c>
      <c r="S68" s="85"/>
      <c r="T68" s="85"/>
      <c r="U68" s="85"/>
      <c r="V68" s="85"/>
      <c r="W68" s="84">
        <f t="shared" si="26"/>
        <v>1200</v>
      </c>
      <c r="X68" s="85"/>
      <c r="Y68" s="84"/>
      <c r="Z68" s="85">
        <f t="shared" si="28"/>
        <v>1200</v>
      </c>
      <c r="AA68" s="85">
        <v>0</v>
      </c>
      <c r="AB68" s="85"/>
      <c r="AC68" s="85">
        <v>1200</v>
      </c>
      <c r="AD68" s="85">
        <f t="shared" si="34"/>
        <v>1200</v>
      </c>
      <c r="AE68" s="85"/>
      <c r="AF68" s="84"/>
      <c r="AG68" s="84">
        <f t="shared" si="29"/>
        <v>1200</v>
      </c>
      <c r="AH68" s="85"/>
      <c r="AI68" s="85"/>
      <c r="AJ68" s="85"/>
      <c r="AK68" s="85">
        <v>1200</v>
      </c>
      <c r="AL68" s="85">
        <f t="shared" si="39"/>
        <v>1184.806096</v>
      </c>
      <c r="AM68" s="85"/>
      <c r="AN68" s="84"/>
      <c r="AO68" s="84">
        <f t="shared" si="36"/>
        <v>1184.806096</v>
      </c>
      <c r="AP68" s="85"/>
      <c r="AQ68" s="85"/>
      <c r="AR68" s="85"/>
      <c r="AS68" s="85">
        <v>1184.806096</v>
      </c>
      <c r="AT68" s="85">
        <f t="shared" si="27"/>
        <v>0</v>
      </c>
      <c r="AU68" s="85"/>
      <c r="AV68" s="85"/>
      <c r="AW68" s="85">
        <f t="shared" si="30"/>
        <v>0</v>
      </c>
      <c r="AX68" s="85">
        <v>0</v>
      </c>
      <c r="AY68" s="85"/>
      <c r="AZ68" s="85"/>
      <c r="BA68" s="85"/>
      <c r="BB68" s="85"/>
      <c r="BC68" s="85"/>
      <c r="BD68" s="85"/>
      <c r="BE68" s="85"/>
      <c r="BF68" s="85"/>
      <c r="BG68" s="85"/>
      <c r="BH68" s="85"/>
      <c r="BI68" s="84">
        <f t="shared" si="31"/>
        <v>0</v>
      </c>
      <c r="BJ68" s="85"/>
      <c r="BK68" s="85"/>
      <c r="BL68" s="85"/>
      <c r="BM68" s="84">
        <f t="shared" si="32"/>
        <v>0</v>
      </c>
      <c r="BN68" s="85"/>
      <c r="BO68" s="85"/>
      <c r="BP68" s="85"/>
      <c r="BQ68" s="85"/>
      <c r="BR68" s="85"/>
      <c r="BS68" s="85"/>
      <c r="BT68" s="85"/>
      <c r="BU68" s="85"/>
      <c r="BV68" s="85"/>
      <c r="BW68" s="663"/>
      <c r="BX68" s="663"/>
      <c r="BY68" s="663"/>
      <c r="BZ68" s="663"/>
    </row>
    <row r="69" spans="1:78" s="26" customFormat="1" ht="50.25" customHeight="1" outlineLevel="1">
      <c r="A69" s="659">
        <v>20</v>
      </c>
      <c r="B69" s="660" t="s">
        <v>698</v>
      </c>
      <c r="C69" s="661" t="s">
        <v>699</v>
      </c>
      <c r="D69" s="661" t="s">
        <v>82</v>
      </c>
      <c r="E69" s="85"/>
      <c r="F69" s="85" t="s">
        <v>638</v>
      </c>
      <c r="G69" s="85" t="s">
        <v>49</v>
      </c>
      <c r="H69" s="661" t="s">
        <v>660</v>
      </c>
      <c r="I69" s="662">
        <v>2022</v>
      </c>
      <c r="J69" s="661">
        <v>2022</v>
      </c>
      <c r="K69" s="661" t="s">
        <v>575</v>
      </c>
      <c r="L69" s="661" t="s">
        <v>700</v>
      </c>
      <c r="M69" s="85">
        <f t="shared" si="33"/>
        <v>1000</v>
      </c>
      <c r="N69" s="85"/>
      <c r="O69" s="84"/>
      <c r="P69" s="84">
        <v>1000</v>
      </c>
      <c r="Q69" s="85"/>
      <c r="R69" s="85" t="s">
        <v>644</v>
      </c>
      <c r="S69" s="85"/>
      <c r="T69" s="85"/>
      <c r="U69" s="85"/>
      <c r="V69" s="85"/>
      <c r="W69" s="84">
        <f t="shared" si="26"/>
        <v>1000</v>
      </c>
      <c r="X69" s="85"/>
      <c r="Y69" s="84"/>
      <c r="Z69" s="85">
        <f t="shared" si="28"/>
        <v>1000</v>
      </c>
      <c r="AA69" s="85">
        <v>1000</v>
      </c>
      <c r="AB69" s="85"/>
      <c r="AC69" s="85"/>
      <c r="AD69" s="85">
        <f t="shared" si="34"/>
        <v>1000</v>
      </c>
      <c r="AE69" s="85"/>
      <c r="AF69" s="84"/>
      <c r="AG69" s="84">
        <f t="shared" si="29"/>
        <v>1000</v>
      </c>
      <c r="AH69" s="85">
        <v>1000</v>
      </c>
      <c r="AI69" s="85"/>
      <c r="AJ69" s="85"/>
      <c r="AK69" s="85"/>
      <c r="AL69" s="85">
        <f t="shared" si="39"/>
        <v>994.08600000000001</v>
      </c>
      <c r="AM69" s="85"/>
      <c r="AN69" s="84"/>
      <c r="AO69" s="84">
        <f t="shared" si="36"/>
        <v>994.08600000000001</v>
      </c>
      <c r="AP69" s="85">
        <v>994.08600000000001</v>
      </c>
      <c r="AQ69" s="85"/>
      <c r="AR69" s="85"/>
      <c r="AS69" s="85"/>
      <c r="AT69" s="85">
        <f t="shared" si="27"/>
        <v>0</v>
      </c>
      <c r="AU69" s="85"/>
      <c r="AV69" s="85"/>
      <c r="AW69" s="85">
        <f t="shared" si="30"/>
        <v>0</v>
      </c>
      <c r="AX69" s="85">
        <v>0</v>
      </c>
      <c r="AY69" s="85"/>
      <c r="AZ69" s="85"/>
      <c r="BA69" s="85"/>
      <c r="BB69" s="85"/>
      <c r="BC69" s="85"/>
      <c r="BD69" s="85"/>
      <c r="BE69" s="85"/>
      <c r="BF69" s="85"/>
      <c r="BG69" s="85"/>
      <c r="BH69" s="85"/>
      <c r="BI69" s="84">
        <f t="shared" si="31"/>
        <v>0</v>
      </c>
      <c r="BJ69" s="85"/>
      <c r="BK69" s="85"/>
      <c r="BL69" s="85"/>
      <c r="BM69" s="84">
        <f t="shared" si="32"/>
        <v>0</v>
      </c>
      <c r="BN69" s="85"/>
      <c r="BO69" s="85"/>
      <c r="BP69" s="85"/>
      <c r="BQ69" s="85"/>
      <c r="BR69" s="85"/>
      <c r="BS69" s="85"/>
      <c r="BT69" s="85"/>
      <c r="BU69" s="85"/>
      <c r="BV69" s="85"/>
      <c r="BW69" s="663">
        <v>1000</v>
      </c>
      <c r="BX69" s="663"/>
      <c r="BY69" s="663"/>
      <c r="BZ69" s="663"/>
    </row>
    <row r="70" spans="1:78" s="26" customFormat="1" ht="50.25" customHeight="1" outlineLevel="1">
      <c r="A70" s="659">
        <v>21</v>
      </c>
      <c r="B70" s="660" t="s">
        <v>701</v>
      </c>
      <c r="C70" s="661" t="s">
        <v>613</v>
      </c>
      <c r="D70" s="661" t="s">
        <v>105</v>
      </c>
      <c r="E70" s="85"/>
      <c r="F70" s="85" t="s">
        <v>638</v>
      </c>
      <c r="G70" s="85" t="s">
        <v>49</v>
      </c>
      <c r="H70" s="661" t="s">
        <v>660</v>
      </c>
      <c r="I70" s="662">
        <v>2022</v>
      </c>
      <c r="J70" s="661">
        <v>2022</v>
      </c>
      <c r="K70" s="661" t="s">
        <v>575</v>
      </c>
      <c r="L70" s="661" t="s">
        <v>702</v>
      </c>
      <c r="M70" s="85">
        <f t="shared" si="33"/>
        <v>410.77103899999997</v>
      </c>
      <c r="N70" s="85"/>
      <c r="O70" s="84"/>
      <c r="P70" s="84">
        <v>410.77103899999997</v>
      </c>
      <c r="Q70" s="85"/>
      <c r="R70" s="85" t="s">
        <v>644</v>
      </c>
      <c r="S70" s="85"/>
      <c r="T70" s="85"/>
      <c r="U70" s="85"/>
      <c r="V70" s="85"/>
      <c r="W70" s="84">
        <f t="shared" si="26"/>
        <v>410.77103899999997</v>
      </c>
      <c r="X70" s="85"/>
      <c r="Y70" s="84"/>
      <c r="Z70" s="85">
        <f t="shared" si="28"/>
        <v>410.77103899999997</v>
      </c>
      <c r="AA70" s="85">
        <v>410.77103899999997</v>
      </c>
      <c r="AB70" s="85"/>
      <c r="AC70" s="85"/>
      <c r="AD70" s="85">
        <f t="shared" si="34"/>
        <v>410.77103899999997</v>
      </c>
      <c r="AE70" s="85"/>
      <c r="AF70" s="84"/>
      <c r="AG70" s="84">
        <f t="shared" si="29"/>
        <v>410.77103899999997</v>
      </c>
      <c r="AH70" s="85">
        <v>410.77103899999997</v>
      </c>
      <c r="AI70" s="85"/>
      <c r="AJ70" s="85"/>
      <c r="AK70" s="85"/>
      <c r="AL70" s="85">
        <f t="shared" si="39"/>
        <v>408.65800000000002</v>
      </c>
      <c r="AM70" s="85"/>
      <c r="AN70" s="84"/>
      <c r="AO70" s="84">
        <f t="shared" si="36"/>
        <v>408.65800000000002</v>
      </c>
      <c r="AP70" s="85">
        <v>408.65800000000002</v>
      </c>
      <c r="AQ70" s="85"/>
      <c r="AR70" s="85"/>
      <c r="AS70" s="85"/>
      <c r="AT70" s="85">
        <f t="shared" si="27"/>
        <v>0</v>
      </c>
      <c r="AU70" s="85"/>
      <c r="AV70" s="85"/>
      <c r="AW70" s="85">
        <f t="shared" si="30"/>
        <v>0</v>
      </c>
      <c r="AX70" s="85">
        <v>0</v>
      </c>
      <c r="AY70" s="85"/>
      <c r="AZ70" s="85"/>
      <c r="BA70" s="85"/>
      <c r="BB70" s="85"/>
      <c r="BC70" s="85"/>
      <c r="BD70" s="85"/>
      <c r="BE70" s="85"/>
      <c r="BF70" s="85"/>
      <c r="BG70" s="85"/>
      <c r="BH70" s="85"/>
      <c r="BI70" s="84">
        <f t="shared" si="31"/>
        <v>0</v>
      </c>
      <c r="BJ70" s="85"/>
      <c r="BK70" s="85"/>
      <c r="BL70" s="85"/>
      <c r="BM70" s="84">
        <f t="shared" si="32"/>
        <v>0</v>
      </c>
      <c r="BN70" s="85"/>
      <c r="BO70" s="85"/>
      <c r="BP70" s="85"/>
      <c r="BQ70" s="85"/>
      <c r="BR70" s="85"/>
      <c r="BS70" s="85"/>
      <c r="BT70" s="85"/>
      <c r="BU70" s="85"/>
      <c r="BV70" s="85"/>
      <c r="BW70" s="663">
        <v>410.77103899999997</v>
      </c>
      <c r="BX70" s="663"/>
      <c r="BY70" s="663"/>
      <c r="BZ70" s="663"/>
    </row>
    <row r="71" spans="1:78" s="26" customFormat="1" ht="50.25" customHeight="1" outlineLevel="1">
      <c r="A71" s="659">
        <v>22</v>
      </c>
      <c r="B71" s="660" t="s">
        <v>703</v>
      </c>
      <c r="C71" s="661" t="s">
        <v>699</v>
      </c>
      <c r="D71" s="661" t="s">
        <v>105</v>
      </c>
      <c r="E71" s="85"/>
      <c r="F71" s="85" t="s">
        <v>638</v>
      </c>
      <c r="G71" s="85" t="s">
        <v>49</v>
      </c>
      <c r="H71" s="661" t="s">
        <v>660</v>
      </c>
      <c r="I71" s="662">
        <v>2023</v>
      </c>
      <c r="J71" s="661">
        <v>2023</v>
      </c>
      <c r="K71" s="661" t="s">
        <v>575</v>
      </c>
      <c r="L71" s="661" t="s">
        <v>704</v>
      </c>
      <c r="M71" s="85">
        <f t="shared" si="33"/>
        <v>800</v>
      </c>
      <c r="N71" s="85"/>
      <c r="O71" s="84"/>
      <c r="P71" s="84">
        <v>800</v>
      </c>
      <c r="Q71" s="85"/>
      <c r="R71" s="85" t="s">
        <v>644</v>
      </c>
      <c r="S71" s="85"/>
      <c r="T71" s="85"/>
      <c r="U71" s="85"/>
      <c r="V71" s="85"/>
      <c r="W71" s="84">
        <f t="shared" si="26"/>
        <v>800</v>
      </c>
      <c r="X71" s="85"/>
      <c r="Y71" s="84"/>
      <c r="Z71" s="85">
        <f t="shared" si="28"/>
        <v>800</v>
      </c>
      <c r="AA71" s="85">
        <v>800</v>
      </c>
      <c r="AB71" s="85"/>
      <c r="AC71" s="85"/>
      <c r="AD71" s="85">
        <f t="shared" si="34"/>
        <v>800</v>
      </c>
      <c r="AE71" s="85"/>
      <c r="AF71" s="84"/>
      <c r="AG71" s="84">
        <f t="shared" si="29"/>
        <v>800</v>
      </c>
      <c r="AH71" s="85">
        <v>800</v>
      </c>
      <c r="AI71" s="85"/>
      <c r="AJ71" s="85"/>
      <c r="AK71" s="85"/>
      <c r="AL71" s="85">
        <f t="shared" si="39"/>
        <v>793.24199999999996</v>
      </c>
      <c r="AM71" s="85"/>
      <c r="AN71" s="84"/>
      <c r="AO71" s="84">
        <f t="shared" si="36"/>
        <v>793.24199999999996</v>
      </c>
      <c r="AP71" s="85">
        <f>760+33.242</f>
        <v>793.24199999999996</v>
      </c>
      <c r="AQ71" s="85"/>
      <c r="AR71" s="85"/>
      <c r="AS71" s="85"/>
      <c r="AT71" s="85">
        <f t="shared" si="27"/>
        <v>0</v>
      </c>
      <c r="AU71" s="85"/>
      <c r="AV71" s="85"/>
      <c r="AW71" s="85">
        <f t="shared" si="30"/>
        <v>0</v>
      </c>
      <c r="AX71" s="85">
        <v>0</v>
      </c>
      <c r="AY71" s="85"/>
      <c r="AZ71" s="85"/>
      <c r="BA71" s="85"/>
      <c r="BB71" s="85"/>
      <c r="BC71" s="85"/>
      <c r="BD71" s="85"/>
      <c r="BE71" s="85"/>
      <c r="BF71" s="85"/>
      <c r="BG71" s="85"/>
      <c r="BH71" s="85"/>
      <c r="BI71" s="84">
        <f t="shared" si="31"/>
        <v>0</v>
      </c>
      <c r="BJ71" s="85"/>
      <c r="BK71" s="85"/>
      <c r="BL71" s="85"/>
      <c r="BM71" s="84">
        <f t="shared" si="32"/>
        <v>0</v>
      </c>
      <c r="BN71" s="85"/>
      <c r="BO71" s="85"/>
      <c r="BP71" s="85"/>
      <c r="BQ71" s="85"/>
      <c r="BR71" s="85"/>
      <c r="BS71" s="85"/>
      <c r="BT71" s="85"/>
      <c r="BU71" s="85"/>
      <c r="BV71" s="85"/>
      <c r="BW71" s="663">
        <v>800</v>
      </c>
      <c r="BX71" s="663"/>
      <c r="BY71" s="663"/>
      <c r="BZ71" s="663"/>
    </row>
    <row r="72" spans="1:78" s="26" customFormat="1" ht="57.75" customHeight="1" outlineLevel="1">
      <c r="A72" s="659">
        <v>25</v>
      </c>
      <c r="B72" s="660" t="s">
        <v>708</v>
      </c>
      <c r="C72" s="661" t="s">
        <v>598</v>
      </c>
      <c r="D72" s="661" t="s">
        <v>105</v>
      </c>
      <c r="E72" s="85"/>
      <c r="F72" s="85" t="s">
        <v>638</v>
      </c>
      <c r="G72" s="85" t="s">
        <v>49</v>
      </c>
      <c r="H72" s="661" t="s">
        <v>678</v>
      </c>
      <c r="I72" s="662">
        <v>2023</v>
      </c>
      <c r="J72" s="661">
        <v>2023</v>
      </c>
      <c r="K72" s="661" t="s">
        <v>575</v>
      </c>
      <c r="L72" s="661" t="s">
        <v>709</v>
      </c>
      <c r="M72" s="85">
        <f t="shared" si="33"/>
        <v>1050</v>
      </c>
      <c r="N72" s="85"/>
      <c r="O72" s="84"/>
      <c r="P72" s="84">
        <v>1050</v>
      </c>
      <c r="Q72" s="85"/>
      <c r="R72" s="85" t="s">
        <v>644</v>
      </c>
      <c r="S72" s="85"/>
      <c r="T72" s="85"/>
      <c r="U72" s="85"/>
      <c r="V72" s="85"/>
      <c r="W72" s="84">
        <f t="shared" si="26"/>
        <v>1050</v>
      </c>
      <c r="X72" s="85"/>
      <c r="Y72" s="84"/>
      <c r="Z72" s="85">
        <f t="shared" si="28"/>
        <v>1050</v>
      </c>
      <c r="AA72" s="85">
        <v>0</v>
      </c>
      <c r="AB72" s="85"/>
      <c r="AC72" s="85">
        <v>1050</v>
      </c>
      <c r="AD72" s="85">
        <f t="shared" si="34"/>
        <v>1050</v>
      </c>
      <c r="AE72" s="85"/>
      <c r="AF72" s="84"/>
      <c r="AG72" s="84">
        <f t="shared" si="29"/>
        <v>1050</v>
      </c>
      <c r="AH72" s="85"/>
      <c r="AI72" s="85"/>
      <c r="AJ72" s="85"/>
      <c r="AK72" s="85">
        <v>1050</v>
      </c>
      <c r="AL72" s="85">
        <f t="shared" si="39"/>
        <v>1042.9957509999999</v>
      </c>
      <c r="AM72" s="85"/>
      <c r="AN72" s="84"/>
      <c r="AO72" s="84">
        <f t="shared" si="36"/>
        <v>1042.9957509999999</v>
      </c>
      <c r="AP72" s="85"/>
      <c r="AQ72" s="85"/>
      <c r="AR72" s="85"/>
      <c r="AS72" s="85">
        <v>1042.9957509999999</v>
      </c>
      <c r="AT72" s="85">
        <f t="shared" si="27"/>
        <v>0</v>
      </c>
      <c r="AU72" s="85"/>
      <c r="AV72" s="85"/>
      <c r="AW72" s="85">
        <f t="shared" si="30"/>
        <v>0</v>
      </c>
      <c r="AX72" s="85">
        <v>0</v>
      </c>
      <c r="AY72" s="85"/>
      <c r="AZ72" s="85"/>
      <c r="BA72" s="85"/>
      <c r="BB72" s="85"/>
      <c r="BC72" s="85"/>
      <c r="BD72" s="85"/>
      <c r="BE72" s="85"/>
      <c r="BF72" s="85"/>
      <c r="BG72" s="85"/>
      <c r="BH72" s="85"/>
      <c r="BI72" s="84">
        <f t="shared" si="31"/>
        <v>0</v>
      </c>
      <c r="BJ72" s="85"/>
      <c r="BK72" s="85"/>
      <c r="BL72" s="85"/>
      <c r="BM72" s="84">
        <f t="shared" si="32"/>
        <v>0</v>
      </c>
      <c r="BN72" s="85"/>
      <c r="BO72" s="85"/>
      <c r="BP72" s="85"/>
      <c r="BQ72" s="85"/>
      <c r="BR72" s="85"/>
      <c r="BS72" s="85"/>
      <c r="BT72" s="85"/>
      <c r="BU72" s="85"/>
      <c r="BV72" s="85"/>
      <c r="BW72" s="663"/>
      <c r="BX72" s="663"/>
      <c r="BY72" s="663"/>
      <c r="BZ72" s="663"/>
    </row>
    <row r="73" spans="1:78" s="26" customFormat="1" ht="50.25" customHeight="1" outlineLevel="1">
      <c r="A73" s="659">
        <v>26</v>
      </c>
      <c r="B73" s="660" t="s">
        <v>710</v>
      </c>
      <c r="C73" s="661" t="s">
        <v>598</v>
      </c>
      <c r="D73" s="661" t="s">
        <v>82</v>
      </c>
      <c r="E73" s="85"/>
      <c r="F73" s="85" t="s">
        <v>638</v>
      </c>
      <c r="G73" s="85" t="s">
        <v>49</v>
      </c>
      <c r="H73" s="661" t="s">
        <v>660</v>
      </c>
      <c r="I73" s="662">
        <v>2023</v>
      </c>
      <c r="J73" s="661">
        <v>2023</v>
      </c>
      <c r="K73" s="661" t="s">
        <v>575</v>
      </c>
      <c r="L73" s="661" t="s">
        <v>711</v>
      </c>
      <c r="M73" s="85">
        <f t="shared" si="33"/>
        <v>500</v>
      </c>
      <c r="N73" s="85"/>
      <c r="O73" s="84"/>
      <c r="P73" s="84">
        <v>500</v>
      </c>
      <c r="Q73" s="85"/>
      <c r="R73" s="85" t="s">
        <v>644</v>
      </c>
      <c r="S73" s="85"/>
      <c r="T73" s="85"/>
      <c r="U73" s="85"/>
      <c r="V73" s="85"/>
      <c r="W73" s="84">
        <f t="shared" si="26"/>
        <v>500</v>
      </c>
      <c r="X73" s="85"/>
      <c r="Y73" s="84"/>
      <c r="Z73" s="85">
        <f t="shared" si="28"/>
        <v>500</v>
      </c>
      <c r="AA73" s="85">
        <v>0</v>
      </c>
      <c r="AB73" s="85"/>
      <c r="AC73" s="85">
        <v>500</v>
      </c>
      <c r="AD73" s="85">
        <f t="shared" si="34"/>
        <v>500</v>
      </c>
      <c r="AE73" s="85"/>
      <c r="AF73" s="84"/>
      <c r="AG73" s="84">
        <f t="shared" si="29"/>
        <v>500</v>
      </c>
      <c r="AH73" s="85"/>
      <c r="AI73" s="85"/>
      <c r="AJ73" s="85"/>
      <c r="AK73" s="85">
        <v>500</v>
      </c>
      <c r="AL73" s="85">
        <f t="shared" si="39"/>
        <v>496.678901</v>
      </c>
      <c r="AM73" s="85"/>
      <c r="AN73" s="84"/>
      <c r="AO73" s="84">
        <f t="shared" si="36"/>
        <v>496.678901</v>
      </c>
      <c r="AP73" s="85"/>
      <c r="AQ73" s="85"/>
      <c r="AR73" s="85"/>
      <c r="AS73" s="85">
        <v>496.678901</v>
      </c>
      <c r="AT73" s="85">
        <f t="shared" si="27"/>
        <v>0</v>
      </c>
      <c r="AU73" s="85"/>
      <c r="AV73" s="85"/>
      <c r="AW73" s="85">
        <f t="shared" si="30"/>
        <v>0</v>
      </c>
      <c r="AX73" s="85">
        <v>0</v>
      </c>
      <c r="AY73" s="85"/>
      <c r="AZ73" s="85"/>
      <c r="BA73" s="85"/>
      <c r="BB73" s="85"/>
      <c r="BC73" s="85"/>
      <c r="BD73" s="85"/>
      <c r="BE73" s="85"/>
      <c r="BF73" s="85"/>
      <c r="BG73" s="85"/>
      <c r="BH73" s="85"/>
      <c r="BI73" s="84">
        <f t="shared" si="31"/>
        <v>0</v>
      </c>
      <c r="BJ73" s="85"/>
      <c r="BK73" s="85"/>
      <c r="BL73" s="85"/>
      <c r="BM73" s="84">
        <f t="shared" si="32"/>
        <v>0</v>
      </c>
      <c r="BN73" s="85"/>
      <c r="BO73" s="85"/>
      <c r="BP73" s="85"/>
      <c r="BQ73" s="85"/>
      <c r="BR73" s="85"/>
      <c r="BS73" s="85"/>
      <c r="BT73" s="85"/>
      <c r="BU73" s="85"/>
      <c r="BV73" s="85"/>
      <c r="BW73" s="663"/>
      <c r="BX73" s="663"/>
      <c r="BY73" s="663"/>
      <c r="BZ73" s="663"/>
    </row>
    <row r="74" spans="1:78" s="26" customFormat="1" ht="50.25" customHeight="1" outlineLevel="1">
      <c r="A74" s="659">
        <v>27</v>
      </c>
      <c r="B74" s="660" t="s">
        <v>712</v>
      </c>
      <c r="C74" s="661" t="s">
        <v>598</v>
      </c>
      <c r="D74" s="661" t="s">
        <v>105</v>
      </c>
      <c r="E74" s="85"/>
      <c r="F74" s="85" t="s">
        <v>638</v>
      </c>
      <c r="G74" s="85" t="s">
        <v>49</v>
      </c>
      <c r="H74" s="661" t="s">
        <v>714</v>
      </c>
      <c r="I74" s="662">
        <v>2023</v>
      </c>
      <c r="J74" s="661">
        <v>2023</v>
      </c>
      <c r="K74" s="661" t="s">
        <v>575</v>
      </c>
      <c r="L74" s="661" t="s">
        <v>713</v>
      </c>
      <c r="M74" s="85">
        <f t="shared" si="33"/>
        <v>550</v>
      </c>
      <c r="N74" s="85"/>
      <c r="O74" s="84"/>
      <c r="P74" s="84">
        <v>550</v>
      </c>
      <c r="Q74" s="85"/>
      <c r="R74" s="85" t="s">
        <v>644</v>
      </c>
      <c r="S74" s="85"/>
      <c r="T74" s="85"/>
      <c r="U74" s="85"/>
      <c r="V74" s="85"/>
      <c r="W74" s="84">
        <f t="shared" si="26"/>
        <v>348.820199</v>
      </c>
      <c r="X74" s="85"/>
      <c r="Y74" s="84"/>
      <c r="Z74" s="85">
        <f t="shared" si="28"/>
        <v>348.820199</v>
      </c>
      <c r="AA74" s="85">
        <v>0</v>
      </c>
      <c r="AB74" s="85"/>
      <c r="AC74" s="85">
        <v>348.820199</v>
      </c>
      <c r="AD74" s="85">
        <f t="shared" si="34"/>
        <v>348.820199</v>
      </c>
      <c r="AE74" s="85"/>
      <c r="AF74" s="84"/>
      <c r="AG74" s="84">
        <f t="shared" si="29"/>
        <v>348.820199</v>
      </c>
      <c r="AH74" s="85"/>
      <c r="AI74" s="85"/>
      <c r="AJ74" s="85"/>
      <c r="AK74" s="85">
        <v>348.820199</v>
      </c>
      <c r="AL74" s="85">
        <f t="shared" si="39"/>
        <v>335.41800000000001</v>
      </c>
      <c r="AM74" s="85"/>
      <c r="AN74" s="84"/>
      <c r="AO74" s="84">
        <f t="shared" si="36"/>
        <v>335.41800000000001</v>
      </c>
      <c r="AP74" s="85"/>
      <c r="AQ74" s="85"/>
      <c r="AR74" s="85"/>
      <c r="AS74" s="85">
        <v>335.41800000000001</v>
      </c>
      <c r="AT74" s="85">
        <f t="shared" si="27"/>
        <v>0</v>
      </c>
      <c r="AU74" s="85"/>
      <c r="AV74" s="85"/>
      <c r="AW74" s="85">
        <f t="shared" si="30"/>
        <v>0</v>
      </c>
      <c r="AX74" s="85">
        <v>0</v>
      </c>
      <c r="AY74" s="85"/>
      <c r="AZ74" s="85"/>
      <c r="BA74" s="85"/>
      <c r="BB74" s="85"/>
      <c r="BC74" s="85"/>
      <c r="BD74" s="85"/>
      <c r="BE74" s="85"/>
      <c r="BF74" s="85"/>
      <c r="BG74" s="85"/>
      <c r="BH74" s="85"/>
      <c r="BI74" s="84">
        <f t="shared" si="31"/>
        <v>0</v>
      </c>
      <c r="BJ74" s="85"/>
      <c r="BK74" s="85"/>
      <c r="BL74" s="85"/>
      <c r="BM74" s="84">
        <f t="shared" si="32"/>
        <v>0</v>
      </c>
      <c r="BN74" s="85"/>
      <c r="BO74" s="85"/>
      <c r="BP74" s="85"/>
      <c r="BQ74" s="85"/>
      <c r="BR74" s="85"/>
      <c r="BS74" s="85"/>
      <c r="BT74" s="85"/>
      <c r="BU74" s="85"/>
      <c r="BV74" s="85"/>
      <c r="BW74" s="663"/>
      <c r="BX74" s="663"/>
      <c r="BY74" s="663"/>
      <c r="BZ74" s="663"/>
    </row>
    <row r="75" spans="1:78" s="26" customFormat="1" ht="78" customHeight="1" outlineLevel="1">
      <c r="A75" s="659">
        <v>28</v>
      </c>
      <c r="B75" s="660" t="s">
        <v>715</v>
      </c>
      <c r="C75" s="661" t="s">
        <v>613</v>
      </c>
      <c r="D75" s="661" t="s">
        <v>82</v>
      </c>
      <c r="E75" s="85"/>
      <c r="F75" s="85" t="s">
        <v>638</v>
      </c>
      <c r="G75" s="85" t="s">
        <v>49</v>
      </c>
      <c r="H75" s="661" t="s">
        <v>649</v>
      </c>
      <c r="I75" s="662">
        <v>2023</v>
      </c>
      <c r="J75" s="661">
        <v>2023</v>
      </c>
      <c r="K75" s="661" t="s">
        <v>575</v>
      </c>
      <c r="L75" s="661" t="s">
        <v>716</v>
      </c>
      <c r="M75" s="85">
        <f t="shared" si="33"/>
        <v>2600</v>
      </c>
      <c r="N75" s="85"/>
      <c r="O75" s="84"/>
      <c r="P75" s="84">
        <v>2600</v>
      </c>
      <c r="Q75" s="85"/>
      <c r="R75" s="85" t="s">
        <v>644</v>
      </c>
      <c r="S75" s="85"/>
      <c r="T75" s="85"/>
      <c r="U75" s="85"/>
      <c r="V75" s="85"/>
      <c r="W75" s="84">
        <f t="shared" si="26"/>
        <v>2374.5867010000002</v>
      </c>
      <c r="X75" s="85"/>
      <c r="Y75" s="84"/>
      <c r="Z75" s="85">
        <f t="shared" si="28"/>
        <v>2374.5867010000002</v>
      </c>
      <c r="AA75" s="85">
        <v>0</v>
      </c>
      <c r="AB75" s="85"/>
      <c r="AC75" s="85">
        <f>2000+325.976701+48.61</f>
        <v>2374.5867010000002</v>
      </c>
      <c r="AD75" s="85">
        <f t="shared" si="34"/>
        <v>2374.5867010000002</v>
      </c>
      <c r="AE75" s="85"/>
      <c r="AF75" s="84"/>
      <c r="AG75" s="84">
        <f t="shared" si="29"/>
        <v>2374.5867010000002</v>
      </c>
      <c r="AH75" s="85"/>
      <c r="AI75" s="85"/>
      <c r="AJ75" s="85"/>
      <c r="AK75" s="85">
        <f>2000+325.976701+48.61</f>
        <v>2374.5867010000002</v>
      </c>
      <c r="AL75" s="85">
        <f t="shared" si="39"/>
        <v>2325.976701</v>
      </c>
      <c r="AM75" s="85"/>
      <c r="AN75" s="84"/>
      <c r="AO75" s="84">
        <f t="shared" si="36"/>
        <v>2325.976701</v>
      </c>
      <c r="AP75" s="85"/>
      <c r="AQ75" s="85"/>
      <c r="AR75" s="85"/>
      <c r="AS75" s="85">
        <f>2000+325.976701</f>
        <v>2325.976701</v>
      </c>
      <c r="AT75" s="85">
        <f t="shared" si="27"/>
        <v>48.61</v>
      </c>
      <c r="AU75" s="85"/>
      <c r="AV75" s="84"/>
      <c r="AW75" s="85">
        <f t="shared" si="30"/>
        <v>48.61</v>
      </c>
      <c r="AX75" s="85">
        <v>48.61</v>
      </c>
      <c r="AY75" s="85"/>
      <c r="AZ75" s="85"/>
      <c r="BA75" s="85">
        <f t="shared" ref="BA75" si="40">BB75+BC75+BD75</f>
        <v>48.61</v>
      </c>
      <c r="BB75" s="85"/>
      <c r="BC75" s="84"/>
      <c r="BD75" s="84">
        <f>BE75+BF75+BG75+BH75</f>
        <v>48.61</v>
      </c>
      <c r="BE75" s="85">
        <v>48.61</v>
      </c>
      <c r="BF75" s="85"/>
      <c r="BG75" s="85"/>
      <c r="BH75" s="85"/>
      <c r="BI75" s="84">
        <f t="shared" si="31"/>
        <v>0</v>
      </c>
      <c r="BJ75" s="85"/>
      <c r="BK75" s="85"/>
      <c r="BL75" s="85"/>
      <c r="BM75" s="84">
        <f t="shared" si="32"/>
        <v>0</v>
      </c>
      <c r="BN75" s="85"/>
      <c r="BO75" s="85"/>
      <c r="BP75" s="85"/>
      <c r="BQ75" s="85"/>
      <c r="BR75" s="85"/>
      <c r="BS75" s="85"/>
      <c r="BT75" s="85"/>
      <c r="BU75" s="85"/>
      <c r="BV75" s="85"/>
      <c r="BW75" s="663"/>
      <c r="BX75" s="663"/>
      <c r="BY75" s="663">
        <v>48.61</v>
      </c>
      <c r="BZ75" s="663"/>
    </row>
    <row r="76" spans="1:78" s="26" customFormat="1" ht="50.25" customHeight="1" outlineLevel="1">
      <c r="A76" s="659">
        <v>29</v>
      </c>
      <c r="B76" s="660" t="s">
        <v>717</v>
      </c>
      <c r="C76" s="661" t="s">
        <v>613</v>
      </c>
      <c r="D76" s="661" t="s">
        <v>82</v>
      </c>
      <c r="E76" s="85"/>
      <c r="F76" s="85" t="s">
        <v>638</v>
      </c>
      <c r="G76" s="85" t="s">
        <v>49</v>
      </c>
      <c r="H76" s="661" t="s">
        <v>719</v>
      </c>
      <c r="I76" s="662">
        <v>2023</v>
      </c>
      <c r="J76" s="661">
        <v>2023</v>
      </c>
      <c r="K76" s="661" t="s">
        <v>575</v>
      </c>
      <c r="L76" s="661" t="s">
        <v>718</v>
      </c>
      <c r="M76" s="85">
        <f t="shared" si="33"/>
        <v>2000</v>
      </c>
      <c r="N76" s="85"/>
      <c r="O76" s="84"/>
      <c r="P76" s="84">
        <v>2000</v>
      </c>
      <c r="Q76" s="85"/>
      <c r="R76" s="85" t="s">
        <v>644</v>
      </c>
      <c r="S76" s="85"/>
      <c r="T76" s="85"/>
      <c r="U76" s="85"/>
      <c r="V76" s="85"/>
      <c r="W76" s="84">
        <f t="shared" si="26"/>
        <v>2000</v>
      </c>
      <c r="X76" s="85"/>
      <c r="Y76" s="84"/>
      <c r="Z76" s="85">
        <f t="shared" si="28"/>
        <v>2000</v>
      </c>
      <c r="AA76" s="85">
        <v>0</v>
      </c>
      <c r="AB76" s="85"/>
      <c r="AC76" s="85">
        <v>2000</v>
      </c>
      <c r="AD76" s="85">
        <f t="shared" si="34"/>
        <v>2000</v>
      </c>
      <c r="AE76" s="85"/>
      <c r="AF76" s="84"/>
      <c r="AG76" s="84">
        <f t="shared" si="29"/>
        <v>2000</v>
      </c>
      <c r="AH76" s="85"/>
      <c r="AI76" s="85"/>
      <c r="AJ76" s="85"/>
      <c r="AK76" s="85">
        <v>2000</v>
      </c>
      <c r="AL76" s="85">
        <f t="shared" si="39"/>
        <v>1998.91</v>
      </c>
      <c r="AM76" s="85"/>
      <c r="AN76" s="84"/>
      <c r="AO76" s="84">
        <f t="shared" si="36"/>
        <v>1998.91</v>
      </c>
      <c r="AP76" s="85"/>
      <c r="AQ76" s="85"/>
      <c r="AR76" s="85"/>
      <c r="AS76" s="85">
        <f>1931.173+67.737</f>
        <v>1998.91</v>
      </c>
      <c r="AT76" s="85">
        <f t="shared" si="27"/>
        <v>0</v>
      </c>
      <c r="AU76" s="85"/>
      <c r="AV76" s="85"/>
      <c r="AW76" s="85">
        <f t="shared" si="30"/>
        <v>0</v>
      </c>
      <c r="AX76" s="85">
        <v>0</v>
      </c>
      <c r="AY76" s="85"/>
      <c r="AZ76" s="85"/>
      <c r="BA76" s="85"/>
      <c r="BB76" s="85"/>
      <c r="BC76" s="85"/>
      <c r="BD76" s="85"/>
      <c r="BE76" s="85"/>
      <c r="BF76" s="85"/>
      <c r="BG76" s="85"/>
      <c r="BH76" s="85"/>
      <c r="BI76" s="84">
        <f t="shared" si="31"/>
        <v>0</v>
      </c>
      <c r="BJ76" s="85"/>
      <c r="BK76" s="85"/>
      <c r="BL76" s="85"/>
      <c r="BM76" s="84">
        <f t="shared" si="32"/>
        <v>0</v>
      </c>
      <c r="BN76" s="85"/>
      <c r="BO76" s="85"/>
      <c r="BP76" s="85"/>
      <c r="BQ76" s="85"/>
      <c r="BR76" s="85"/>
      <c r="BS76" s="85"/>
      <c r="BT76" s="85"/>
      <c r="BU76" s="85"/>
      <c r="BV76" s="85"/>
      <c r="BW76" s="663"/>
      <c r="BX76" s="663"/>
      <c r="BY76" s="663"/>
      <c r="BZ76" s="663"/>
    </row>
    <row r="77" spans="1:78" s="26" customFormat="1" ht="50.25" customHeight="1" outlineLevel="1">
      <c r="A77" s="659">
        <v>30</v>
      </c>
      <c r="B77" s="660" t="s">
        <v>720</v>
      </c>
      <c r="C77" s="661" t="s">
        <v>671</v>
      </c>
      <c r="D77" s="661" t="s">
        <v>78</v>
      </c>
      <c r="E77" s="85"/>
      <c r="F77" s="85" t="s">
        <v>638</v>
      </c>
      <c r="G77" s="85" t="s">
        <v>49</v>
      </c>
      <c r="H77" s="661" t="s">
        <v>660</v>
      </c>
      <c r="I77" s="662">
        <v>2023</v>
      </c>
      <c r="J77" s="661">
        <v>2023</v>
      </c>
      <c r="K77" s="661" t="s">
        <v>575</v>
      </c>
      <c r="L77" s="661" t="s">
        <v>721</v>
      </c>
      <c r="M77" s="85">
        <f t="shared" si="33"/>
        <v>144.00031999999999</v>
      </c>
      <c r="N77" s="85"/>
      <c r="O77" s="84"/>
      <c r="P77" s="84">
        <v>144.00031999999999</v>
      </c>
      <c r="Q77" s="85"/>
      <c r="R77" s="85" t="s">
        <v>644</v>
      </c>
      <c r="S77" s="85"/>
      <c r="T77" s="85"/>
      <c r="U77" s="85"/>
      <c r="V77" s="85"/>
      <c r="W77" s="84">
        <f t="shared" si="26"/>
        <v>120</v>
      </c>
      <c r="X77" s="85"/>
      <c r="Y77" s="84"/>
      <c r="Z77" s="85">
        <f t="shared" si="28"/>
        <v>120</v>
      </c>
      <c r="AA77" s="85">
        <v>0</v>
      </c>
      <c r="AB77" s="85"/>
      <c r="AC77" s="85">
        <v>120</v>
      </c>
      <c r="AD77" s="85">
        <f t="shared" si="34"/>
        <v>120</v>
      </c>
      <c r="AE77" s="85"/>
      <c r="AF77" s="84"/>
      <c r="AG77" s="84">
        <f t="shared" si="29"/>
        <v>120</v>
      </c>
      <c r="AH77" s="85"/>
      <c r="AI77" s="85"/>
      <c r="AJ77" s="85"/>
      <c r="AK77" s="85">
        <v>120</v>
      </c>
      <c r="AL77" s="85">
        <f t="shared" si="39"/>
        <v>120</v>
      </c>
      <c r="AM77" s="85"/>
      <c r="AN77" s="84"/>
      <c r="AO77" s="84">
        <f t="shared" si="36"/>
        <v>120</v>
      </c>
      <c r="AP77" s="85"/>
      <c r="AQ77" s="85"/>
      <c r="AR77" s="85"/>
      <c r="AS77" s="85">
        <v>120</v>
      </c>
      <c r="AT77" s="85">
        <f t="shared" si="27"/>
        <v>0</v>
      </c>
      <c r="AU77" s="85"/>
      <c r="AV77" s="85"/>
      <c r="AW77" s="85">
        <f t="shared" si="30"/>
        <v>0</v>
      </c>
      <c r="AX77" s="85">
        <v>0</v>
      </c>
      <c r="AY77" s="85"/>
      <c r="AZ77" s="85"/>
      <c r="BA77" s="85"/>
      <c r="BB77" s="85"/>
      <c r="BC77" s="85"/>
      <c r="BD77" s="85"/>
      <c r="BE77" s="85"/>
      <c r="BF77" s="85"/>
      <c r="BG77" s="85"/>
      <c r="BH77" s="85"/>
      <c r="BI77" s="84">
        <f t="shared" si="31"/>
        <v>0</v>
      </c>
      <c r="BJ77" s="85"/>
      <c r="BK77" s="85"/>
      <c r="BL77" s="85"/>
      <c r="BM77" s="84">
        <f t="shared" si="32"/>
        <v>0</v>
      </c>
      <c r="BN77" s="85"/>
      <c r="BO77" s="85"/>
      <c r="BP77" s="85"/>
      <c r="BQ77" s="85"/>
      <c r="BR77" s="85"/>
      <c r="BS77" s="85"/>
      <c r="BT77" s="85"/>
      <c r="BU77" s="85"/>
      <c r="BV77" s="85"/>
      <c r="BW77" s="663"/>
      <c r="BX77" s="663"/>
      <c r="BY77" s="663"/>
      <c r="BZ77" s="663"/>
    </row>
    <row r="78" spans="1:78" s="26" customFormat="1" ht="50.25" customHeight="1" outlineLevel="1">
      <c r="A78" s="659">
        <v>31</v>
      </c>
      <c r="B78" s="660" t="s">
        <v>722</v>
      </c>
      <c r="C78" s="661" t="s">
        <v>654</v>
      </c>
      <c r="D78" s="661" t="s">
        <v>78</v>
      </c>
      <c r="E78" s="85"/>
      <c r="F78" s="85" t="s">
        <v>638</v>
      </c>
      <c r="G78" s="85" t="s">
        <v>49</v>
      </c>
      <c r="H78" s="661" t="s">
        <v>652</v>
      </c>
      <c r="I78" s="662">
        <v>2024</v>
      </c>
      <c r="J78" s="661">
        <v>2024</v>
      </c>
      <c r="K78" s="661" t="s">
        <v>575</v>
      </c>
      <c r="L78" s="661" t="s">
        <v>723</v>
      </c>
      <c r="M78" s="85">
        <f t="shared" si="33"/>
        <v>4000</v>
      </c>
      <c r="N78" s="85"/>
      <c r="O78" s="84"/>
      <c r="P78" s="84">
        <v>4000</v>
      </c>
      <c r="Q78" s="85"/>
      <c r="R78" s="85" t="s">
        <v>644</v>
      </c>
      <c r="S78" s="85"/>
      <c r="T78" s="85"/>
      <c r="U78" s="85"/>
      <c r="V78" s="85"/>
      <c r="W78" s="84">
        <f t="shared" si="26"/>
        <v>4000</v>
      </c>
      <c r="X78" s="85"/>
      <c r="Y78" s="84"/>
      <c r="Z78" s="85">
        <f t="shared" si="28"/>
        <v>4000</v>
      </c>
      <c r="AA78" s="85">
        <v>2000</v>
      </c>
      <c r="AB78" s="85">
        <v>1000</v>
      </c>
      <c r="AC78" s="85">
        <v>1000</v>
      </c>
      <c r="AD78" s="85">
        <f t="shared" si="34"/>
        <v>3000</v>
      </c>
      <c r="AE78" s="85"/>
      <c r="AF78" s="84"/>
      <c r="AG78" s="84">
        <f t="shared" si="29"/>
        <v>3000</v>
      </c>
      <c r="AH78" s="85">
        <v>955</v>
      </c>
      <c r="AI78" s="85">
        <v>1045</v>
      </c>
      <c r="AJ78" s="85"/>
      <c r="AK78" s="85">
        <v>1000</v>
      </c>
      <c r="AL78" s="85">
        <f t="shared" si="39"/>
        <v>3000</v>
      </c>
      <c r="AM78" s="85"/>
      <c r="AN78" s="84"/>
      <c r="AO78" s="84">
        <f t="shared" si="36"/>
        <v>3000</v>
      </c>
      <c r="AP78" s="85">
        <v>955</v>
      </c>
      <c r="AQ78" s="85">
        <v>1045</v>
      </c>
      <c r="AR78" s="85"/>
      <c r="AS78" s="85">
        <v>1000</v>
      </c>
      <c r="AT78" s="85">
        <f t="shared" si="27"/>
        <v>1000</v>
      </c>
      <c r="AU78" s="85"/>
      <c r="AV78" s="84"/>
      <c r="AW78" s="85">
        <f t="shared" si="30"/>
        <v>1000</v>
      </c>
      <c r="AX78" s="85">
        <v>0</v>
      </c>
      <c r="AY78" s="85">
        <v>1000</v>
      </c>
      <c r="AZ78" s="85"/>
      <c r="BA78" s="85">
        <f t="shared" ref="BA78" si="41">BB78+BC78+BD78</f>
        <v>1000</v>
      </c>
      <c r="BB78" s="85"/>
      <c r="BC78" s="84"/>
      <c r="BD78" s="84">
        <f>BE78+BF78+BG78+BH78</f>
        <v>1000</v>
      </c>
      <c r="BE78" s="85"/>
      <c r="BF78" s="85"/>
      <c r="BG78" s="85">
        <v>1000</v>
      </c>
      <c r="BH78" s="85"/>
      <c r="BI78" s="84">
        <f t="shared" si="31"/>
        <v>0</v>
      </c>
      <c r="BJ78" s="85"/>
      <c r="BK78" s="85"/>
      <c r="BL78" s="85"/>
      <c r="BM78" s="84">
        <f t="shared" si="32"/>
        <v>0</v>
      </c>
      <c r="BN78" s="85"/>
      <c r="BO78" s="85"/>
      <c r="BP78" s="85"/>
      <c r="BQ78" s="85"/>
      <c r="BR78" s="85"/>
      <c r="BS78" s="85"/>
      <c r="BT78" s="85"/>
      <c r="BU78" s="85"/>
      <c r="BV78" s="85"/>
      <c r="BW78" s="663">
        <v>955</v>
      </c>
      <c r="BX78" s="663">
        <v>1045</v>
      </c>
      <c r="BY78" s="663"/>
      <c r="BZ78" s="663"/>
    </row>
    <row r="79" spans="1:78" s="26" customFormat="1" ht="90.75" customHeight="1" outlineLevel="1">
      <c r="A79" s="659">
        <v>32</v>
      </c>
      <c r="B79" s="660" t="s">
        <v>724</v>
      </c>
      <c r="C79" s="661" t="s">
        <v>613</v>
      </c>
      <c r="D79" s="661" t="s">
        <v>105</v>
      </c>
      <c r="E79" s="85"/>
      <c r="F79" s="85" t="s">
        <v>638</v>
      </c>
      <c r="G79" s="85" t="s">
        <v>49</v>
      </c>
      <c r="H79" s="661" t="s">
        <v>678</v>
      </c>
      <c r="I79" s="662">
        <v>2024</v>
      </c>
      <c r="J79" s="661">
        <v>2024</v>
      </c>
      <c r="K79" s="661" t="s">
        <v>575</v>
      </c>
      <c r="L79" s="661" t="s">
        <v>725</v>
      </c>
      <c r="M79" s="85">
        <f t="shared" si="33"/>
        <v>150</v>
      </c>
      <c r="N79" s="85"/>
      <c r="O79" s="84"/>
      <c r="P79" s="84">
        <v>150</v>
      </c>
      <c r="Q79" s="85"/>
      <c r="R79" s="85" t="s">
        <v>644</v>
      </c>
      <c r="S79" s="85"/>
      <c r="T79" s="85"/>
      <c r="U79" s="85"/>
      <c r="V79" s="85"/>
      <c r="W79" s="84">
        <f t="shared" si="26"/>
        <v>150</v>
      </c>
      <c r="X79" s="85"/>
      <c r="Y79" s="84"/>
      <c r="Z79" s="85">
        <f t="shared" si="28"/>
        <v>150</v>
      </c>
      <c r="AA79" s="85">
        <v>150</v>
      </c>
      <c r="AB79" s="85"/>
      <c r="AC79" s="85"/>
      <c r="AD79" s="85">
        <f t="shared" si="34"/>
        <v>150</v>
      </c>
      <c r="AE79" s="85"/>
      <c r="AF79" s="84"/>
      <c r="AG79" s="84">
        <f t="shared" si="29"/>
        <v>150</v>
      </c>
      <c r="AH79" s="85">
        <v>150</v>
      </c>
      <c r="AI79" s="85"/>
      <c r="AJ79" s="85"/>
      <c r="AK79" s="85"/>
      <c r="AL79" s="85">
        <f t="shared" si="39"/>
        <v>149.93600000000001</v>
      </c>
      <c r="AM79" s="85"/>
      <c r="AN79" s="84"/>
      <c r="AO79" s="84">
        <f t="shared" si="36"/>
        <v>149.93600000000001</v>
      </c>
      <c r="AP79" s="85">
        <v>149.93600000000001</v>
      </c>
      <c r="AQ79" s="85"/>
      <c r="AR79" s="85"/>
      <c r="AS79" s="85"/>
      <c r="AT79" s="85">
        <f t="shared" si="27"/>
        <v>0</v>
      </c>
      <c r="AU79" s="85"/>
      <c r="AV79" s="85"/>
      <c r="AW79" s="85">
        <f t="shared" si="30"/>
        <v>0</v>
      </c>
      <c r="AX79" s="85">
        <v>0</v>
      </c>
      <c r="AY79" s="85"/>
      <c r="AZ79" s="85"/>
      <c r="BA79" s="85"/>
      <c r="BB79" s="85"/>
      <c r="BC79" s="85"/>
      <c r="BD79" s="85"/>
      <c r="BE79" s="85"/>
      <c r="BF79" s="85"/>
      <c r="BG79" s="85"/>
      <c r="BH79" s="85"/>
      <c r="BI79" s="84">
        <f t="shared" si="31"/>
        <v>0</v>
      </c>
      <c r="BJ79" s="85"/>
      <c r="BK79" s="85"/>
      <c r="BL79" s="85"/>
      <c r="BM79" s="84">
        <f t="shared" si="32"/>
        <v>0</v>
      </c>
      <c r="BN79" s="85"/>
      <c r="BO79" s="85"/>
      <c r="BP79" s="85"/>
      <c r="BQ79" s="85"/>
      <c r="BR79" s="85"/>
      <c r="BS79" s="85"/>
      <c r="BT79" s="85"/>
      <c r="BU79" s="85"/>
      <c r="BV79" s="85"/>
      <c r="BW79" s="663">
        <v>150</v>
      </c>
      <c r="BX79" s="663"/>
      <c r="BY79" s="663"/>
      <c r="BZ79" s="663"/>
    </row>
    <row r="80" spans="1:78" s="26" customFormat="1" ht="70.5" customHeight="1" outlineLevel="1">
      <c r="A80" s="659">
        <v>33</v>
      </c>
      <c r="B80" s="660" t="s">
        <v>726</v>
      </c>
      <c r="C80" s="661" t="s">
        <v>613</v>
      </c>
      <c r="D80" s="661" t="s">
        <v>105</v>
      </c>
      <c r="E80" s="85"/>
      <c r="F80" s="85" t="s">
        <v>638</v>
      </c>
      <c r="G80" s="85" t="s">
        <v>49</v>
      </c>
      <c r="H80" s="661" t="s">
        <v>678</v>
      </c>
      <c r="I80" s="662">
        <v>2024</v>
      </c>
      <c r="J80" s="661">
        <v>2024</v>
      </c>
      <c r="K80" s="661" t="s">
        <v>575</v>
      </c>
      <c r="L80" s="661" t="s">
        <v>727</v>
      </c>
      <c r="M80" s="85">
        <f t="shared" si="33"/>
        <v>850</v>
      </c>
      <c r="N80" s="85"/>
      <c r="O80" s="84"/>
      <c r="P80" s="84">
        <v>850</v>
      </c>
      <c r="Q80" s="85"/>
      <c r="R80" s="85" t="s">
        <v>644</v>
      </c>
      <c r="S80" s="85"/>
      <c r="T80" s="85"/>
      <c r="U80" s="85"/>
      <c r="V80" s="85"/>
      <c r="W80" s="84">
        <f t="shared" si="26"/>
        <v>850</v>
      </c>
      <c r="X80" s="85"/>
      <c r="Y80" s="84"/>
      <c r="Z80" s="85">
        <f t="shared" si="28"/>
        <v>850</v>
      </c>
      <c r="AA80" s="85">
        <v>850</v>
      </c>
      <c r="AB80" s="85"/>
      <c r="AC80" s="85"/>
      <c r="AD80" s="85">
        <f t="shared" si="34"/>
        <v>850</v>
      </c>
      <c r="AE80" s="85"/>
      <c r="AF80" s="84"/>
      <c r="AG80" s="84">
        <f t="shared" si="29"/>
        <v>850</v>
      </c>
      <c r="AH80" s="85">
        <v>850</v>
      </c>
      <c r="AI80" s="85"/>
      <c r="AJ80" s="85"/>
      <c r="AK80" s="85"/>
      <c r="AL80" s="85">
        <f t="shared" si="39"/>
        <v>848.34299999999996</v>
      </c>
      <c r="AM80" s="85"/>
      <c r="AN80" s="84"/>
      <c r="AO80" s="84">
        <f t="shared" si="36"/>
        <v>848.34299999999996</v>
      </c>
      <c r="AP80" s="85">
        <v>848.34299999999996</v>
      </c>
      <c r="AQ80" s="85"/>
      <c r="AR80" s="85"/>
      <c r="AS80" s="85"/>
      <c r="AT80" s="85">
        <f t="shared" si="27"/>
        <v>0</v>
      </c>
      <c r="AU80" s="85"/>
      <c r="AV80" s="85"/>
      <c r="AW80" s="85">
        <f t="shared" si="30"/>
        <v>0</v>
      </c>
      <c r="AX80" s="85">
        <v>0</v>
      </c>
      <c r="AY80" s="85"/>
      <c r="AZ80" s="85"/>
      <c r="BA80" s="85"/>
      <c r="BB80" s="85"/>
      <c r="BC80" s="85"/>
      <c r="BD80" s="85"/>
      <c r="BE80" s="85"/>
      <c r="BF80" s="85"/>
      <c r="BG80" s="85"/>
      <c r="BH80" s="85"/>
      <c r="BI80" s="84">
        <f t="shared" si="31"/>
        <v>0</v>
      </c>
      <c r="BJ80" s="85"/>
      <c r="BK80" s="85"/>
      <c r="BL80" s="85"/>
      <c r="BM80" s="84">
        <f t="shared" si="32"/>
        <v>0</v>
      </c>
      <c r="BN80" s="85"/>
      <c r="BO80" s="85"/>
      <c r="BP80" s="85"/>
      <c r="BQ80" s="85"/>
      <c r="BR80" s="85"/>
      <c r="BS80" s="85"/>
      <c r="BT80" s="85"/>
      <c r="BU80" s="85"/>
      <c r="BV80" s="85"/>
      <c r="BW80" s="663">
        <v>850</v>
      </c>
      <c r="BX80" s="663"/>
      <c r="BY80" s="663"/>
      <c r="BZ80" s="663"/>
    </row>
    <row r="81" spans="1:78" s="26" customFormat="1" ht="50.25" customHeight="1" outlineLevel="1">
      <c r="A81" s="659">
        <v>34</v>
      </c>
      <c r="B81" s="660" t="s">
        <v>728</v>
      </c>
      <c r="C81" s="661" t="s">
        <v>613</v>
      </c>
      <c r="D81" s="661" t="s">
        <v>82</v>
      </c>
      <c r="E81" s="85"/>
      <c r="F81" s="85" t="s">
        <v>638</v>
      </c>
      <c r="G81" s="85" t="s">
        <v>49</v>
      </c>
      <c r="H81" s="661" t="s">
        <v>660</v>
      </c>
      <c r="I81" s="662">
        <v>2024</v>
      </c>
      <c r="J81" s="661">
        <v>2024</v>
      </c>
      <c r="K81" s="661" t="s">
        <v>575</v>
      </c>
      <c r="L81" s="661" t="s">
        <v>729</v>
      </c>
      <c r="M81" s="85">
        <f t="shared" si="33"/>
        <v>800</v>
      </c>
      <c r="N81" s="85"/>
      <c r="O81" s="84"/>
      <c r="P81" s="84">
        <v>800</v>
      </c>
      <c r="Q81" s="85"/>
      <c r="R81" s="85" t="s">
        <v>644</v>
      </c>
      <c r="S81" s="85"/>
      <c r="T81" s="85"/>
      <c r="U81" s="85"/>
      <c r="V81" s="85"/>
      <c r="W81" s="84">
        <f t="shared" si="26"/>
        <v>800</v>
      </c>
      <c r="X81" s="85"/>
      <c r="Y81" s="84"/>
      <c r="Z81" s="85">
        <f t="shared" si="28"/>
        <v>800</v>
      </c>
      <c r="AA81" s="85">
        <v>800</v>
      </c>
      <c r="AB81" s="85"/>
      <c r="AC81" s="85"/>
      <c r="AD81" s="85">
        <f t="shared" si="34"/>
        <v>800</v>
      </c>
      <c r="AE81" s="85"/>
      <c r="AF81" s="84"/>
      <c r="AG81" s="84">
        <f t="shared" si="29"/>
        <v>800</v>
      </c>
      <c r="AH81" s="85">
        <v>800</v>
      </c>
      <c r="AI81" s="85"/>
      <c r="AJ81" s="85"/>
      <c r="AK81" s="85"/>
      <c r="AL81" s="85">
        <f t="shared" si="39"/>
        <v>785.19100000000003</v>
      </c>
      <c r="AM81" s="85"/>
      <c r="AN81" s="84"/>
      <c r="AO81" s="84">
        <f t="shared" si="36"/>
        <v>785.19100000000003</v>
      </c>
      <c r="AP81" s="85">
        <v>785.19100000000003</v>
      </c>
      <c r="AQ81" s="85"/>
      <c r="AR81" s="85"/>
      <c r="AS81" s="85"/>
      <c r="AT81" s="85">
        <f t="shared" si="27"/>
        <v>0</v>
      </c>
      <c r="AU81" s="85"/>
      <c r="AV81" s="85"/>
      <c r="AW81" s="85">
        <f t="shared" si="30"/>
        <v>0</v>
      </c>
      <c r="AX81" s="85">
        <v>0</v>
      </c>
      <c r="AY81" s="85"/>
      <c r="AZ81" s="85"/>
      <c r="BA81" s="85"/>
      <c r="BB81" s="85"/>
      <c r="BC81" s="85"/>
      <c r="BD81" s="85"/>
      <c r="BE81" s="85"/>
      <c r="BF81" s="85"/>
      <c r="BG81" s="85"/>
      <c r="BH81" s="85"/>
      <c r="BI81" s="84">
        <f t="shared" si="31"/>
        <v>0</v>
      </c>
      <c r="BJ81" s="85"/>
      <c r="BK81" s="85"/>
      <c r="BL81" s="85"/>
      <c r="BM81" s="84">
        <f t="shared" si="32"/>
        <v>0</v>
      </c>
      <c r="BN81" s="85"/>
      <c r="BO81" s="85"/>
      <c r="BP81" s="85"/>
      <c r="BQ81" s="85"/>
      <c r="BR81" s="85"/>
      <c r="BS81" s="85"/>
      <c r="BT81" s="85"/>
      <c r="BU81" s="85"/>
      <c r="BV81" s="85"/>
      <c r="BW81" s="663">
        <v>800</v>
      </c>
      <c r="BX81" s="663"/>
      <c r="BY81" s="663"/>
      <c r="BZ81" s="663"/>
    </row>
    <row r="82" spans="1:78" s="26" customFormat="1" ht="50.25" customHeight="1" outlineLevel="1">
      <c r="A82" s="659">
        <v>35</v>
      </c>
      <c r="B82" s="660" t="s">
        <v>730</v>
      </c>
      <c r="C82" s="661" t="s">
        <v>613</v>
      </c>
      <c r="D82" s="661" t="s">
        <v>105</v>
      </c>
      <c r="E82" s="85"/>
      <c r="F82" s="85" t="s">
        <v>638</v>
      </c>
      <c r="G82" s="85" t="s">
        <v>49</v>
      </c>
      <c r="H82" s="661" t="s">
        <v>660</v>
      </c>
      <c r="I82" s="662">
        <v>2024</v>
      </c>
      <c r="J82" s="661">
        <v>2024</v>
      </c>
      <c r="K82" s="661" t="s">
        <v>575</v>
      </c>
      <c r="L82" s="661" t="s">
        <v>731</v>
      </c>
      <c r="M82" s="85">
        <f t="shared" si="33"/>
        <v>657</v>
      </c>
      <c r="N82" s="85"/>
      <c r="O82" s="84"/>
      <c r="P82" s="84">
        <v>657</v>
      </c>
      <c r="Q82" s="85"/>
      <c r="R82" s="85" t="s">
        <v>644</v>
      </c>
      <c r="S82" s="85"/>
      <c r="T82" s="85"/>
      <c r="U82" s="85"/>
      <c r="V82" s="85"/>
      <c r="W82" s="84">
        <f t="shared" si="26"/>
        <v>657</v>
      </c>
      <c r="X82" s="85"/>
      <c r="Y82" s="84"/>
      <c r="Z82" s="85">
        <f t="shared" si="28"/>
        <v>657</v>
      </c>
      <c r="AA82" s="85">
        <v>657</v>
      </c>
      <c r="AB82" s="85"/>
      <c r="AC82" s="85"/>
      <c r="AD82" s="85">
        <f t="shared" si="34"/>
        <v>657</v>
      </c>
      <c r="AE82" s="85"/>
      <c r="AF82" s="84"/>
      <c r="AG82" s="84">
        <f t="shared" si="29"/>
        <v>657</v>
      </c>
      <c r="AH82" s="85">
        <v>657</v>
      </c>
      <c r="AI82" s="85"/>
      <c r="AJ82" s="85"/>
      <c r="AK82" s="85"/>
      <c r="AL82" s="85">
        <f t="shared" si="39"/>
        <v>656.79</v>
      </c>
      <c r="AM82" s="85"/>
      <c r="AN82" s="84"/>
      <c r="AO82" s="84">
        <f t="shared" si="36"/>
        <v>656.79</v>
      </c>
      <c r="AP82" s="85">
        <v>656.79</v>
      </c>
      <c r="AQ82" s="85"/>
      <c r="AR82" s="85"/>
      <c r="AS82" s="85"/>
      <c r="AT82" s="85">
        <f t="shared" si="27"/>
        <v>0</v>
      </c>
      <c r="AU82" s="85"/>
      <c r="AV82" s="85"/>
      <c r="AW82" s="85">
        <f t="shared" si="30"/>
        <v>0</v>
      </c>
      <c r="AX82" s="85">
        <v>0</v>
      </c>
      <c r="AY82" s="85"/>
      <c r="AZ82" s="85"/>
      <c r="BA82" s="85"/>
      <c r="BB82" s="85"/>
      <c r="BC82" s="85"/>
      <c r="BD82" s="85"/>
      <c r="BE82" s="85"/>
      <c r="BF82" s="85"/>
      <c r="BG82" s="85"/>
      <c r="BH82" s="85"/>
      <c r="BI82" s="84">
        <f t="shared" si="31"/>
        <v>0</v>
      </c>
      <c r="BJ82" s="85"/>
      <c r="BK82" s="85"/>
      <c r="BL82" s="85"/>
      <c r="BM82" s="84">
        <f t="shared" si="32"/>
        <v>0</v>
      </c>
      <c r="BN82" s="85"/>
      <c r="BO82" s="85"/>
      <c r="BP82" s="85"/>
      <c r="BQ82" s="85"/>
      <c r="BR82" s="85"/>
      <c r="BS82" s="85"/>
      <c r="BT82" s="85"/>
      <c r="BU82" s="85"/>
      <c r="BV82" s="85"/>
      <c r="BW82" s="663">
        <v>657</v>
      </c>
      <c r="BX82" s="663"/>
      <c r="BY82" s="663"/>
      <c r="BZ82" s="663"/>
    </row>
    <row r="83" spans="1:78" s="26" customFormat="1" ht="60" customHeight="1" outlineLevel="1">
      <c r="A83" s="659">
        <v>37</v>
      </c>
      <c r="B83" s="660" t="s">
        <v>734</v>
      </c>
      <c r="C83" s="661" t="s">
        <v>735</v>
      </c>
      <c r="D83" s="661"/>
      <c r="E83" s="85"/>
      <c r="F83" s="85" t="s">
        <v>638</v>
      </c>
      <c r="G83" s="85" t="s">
        <v>49</v>
      </c>
      <c r="H83" s="661" t="s">
        <v>652</v>
      </c>
      <c r="I83" s="662">
        <v>2024</v>
      </c>
      <c r="J83" s="661">
        <v>2024</v>
      </c>
      <c r="K83" s="661" t="s">
        <v>575</v>
      </c>
      <c r="L83" s="661" t="s">
        <v>736</v>
      </c>
      <c r="M83" s="85">
        <f t="shared" si="33"/>
        <v>230</v>
      </c>
      <c r="N83" s="85"/>
      <c r="O83" s="84"/>
      <c r="P83" s="84">
        <v>230</v>
      </c>
      <c r="Q83" s="85"/>
      <c r="R83" s="85" t="s">
        <v>644</v>
      </c>
      <c r="S83" s="85"/>
      <c r="T83" s="85"/>
      <c r="U83" s="85"/>
      <c r="V83" s="85"/>
      <c r="W83" s="84">
        <f t="shared" si="26"/>
        <v>230</v>
      </c>
      <c r="X83" s="85"/>
      <c r="Y83" s="84"/>
      <c r="Z83" s="85">
        <f t="shared" si="28"/>
        <v>230</v>
      </c>
      <c r="AA83" s="85">
        <v>230</v>
      </c>
      <c r="AB83" s="85"/>
      <c r="AC83" s="85"/>
      <c r="AD83" s="85">
        <f t="shared" si="34"/>
        <v>230</v>
      </c>
      <c r="AE83" s="85"/>
      <c r="AF83" s="84"/>
      <c r="AG83" s="84">
        <f t="shared" si="29"/>
        <v>230</v>
      </c>
      <c r="AH83" s="85">
        <v>230</v>
      </c>
      <c r="AI83" s="85"/>
      <c r="AJ83" s="85"/>
      <c r="AK83" s="85"/>
      <c r="AL83" s="85">
        <f>AM83+AN83+AO83</f>
        <v>225.58199999999999</v>
      </c>
      <c r="AM83" s="85"/>
      <c r="AN83" s="84"/>
      <c r="AO83" s="84">
        <f t="shared" si="36"/>
        <v>225.58199999999999</v>
      </c>
      <c r="AP83" s="85">
        <v>225.58199999999999</v>
      </c>
      <c r="AQ83" s="85"/>
      <c r="AR83" s="85"/>
      <c r="AS83" s="85"/>
      <c r="AT83" s="85">
        <f t="shared" si="27"/>
        <v>0</v>
      </c>
      <c r="AU83" s="85"/>
      <c r="AV83" s="85"/>
      <c r="AW83" s="85">
        <f t="shared" si="30"/>
        <v>0</v>
      </c>
      <c r="AX83" s="85">
        <v>0</v>
      </c>
      <c r="AY83" s="85"/>
      <c r="AZ83" s="85"/>
      <c r="BA83" s="85">
        <f t="shared" ref="BA83:BA89" si="42">BB83+BC83+BD83</f>
        <v>0</v>
      </c>
      <c r="BB83" s="85"/>
      <c r="BC83" s="85"/>
      <c r="BD83" s="84">
        <f t="shared" ref="BD83:BD90" si="43">BE83+BF83+BG83+BH83</f>
        <v>0</v>
      </c>
      <c r="BE83" s="85"/>
      <c r="BF83" s="85"/>
      <c r="BG83" s="85"/>
      <c r="BH83" s="85"/>
      <c r="BI83" s="84">
        <f t="shared" si="31"/>
        <v>4.4180000000000001</v>
      </c>
      <c r="BJ83" s="664"/>
      <c r="BK83" s="664"/>
      <c r="BL83" s="664">
        <v>4.4180000000000001</v>
      </c>
      <c r="BM83" s="84">
        <f t="shared" si="32"/>
        <v>0.9</v>
      </c>
      <c r="BN83" s="664"/>
      <c r="BO83" s="664"/>
      <c r="BP83" s="664">
        <v>0.9</v>
      </c>
      <c r="BQ83" s="664"/>
      <c r="BR83" s="664"/>
      <c r="BS83" s="664"/>
      <c r="BT83" s="664"/>
      <c r="BU83" s="664"/>
      <c r="BV83" s="85"/>
      <c r="BW83" s="663">
        <v>230</v>
      </c>
      <c r="BX83" s="663"/>
      <c r="BY83" s="663"/>
      <c r="BZ83" s="663"/>
    </row>
    <row r="84" spans="1:78" s="26" customFormat="1" ht="50.25" customHeight="1" outlineLevel="1">
      <c r="A84" s="659">
        <v>38</v>
      </c>
      <c r="B84" s="666" t="s">
        <v>737</v>
      </c>
      <c r="C84" s="661" t="s">
        <v>613</v>
      </c>
      <c r="D84" s="661" t="s">
        <v>82</v>
      </c>
      <c r="E84" s="85"/>
      <c r="F84" s="85" t="s">
        <v>638</v>
      </c>
      <c r="G84" s="85" t="s">
        <v>49</v>
      </c>
      <c r="H84" s="661" t="s">
        <v>652</v>
      </c>
      <c r="I84" s="662">
        <v>2024</v>
      </c>
      <c r="J84" s="661">
        <v>2024</v>
      </c>
      <c r="K84" s="661" t="s">
        <v>575</v>
      </c>
      <c r="L84" s="85" t="s">
        <v>738</v>
      </c>
      <c r="M84" s="85">
        <f t="shared" si="33"/>
        <v>2797.2844220000002</v>
      </c>
      <c r="N84" s="85"/>
      <c r="O84" s="84"/>
      <c r="P84" s="84">
        <v>2797.2844220000002</v>
      </c>
      <c r="Q84" s="85"/>
      <c r="R84" s="85" t="s">
        <v>644</v>
      </c>
      <c r="S84" s="85"/>
      <c r="T84" s="85"/>
      <c r="U84" s="85"/>
      <c r="V84" s="85"/>
      <c r="W84" s="84">
        <f t="shared" si="26"/>
        <v>2797.2844220000002</v>
      </c>
      <c r="X84" s="85"/>
      <c r="Y84" s="84"/>
      <c r="Z84" s="85">
        <f t="shared" si="28"/>
        <v>2797.2844220000002</v>
      </c>
      <c r="AA84" s="85">
        <v>0</v>
      </c>
      <c r="AB84" s="85"/>
      <c r="AC84" s="85">
        <v>2797.2844220000002</v>
      </c>
      <c r="AD84" s="85">
        <f t="shared" si="34"/>
        <v>2797.2844220000002</v>
      </c>
      <c r="AE84" s="85"/>
      <c r="AF84" s="84"/>
      <c r="AG84" s="84">
        <f t="shared" si="29"/>
        <v>2797.2844220000002</v>
      </c>
      <c r="AH84" s="85"/>
      <c r="AI84" s="85"/>
      <c r="AJ84" s="85"/>
      <c r="AK84" s="85">
        <v>2797.2844220000002</v>
      </c>
      <c r="AL84" s="85">
        <f>AM84+AN84+AO84</f>
        <v>2781.2699999999995</v>
      </c>
      <c r="AM84" s="85"/>
      <c r="AN84" s="84"/>
      <c r="AO84" s="84">
        <f t="shared" si="36"/>
        <v>2781.2699999999995</v>
      </c>
      <c r="AP84" s="85"/>
      <c r="AQ84" s="85"/>
      <c r="AR84" s="85"/>
      <c r="AS84" s="85">
        <f>2054.923+599.347+127</f>
        <v>2781.2699999999995</v>
      </c>
      <c r="AT84" s="85">
        <f t="shared" si="27"/>
        <v>0</v>
      </c>
      <c r="AU84" s="85"/>
      <c r="AV84" s="85"/>
      <c r="AW84" s="85">
        <f t="shared" si="30"/>
        <v>0</v>
      </c>
      <c r="AX84" s="85">
        <v>0</v>
      </c>
      <c r="AY84" s="85"/>
      <c r="AZ84" s="85"/>
      <c r="BA84" s="85">
        <f t="shared" si="42"/>
        <v>0</v>
      </c>
      <c r="BB84" s="85"/>
      <c r="BC84" s="85"/>
      <c r="BD84" s="84">
        <f t="shared" si="43"/>
        <v>0</v>
      </c>
      <c r="BE84" s="85"/>
      <c r="BF84" s="85"/>
      <c r="BG84" s="85"/>
      <c r="BH84" s="85"/>
      <c r="BI84" s="84">
        <f t="shared" si="31"/>
        <v>16.014422</v>
      </c>
      <c r="BJ84" s="664"/>
      <c r="BK84" s="664"/>
      <c r="BL84" s="84">
        <v>16.014422</v>
      </c>
      <c r="BM84" s="84">
        <f t="shared" si="32"/>
        <v>15.853</v>
      </c>
      <c r="BN84" s="664"/>
      <c r="BO84" s="664"/>
      <c r="BP84" s="664">
        <v>15.853</v>
      </c>
      <c r="BQ84" s="664"/>
      <c r="BR84" s="664"/>
      <c r="BS84" s="664"/>
      <c r="BT84" s="664"/>
      <c r="BU84" s="665">
        <v>16.014422</v>
      </c>
      <c r="BV84" s="85"/>
      <c r="BW84" s="663"/>
      <c r="BX84" s="663"/>
      <c r="BY84" s="663"/>
      <c r="BZ84" s="663"/>
    </row>
    <row r="85" spans="1:78" s="26" customFormat="1" ht="50.25" customHeight="1" outlineLevel="1">
      <c r="A85" s="659">
        <v>39</v>
      </c>
      <c r="B85" s="666" t="s">
        <v>739</v>
      </c>
      <c r="C85" s="661" t="s">
        <v>676</v>
      </c>
      <c r="D85" s="661" t="s">
        <v>105</v>
      </c>
      <c r="E85" s="85"/>
      <c r="F85" s="85" t="s">
        <v>638</v>
      </c>
      <c r="G85" s="85" t="s">
        <v>49</v>
      </c>
      <c r="H85" s="661" t="s">
        <v>678</v>
      </c>
      <c r="I85" s="662">
        <v>2024</v>
      </c>
      <c r="J85" s="661">
        <v>2024</v>
      </c>
      <c r="K85" s="661" t="s">
        <v>575</v>
      </c>
      <c r="L85" s="85" t="s">
        <v>740</v>
      </c>
      <c r="M85" s="85">
        <f t="shared" si="33"/>
        <v>400</v>
      </c>
      <c r="N85" s="85"/>
      <c r="O85" s="84"/>
      <c r="P85" s="84">
        <v>400</v>
      </c>
      <c r="Q85" s="85"/>
      <c r="R85" s="85" t="s">
        <v>644</v>
      </c>
      <c r="S85" s="85"/>
      <c r="T85" s="85"/>
      <c r="U85" s="85"/>
      <c r="V85" s="85"/>
      <c r="W85" s="84">
        <f t="shared" si="26"/>
        <v>400</v>
      </c>
      <c r="X85" s="85"/>
      <c r="Y85" s="84"/>
      <c r="Z85" s="85">
        <f t="shared" si="28"/>
        <v>400</v>
      </c>
      <c r="AA85" s="85">
        <v>0</v>
      </c>
      <c r="AB85" s="85"/>
      <c r="AC85" s="85">
        <v>400</v>
      </c>
      <c r="AD85" s="85">
        <f t="shared" si="34"/>
        <v>400</v>
      </c>
      <c r="AE85" s="85"/>
      <c r="AF85" s="84"/>
      <c r="AG85" s="84">
        <f t="shared" si="29"/>
        <v>400</v>
      </c>
      <c r="AH85" s="85"/>
      <c r="AI85" s="85"/>
      <c r="AJ85" s="85"/>
      <c r="AK85" s="85">
        <v>400</v>
      </c>
      <c r="AL85" s="85">
        <f t="shared" si="39"/>
        <v>395.447</v>
      </c>
      <c r="AM85" s="85"/>
      <c r="AN85" s="84"/>
      <c r="AO85" s="84">
        <f t="shared" si="36"/>
        <v>395.447</v>
      </c>
      <c r="AP85" s="85"/>
      <c r="AQ85" s="85"/>
      <c r="AR85" s="85"/>
      <c r="AS85" s="85">
        <v>395.447</v>
      </c>
      <c r="AT85" s="85">
        <f t="shared" si="27"/>
        <v>0</v>
      </c>
      <c r="AU85" s="85"/>
      <c r="AV85" s="85"/>
      <c r="AW85" s="85">
        <f t="shared" si="30"/>
        <v>0</v>
      </c>
      <c r="AX85" s="85">
        <v>0</v>
      </c>
      <c r="AY85" s="85"/>
      <c r="AZ85" s="664"/>
      <c r="BA85" s="85">
        <f t="shared" si="42"/>
        <v>0</v>
      </c>
      <c r="BB85" s="85"/>
      <c r="BC85" s="85"/>
      <c r="BD85" s="84">
        <f t="shared" si="43"/>
        <v>0</v>
      </c>
      <c r="BE85" s="85"/>
      <c r="BF85" s="85"/>
      <c r="BG85" s="85"/>
      <c r="BH85" s="664"/>
      <c r="BI85" s="84">
        <f t="shared" si="31"/>
        <v>4.5529999999999973</v>
      </c>
      <c r="BJ85" s="664"/>
      <c r="BK85" s="664"/>
      <c r="BL85" s="84">
        <v>4.5529999999999973</v>
      </c>
      <c r="BM85" s="84">
        <f t="shared" si="32"/>
        <v>1.542243</v>
      </c>
      <c r="BN85" s="664"/>
      <c r="BO85" s="664"/>
      <c r="BP85" s="664">
        <v>1.542243</v>
      </c>
      <c r="BQ85" s="664"/>
      <c r="BR85" s="664"/>
      <c r="BS85" s="664"/>
      <c r="BT85" s="664"/>
      <c r="BU85" s="665">
        <v>4.5529999999999973</v>
      </c>
      <c r="BV85" s="664"/>
      <c r="BW85" s="663"/>
      <c r="BX85" s="663"/>
      <c r="BY85" s="663"/>
      <c r="BZ85" s="663"/>
    </row>
    <row r="86" spans="1:78" s="26" customFormat="1" ht="50.25" customHeight="1" outlineLevel="1">
      <c r="A86" s="659">
        <v>40</v>
      </c>
      <c r="B86" s="666" t="s">
        <v>741</v>
      </c>
      <c r="C86" s="661" t="s">
        <v>613</v>
      </c>
      <c r="D86" s="661" t="s">
        <v>105</v>
      </c>
      <c r="E86" s="85"/>
      <c r="F86" s="85" t="s">
        <v>638</v>
      </c>
      <c r="G86" s="85" t="s">
        <v>49</v>
      </c>
      <c r="H86" s="661" t="s">
        <v>678</v>
      </c>
      <c r="I86" s="662">
        <v>2024</v>
      </c>
      <c r="J86" s="661">
        <v>2024</v>
      </c>
      <c r="K86" s="661" t="s">
        <v>575</v>
      </c>
      <c r="L86" s="85" t="s">
        <v>742</v>
      </c>
      <c r="M86" s="85">
        <f t="shared" si="33"/>
        <v>829.54745100000002</v>
      </c>
      <c r="N86" s="85"/>
      <c r="O86" s="84"/>
      <c r="P86" s="84">
        <v>829.54745100000002</v>
      </c>
      <c r="Q86" s="85"/>
      <c r="R86" s="85" t="s">
        <v>644</v>
      </c>
      <c r="S86" s="85"/>
      <c r="T86" s="85"/>
      <c r="U86" s="85"/>
      <c r="V86" s="85"/>
      <c r="W86" s="84">
        <f t="shared" si="26"/>
        <v>829.54745100000002</v>
      </c>
      <c r="X86" s="85"/>
      <c r="Y86" s="84"/>
      <c r="Z86" s="85">
        <f t="shared" si="28"/>
        <v>829.54745100000002</v>
      </c>
      <c r="AA86" s="85">
        <v>0</v>
      </c>
      <c r="AB86" s="85"/>
      <c r="AC86" s="85">
        <v>829.54745100000002</v>
      </c>
      <c r="AD86" s="85"/>
      <c r="AE86" s="85"/>
      <c r="AF86" s="84"/>
      <c r="AG86" s="84">
        <f t="shared" si="29"/>
        <v>829.54745100000002</v>
      </c>
      <c r="AH86" s="85"/>
      <c r="AI86" s="85"/>
      <c r="AJ86" s="85"/>
      <c r="AK86" s="85">
        <v>829.54745100000002</v>
      </c>
      <c r="AL86" s="85">
        <f t="shared" si="39"/>
        <v>821.6</v>
      </c>
      <c r="AM86" s="85"/>
      <c r="AN86" s="84"/>
      <c r="AO86" s="84">
        <f t="shared" si="36"/>
        <v>821.6</v>
      </c>
      <c r="AP86" s="85"/>
      <c r="AQ86" s="85"/>
      <c r="AR86" s="85"/>
      <c r="AS86" s="85">
        <v>821.6</v>
      </c>
      <c r="AT86" s="85">
        <f t="shared" si="27"/>
        <v>0</v>
      </c>
      <c r="AU86" s="85"/>
      <c r="AV86" s="84"/>
      <c r="AW86" s="85">
        <f t="shared" si="30"/>
        <v>0</v>
      </c>
      <c r="AX86" s="85">
        <v>0</v>
      </c>
      <c r="AY86" s="85"/>
      <c r="AZ86" s="664"/>
      <c r="BA86" s="85">
        <f t="shared" si="42"/>
        <v>0</v>
      </c>
      <c r="BB86" s="85"/>
      <c r="BC86" s="84"/>
      <c r="BD86" s="84">
        <f t="shared" si="43"/>
        <v>0</v>
      </c>
      <c r="BE86" s="85"/>
      <c r="BF86" s="85"/>
      <c r="BG86" s="85"/>
      <c r="BH86" s="664"/>
      <c r="BI86" s="84">
        <f t="shared" si="31"/>
        <v>7.9474510000000009</v>
      </c>
      <c r="BJ86" s="664"/>
      <c r="BK86" s="664"/>
      <c r="BL86" s="84">
        <v>7.9474510000000009</v>
      </c>
      <c r="BM86" s="84">
        <f t="shared" si="32"/>
        <v>0.68997399999999998</v>
      </c>
      <c r="BN86" s="664"/>
      <c r="BO86" s="664"/>
      <c r="BP86" s="664">
        <v>0.68997399999999998</v>
      </c>
      <c r="BQ86" s="664"/>
      <c r="BR86" s="664"/>
      <c r="BS86" s="664"/>
      <c r="BT86" s="664"/>
      <c r="BU86" s="665">
        <v>7.9474510000000009</v>
      </c>
      <c r="BV86" s="664"/>
      <c r="BW86" s="663"/>
      <c r="BX86" s="663"/>
      <c r="BY86" s="663"/>
      <c r="BZ86" s="663"/>
    </row>
    <row r="87" spans="1:78" s="26" customFormat="1" ht="77.25" customHeight="1" outlineLevel="1">
      <c r="A87" s="659">
        <v>41</v>
      </c>
      <c r="B87" s="666" t="s">
        <v>743</v>
      </c>
      <c r="C87" s="661" t="s">
        <v>613</v>
      </c>
      <c r="D87" s="661" t="s">
        <v>105</v>
      </c>
      <c r="E87" s="85"/>
      <c r="F87" s="85" t="s">
        <v>638</v>
      </c>
      <c r="G87" s="85" t="s">
        <v>49</v>
      </c>
      <c r="H87" s="661" t="s">
        <v>678</v>
      </c>
      <c r="I87" s="662">
        <v>2025</v>
      </c>
      <c r="J87" s="661">
        <v>2025</v>
      </c>
      <c r="K87" s="661" t="s">
        <v>575</v>
      </c>
      <c r="L87" s="85" t="s">
        <v>744</v>
      </c>
      <c r="M87" s="85">
        <f t="shared" si="33"/>
        <v>400</v>
      </c>
      <c r="N87" s="85"/>
      <c r="O87" s="84"/>
      <c r="P87" s="84">
        <v>400</v>
      </c>
      <c r="Q87" s="85"/>
      <c r="R87" s="85" t="s">
        <v>644</v>
      </c>
      <c r="S87" s="85"/>
      <c r="T87" s="85"/>
      <c r="U87" s="85"/>
      <c r="V87" s="85"/>
      <c r="W87" s="84">
        <f t="shared" si="26"/>
        <v>400</v>
      </c>
      <c r="X87" s="85"/>
      <c r="Y87" s="84"/>
      <c r="Z87" s="85">
        <f t="shared" si="28"/>
        <v>400</v>
      </c>
      <c r="AA87" s="70">
        <v>400</v>
      </c>
      <c r="AB87" s="70"/>
      <c r="AC87" s="70"/>
      <c r="AD87" s="70"/>
      <c r="AE87" s="70"/>
      <c r="AF87" s="245"/>
      <c r="AG87" s="245"/>
      <c r="AH87" s="70"/>
      <c r="AI87" s="70"/>
      <c r="AJ87" s="70"/>
      <c r="AK87" s="70"/>
      <c r="AL87" s="70"/>
      <c r="AM87" s="70"/>
      <c r="AN87" s="245"/>
      <c r="AO87" s="246"/>
      <c r="AP87" s="70"/>
      <c r="AQ87" s="70"/>
      <c r="AR87" s="70"/>
      <c r="AS87" s="70"/>
      <c r="AT87" s="70">
        <f t="shared" si="27"/>
        <v>400</v>
      </c>
      <c r="AU87" s="70"/>
      <c r="AV87" s="245"/>
      <c r="AW87" s="70">
        <f t="shared" si="30"/>
        <v>400</v>
      </c>
      <c r="AX87" s="70">
        <v>400</v>
      </c>
      <c r="AY87" s="70"/>
      <c r="AZ87" s="70"/>
      <c r="BA87" s="70">
        <f t="shared" si="42"/>
        <v>397.24700000000001</v>
      </c>
      <c r="BB87" s="70"/>
      <c r="BC87" s="245"/>
      <c r="BD87" s="245">
        <f t="shared" si="43"/>
        <v>397.24700000000001</v>
      </c>
      <c r="BE87" s="70">
        <v>397.24700000000001</v>
      </c>
      <c r="BF87" s="70"/>
      <c r="BG87" s="70"/>
      <c r="BH87" s="70"/>
      <c r="BI87" s="245">
        <f t="shared" si="31"/>
        <v>0</v>
      </c>
      <c r="BJ87" s="70"/>
      <c r="BK87" s="70"/>
      <c r="BL87" s="70"/>
      <c r="BM87" s="245">
        <f t="shared" si="32"/>
        <v>0</v>
      </c>
      <c r="BN87" s="70"/>
      <c r="BO87" s="70"/>
      <c r="BP87" s="70"/>
      <c r="BQ87" s="70"/>
      <c r="BR87" s="70"/>
      <c r="BS87" s="70"/>
      <c r="BT87" s="70"/>
      <c r="BU87" s="70"/>
      <c r="BV87" s="85"/>
      <c r="BW87" s="663">
        <v>400</v>
      </c>
      <c r="BX87" s="663"/>
      <c r="BY87" s="663">
        <v>400</v>
      </c>
      <c r="BZ87" s="663"/>
    </row>
    <row r="88" spans="1:78" s="26" customFormat="1" ht="50.25" customHeight="1" outlineLevel="1">
      <c r="A88" s="659">
        <v>42</v>
      </c>
      <c r="B88" s="666" t="s">
        <v>745</v>
      </c>
      <c r="C88" s="661" t="s">
        <v>654</v>
      </c>
      <c r="D88" s="661" t="s">
        <v>105</v>
      </c>
      <c r="E88" s="85"/>
      <c r="F88" s="85" t="s">
        <v>638</v>
      </c>
      <c r="G88" s="85" t="s">
        <v>49</v>
      </c>
      <c r="H88" s="661" t="s">
        <v>660</v>
      </c>
      <c r="I88" s="662" t="s">
        <v>84</v>
      </c>
      <c r="J88" s="661" t="s">
        <v>84</v>
      </c>
      <c r="K88" s="661" t="s">
        <v>575</v>
      </c>
      <c r="L88" s="85" t="s">
        <v>746</v>
      </c>
      <c r="M88" s="85">
        <f t="shared" si="33"/>
        <v>2310</v>
      </c>
      <c r="N88" s="85"/>
      <c r="O88" s="84"/>
      <c r="P88" s="84">
        <v>2310</v>
      </c>
      <c r="Q88" s="85"/>
      <c r="R88" s="85" t="s">
        <v>644</v>
      </c>
      <c r="S88" s="85"/>
      <c r="T88" s="85"/>
      <c r="U88" s="85"/>
      <c r="V88" s="85"/>
      <c r="W88" s="84">
        <f t="shared" si="26"/>
        <v>2046</v>
      </c>
      <c r="X88" s="85"/>
      <c r="Y88" s="84"/>
      <c r="Z88" s="85">
        <f t="shared" si="28"/>
        <v>2046</v>
      </c>
      <c r="AA88" s="70">
        <v>2046</v>
      </c>
      <c r="AB88" s="70"/>
      <c r="AC88" s="70"/>
      <c r="AD88" s="70"/>
      <c r="AE88" s="70"/>
      <c r="AF88" s="245"/>
      <c r="AG88" s="245"/>
      <c r="AH88" s="70"/>
      <c r="AI88" s="70"/>
      <c r="AJ88" s="70"/>
      <c r="AK88" s="70"/>
      <c r="AL88" s="70"/>
      <c r="AM88" s="70"/>
      <c r="AN88" s="245"/>
      <c r="AO88" s="246"/>
      <c r="AP88" s="70"/>
      <c r="AQ88" s="70"/>
      <c r="AR88" s="70"/>
      <c r="AS88" s="70"/>
      <c r="AT88" s="70">
        <f t="shared" si="27"/>
        <v>2046.25</v>
      </c>
      <c r="AU88" s="70"/>
      <c r="AV88" s="245"/>
      <c r="AW88" s="70">
        <f t="shared" si="30"/>
        <v>2046.25</v>
      </c>
      <c r="AX88" s="70">
        <v>2046.25</v>
      </c>
      <c r="AY88" s="70"/>
      <c r="AZ88" s="70"/>
      <c r="BA88" s="70">
        <f t="shared" si="42"/>
        <v>1986.84</v>
      </c>
      <c r="BB88" s="70"/>
      <c r="BC88" s="245"/>
      <c r="BD88" s="245">
        <f t="shared" si="43"/>
        <v>1986.84</v>
      </c>
      <c r="BE88" s="70">
        <v>1986.84</v>
      </c>
      <c r="BF88" s="70"/>
      <c r="BG88" s="70"/>
      <c r="BH88" s="70"/>
      <c r="BI88" s="245">
        <f t="shared" si="31"/>
        <v>0</v>
      </c>
      <c r="BJ88" s="70"/>
      <c r="BK88" s="70"/>
      <c r="BL88" s="70"/>
      <c r="BM88" s="245">
        <f t="shared" si="32"/>
        <v>0</v>
      </c>
      <c r="BN88" s="70"/>
      <c r="BO88" s="70"/>
      <c r="BP88" s="70"/>
      <c r="BQ88" s="70"/>
      <c r="BR88" s="70"/>
      <c r="BS88" s="70"/>
      <c r="BT88" s="70"/>
      <c r="BU88" s="70"/>
      <c r="BV88" s="85"/>
      <c r="BW88" s="663">
        <v>2046.25</v>
      </c>
      <c r="BX88" s="663"/>
      <c r="BY88" s="663">
        <v>2046.25</v>
      </c>
      <c r="BZ88" s="663"/>
    </row>
    <row r="89" spans="1:78" s="26" customFormat="1" ht="50.25" customHeight="1" outlineLevel="1">
      <c r="A89" s="659">
        <v>43</v>
      </c>
      <c r="B89" s="666" t="s">
        <v>747</v>
      </c>
      <c r="C89" s="661" t="s">
        <v>654</v>
      </c>
      <c r="D89" s="661" t="s">
        <v>105</v>
      </c>
      <c r="E89" s="85"/>
      <c r="F89" s="85" t="s">
        <v>638</v>
      </c>
      <c r="G89" s="85" t="s">
        <v>49</v>
      </c>
      <c r="H89" s="661" t="s">
        <v>660</v>
      </c>
      <c r="I89" s="662">
        <v>2025</v>
      </c>
      <c r="J89" s="661">
        <v>2025</v>
      </c>
      <c r="K89" s="661" t="s">
        <v>575</v>
      </c>
      <c r="L89" s="85" t="s">
        <v>748</v>
      </c>
      <c r="M89" s="85">
        <f t="shared" si="33"/>
        <v>1100</v>
      </c>
      <c r="N89" s="85"/>
      <c r="O89" s="84"/>
      <c r="P89" s="84">
        <v>1100</v>
      </c>
      <c r="Q89" s="85"/>
      <c r="R89" s="85" t="s">
        <v>644</v>
      </c>
      <c r="S89" s="85"/>
      <c r="T89" s="85"/>
      <c r="U89" s="85"/>
      <c r="V89" s="85"/>
      <c r="W89" s="84">
        <f t="shared" si="26"/>
        <v>1100</v>
      </c>
      <c r="X89" s="85"/>
      <c r="Y89" s="84"/>
      <c r="Z89" s="85">
        <f t="shared" si="28"/>
        <v>1100</v>
      </c>
      <c r="AA89" s="70">
        <v>1100</v>
      </c>
      <c r="AB89" s="70"/>
      <c r="AC89" s="70"/>
      <c r="AD89" s="70"/>
      <c r="AE89" s="70"/>
      <c r="AF89" s="245"/>
      <c r="AG89" s="245"/>
      <c r="AH89" s="70"/>
      <c r="AI89" s="70"/>
      <c r="AJ89" s="70"/>
      <c r="AK89" s="70"/>
      <c r="AL89" s="70"/>
      <c r="AM89" s="70"/>
      <c r="AN89" s="245"/>
      <c r="AO89" s="246"/>
      <c r="AP89" s="70"/>
      <c r="AQ89" s="70"/>
      <c r="AR89" s="70"/>
      <c r="AS89" s="70"/>
      <c r="AT89" s="70">
        <f t="shared" si="27"/>
        <v>1100</v>
      </c>
      <c r="AU89" s="70"/>
      <c r="AV89" s="245"/>
      <c r="AW89" s="70">
        <f t="shared" si="30"/>
        <v>1100</v>
      </c>
      <c r="AX89" s="70">
        <v>1100</v>
      </c>
      <c r="AY89" s="70"/>
      <c r="AZ89" s="70"/>
      <c r="BA89" s="70">
        <f t="shared" si="42"/>
        <v>1082.5999999999999</v>
      </c>
      <c r="BB89" s="70"/>
      <c r="BC89" s="245"/>
      <c r="BD89" s="245">
        <f t="shared" si="43"/>
        <v>1082.5999999999999</v>
      </c>
      <c r="BE89" s="70">
        <v>1082.5999999999999</v>
      </c>
      <c r="BF89" s="70"/>
      <c r="BG89" s="70"/>
      <c r="BH89" s="70"/>
      <c r="BI89" s="245">
        <f t="shared" si="31"/>
        <v>0</v>
      </c>
      <c r="BJ89" s="70"/>
      <c r="BK89" s="70"/>
      <c r="BL89" s="70"/>
      <c r="BM89" s="245">
        <f t="shared" si="32"/>
        <v>0</v>
      </c>
      <c r="BN89" s="70"/>
      <c r="BO89" s="70"/>
      <c r="BP89" s="70"/>
      <c r="BQ89" s="70"/>
      <c r="BR89" s="70"/>
      <c r="BS89" s="70"/>
      <c r="BT89" s="70"/>
      <c r="BU89" s="70"/>
      <c r="BV89" s="85"/>
      <c r="BW89" s="663">
        <v>1100</v>
      </c>
      <c r="BX89" s="663"/>
      <c r="BY89" s="663">
        <v>1100</v>
      </c>
      <c r="BZ89" s="663"/>
    </row>
    <row r="90" spans="1:78" s="26" customFormat="1" ht="63.6" customHeight="1" outlineLevel="1">
      <c r="A90" s="659">
        <v>45</v>
      </c>
      <c r="B90" s="666" t="s">
        <v>752</v>
      </c>
      <c r="C90" s="661" t="s">
        <v>654</v>
      </c>
      <c r="D90" s="661" t="s">
        <v>48</v>
      </c>
      <c r="E90" s="85"/>
      <c r="F90" s="85" t="s">
        <v>638</v>
      </c>
      <c r="G90" s="85" t="s">
        <v>49</v>
      </c>
      <c r="H90" s="661" t="s">
        <v>652</v>
      </c>
      <c r="I90" s="662">
        <v>2025</v>
      </c>
      <c r="J90" s="661">
        <v>2025</v>
      </c>
      <c r="K90" s="661" t="s">
        <v>575</v>
      </c>
      <c r="L90" s="85" t="s">
        <v>753</v>
      </c>
      <c r="M90" s="85">
        <f t="shared" si="33"/>
        <v>4613</v>
      </c>
      <c r="N90" s="85"/>
      <c r="O90" s="84"/>
      <c r="P90" s="84">
        <v>4613</v>
      </c>
      <c r="Q90" s="85"/>
      <c r="R90" s="85" t="s">
        <v>644</v>
      </c>
      <c r="S90" s="85"/>
      <c r="T90" s="85"/>
      <c r="U90" s="85"/>
      <c r="V90" s="85"/>
      <c r="W90" s="84">
        <f t="shared" si="26"/>
        <v>4613</v>
      </c>
      <c r="X90" s="85"/>
      <c r="Y90" s="667"/>
      <c r="Z90" s="85">
        <f>SUM(AA90:AC90)</f>
        <v>4613</v>
      </c>
      <c r="AA90" s="70">
        <v>2500</v>
      </c>
      <c r="AB90" s="70"/>
      <c r="AC90" s="70">
        <v>2113</v>
      </c>
      <c r="AD90" s="70"/>
      <c r="AE90" s="70"/>
      <c r="AF90" s="246"/>
      <c r="AG90" s="245"/>
      <c r="AH90" s="70"/>
      <c r="AI90" s="70"/>
      <c r="AJ90" s="70"/>
      <c r="AK90" s="70"/>
      <c r="AL90" s="70"/>
      <c r="AM90" s="70"/>
      <c r="AN90" s="245"/>
      <c r="AO90" s="245"/>
      <c r="AP90" s="70"/>
      <c r="AQ90" s="70"/>
      <c r="AR90" s="70"/>
      <c r="AS90" s="70"/>
      <c r="AT90" s="70">
        <f t="shared" si="27"/>
        <v>4613</v>
      </c>
      <c r="AU90" s="70"/>
      <c r="AV90" s="246"/>
      <c r="AW90" s="70">
        <f>SUM(AX90:AZ90)</f>
        <v>4613</v>
      </c>
      <c r="AX90" s="70">
        <v>2500</v>
      </c>
      <c r="AY90" s="70"/>
      <c r="AZ90" s="70">
        <v>2113</v>
      </c>
      <c r="BA90" s="70">
        <f>BB90+BC90+BD90</f>
        <v>4590.1720000000005</v>
      </c>
      <c r="BB90" s="70"/>
      <c r="BC90" s="245"/>
      <c r="BD90" s="245">
        <f t="shared" si="43"/>
        <v>4590.1720000000005</v>
      </c>
      <c r="BE90" s="70">
        <v>2500</v>
      </c>
      <c r="BF90" s="70"/>
      <c r="BG90" s="70"/>
      <c r="BH90" s="70">
        <v>2090.172</v>
      </c>
      <c r="BI90" s="245">
        <f>BJ90+BK90+BL90</f>
        <v>0</v>
      </c>
      <c r="BJ90" s="70"/>
      <c r="BK90" s="70"/>
      <c r="BL90" s="70"/>
      <c r="BM90" s="245">
        <f>BN90+BO90+BP90</f>
        <v>0</v>
      </c>
      <c r="BN90" s="70"/>
      <c r="BO90" s="70"/>
      <c r="BP90" s="70"/>
      <c r="BQ90" s="70"/>
      <c r="BR90" s="70"/>
      <c r="BS90" s="70"/>
      <c r="BT90" s="70"/>
      <c r="BU90" s="70"/>
      <c r="BV90" s="85"/>
      <c r="BW90" s="663">
        <v>2500</v>
      </c>
      <c r="BX90" s="663"/>
      <c r="BY90" s="663">
        <v>2500</v>
      </c>
      <c r="BZ90" s="663"/>
    </row>
    <row r="91" spans="1:78" s="26" customFormat="1" ht="30" customHeight="1">
      <c r="A91" s="536" t="s">
        <v>14</v>
      </c>
      <c r="B91" s="104" t="s">
        <v>754</v>
      </c>
      <c r="C91" s="104"/>
      <c r="D91" s="104"/>
      <c r="E91" s="104"/>
      <c r="F91" s="104">
        <f>SUM(F94:F125)</f>
        <v>0</v>
      </c>
      <c r="G91" s="104"/>
      <c r="H91" s="104">
        <f>SUM(H94:H125)</f>
        <v>0</v>
      </c>
      <c r="I91" s="104"/>
      <c r="J91" s="104"/>
      <c r="K91" s="104"/>
      <c r="L91" s="104"/>
      <c r="M91" s="104">
        <f>M92</f>
        <v>221172.89799999999</v>
      </c>
      <c r="N91" s="104">
        <f t="shared" ref="N91:BU91" si="44">N92</f>
        <v>135000</v>
      </c>
      <c r="O91" s="104">
        <f t="shared" si="44"/>
        <v>58050</v>
      </c>
      <c r="P91" s="104">
        <f t="shared" si="44"/>
        <v>28122.898000000001</v>
      </c>
      <c r="Q91" s="104">
        <f t="shared" si="44"/>
        <v>0</v>
      </c>
      <c r="R91" s="104">
        <f t="shared" si="44"/>
        <v>0</v>
      </c>
      <c r="S91" s="104">
        <f t="shared" si="44"/>
        <v>237.60000000000002</v>
      </c>
      <c r="T91" s="104">
        <f t="shared" si="44"/>
        <v>0</v>
      </c>
      <c r="U91" s="104">
        <f t="shared" si="44"/>
        <v>0</v>
      </c>
      <c r="V91" s="104">
        <f t="shared" si="44"/>
        <v>237.60000000000002</v>
      </c>
      <c r="W91" s="104">
        <f t="shared" si="44"/>
        <v>22800.866276000001</v>
      </c>
      <c r="X91" s="104">
        <f t="shared" si="44"/>
        <v>134999.636</v>
      </c>
      <c r="Y91" s="104">
        <f t="shared" si="44"/>
        <v>58050</v>
      </c>
      <c r="Z91" s="104">
        <f t="shared" si="44"/>
        <v>22800.866276000001</v>
      </c>
      <c r="AA91" s="104">
        <f t="shared" si="44"/>
        <v>14329.842503</v>
      </c>
      <c r="AB91" s="104">
        <f t="shared" si="44"/>
        <v>0</v>
      </c>
      <c r="AC91" s="104">
        <f t="shared" si="44"/>
        <v>8471.023772999999</v>
      </c>
      <c r="AD91" s="104">
        <f t="shared" si="44"/>
        <v>197924.53827600004</v>
      </c>
      <c r="AE91" s="104">
        <f t="shared" si="44"/>
        <v>135253.636</v>
      </c>
      <c r="AF91" s="104">
        <f t="shared" si="44"/>
        <v>45250</v>
      </c>
      <c r="AG91" s="104">
        <f t="shared" si="44"/>
        <v>17674.902276000001</v>
      </c>
      <c r="AH91" s="104">
        <f t="shared" si="44"/>
        <v>10115.222502999999</v>
      </c>
      <c r="AI91" s="104">
        <f t="shared" si="44"/>
        <v>0</v>
      </c>
      <c r="AJ91" s="104">
        <f t="shared" si="44"/>
        <v>0</v>
      </c>
      <c r="AK91" s="104">
        <f t="shared" si="44"/>
        <v>7813.6797729999998</v>
      </c>
      <c r="AL91" s="104">
        <f t="shared" si="44"/>
        <v>197549.61502200004</v>
      </c>
      <c r="AM91" s="104">
        <f t="shared" si="44"/>
        <v>132094.59400000001</v>
      </c>
      <c r="AN91" s="104">
        <f t="shared" si="44"/>
        <v>45250</v>
      </c>
      <c r="AO91" s="104">
        <f t="shared" si="44"/>
        <v>19871.855022000007</v>
      </c>
      <c r="AP91" s="104">
        <f t="shared" si="44"/>
        <v>12649.920502999999</v>
      </c>
      <c r="AQ91" s="104">
        <f t="shared" si="44"/>
        <v>241.184</v>
      </c>
      <c r="AR91" s="104">
        <f t="shared" si="44"/>
        <v>0</v>
      </c>
      <c r="AS91" s="104">
        <f t="shared" si="44"/>
        <v>7463.1185189999997</v>
      </c>
      <c r="AT91" s="104">
        <f t="shared" si="44"/>
        <v>1669.31</v>
      </c>
      <c r="AU91" s="104">
        <f t="shared" si="44"/>
        <v>0</v>
      </c>
      <c r="AV91" s="104">
        <f t="shared" si="44"/>
        <v>12800</v>
      </c>
      <c r="AW91" s="104">
        <f t="shared" si="44"/>
        <v>1669.31</v>
      </c>
      <c r="AX91" s="104">
        <f t="shared" si="44"/>
        <v>1669.31</v>
      </c>
      <c r="AY91" s="104">
        <f t="shared" si="44"/>
        <v>0</v>
      </c>
      <c r="AZ91" s="104">
        <f t="shared" si="44"/>
        <v>0</v>
      </c>
      <c r="BA91" s="104">
        <f t="shared" si="44"/>
        <v>2241.652</v>
      </c>
      <c r="BB91" s="104">
        <f t="shared" si="44"/>
        <v>0</v>
      </c>
      <c r="BC91" s="104">
        <f t="shared" si="44"/>
        <v>574.35</v>
      </c>
      <c r="BD91" s="104">
        <f t="shared" si="44"/>
        <v>1667.3020000000001</v>
      </c>
      <c r="BE91" s="104">
        <f t="shared" si="44"/>
        <v>1666.22</v>
      </c>
      <c r="BF91" s="104">
        <f t="shared" si="44"/>
        <v>0</v>
      </c>
      <c r="BG91" s="104">
        <f t="shared" si="44"/>
        <v>0</v>
      </c>
      <c r="BH91" s="104">
        <f t="shared" si="44"/>
        <v>1.0820000000000001</v>
      </c>
      <c r="BI91" s="104">
        <f t="shared" si="44"/>
        <v>3680.8232580000004</v>
      </c>
      <c r="BJ91" s="104">
        <f t="shared" si="44"/>
        <v>3146.2260000000001</v>
      </c>
      <c r="BK91" s="104">
        <f t="shared" si="44"/>
        <v>0</v>
      </c>
      <c r="BL91" s="104">
        <f t="shared" si="44"/>
        <v>534.59725800000001</v>
      </c>
      <c r="BM91" s="104">
        <f t="shared" si="44"/>
        <v>493.331255</v>
      </c>
      <c r="BN91" s="104">
        <f t="shared" si="44"/>
        <v>0</v>
      </c>
      <c r="BO91" s="104">
        <f t="shared" si="44"/>
        <v>0</v>
      </c>
      <c r="BP91" s="104">
        <f t="shared" si="44"/>
        <v>493.331255</v>
      </c>
      <c r="BQ91" s="104">
        <f t="shared" si="44"/>
        <v>0</v>
      </c>
      <c r="BR91" s="104">
        <f t="shared" si="44"/>
        <v>0</v>
      </c>
      <c r="BS91" s="104">
        <f t="shared" si="44"/>
        <v>0</v>
      </c>
      <c r="BT91" s="104">
        <f t="shared" si="44"/>
        <v>0</v>
      </c>
      <c r="BU91" s="104">
        <f t="shared" si="44"/>
        <v>490.94525800000002</v>
      </c>
      <c r="BV91" s="104"/>
      <c r="BW91" s="75"/>
      <c r="BX91" s="75"/>
      <c r="BY91" s="75"/>
      <c r="BZ91" s="75"/>
    </row>
    <row r="92" spans="1:78" s="26" customFormat="1" ht="30" customHeight="1">
      <c r="A92" s="553" t="s">
        <v>45</v>
      </c>
      <c r="B92" s="677" t="s">
        <v>51</v>
      </c>
      <c r="C92" s="658"/>
      <c r="D92" s="658"/>
      <c r="E92" s="658"/>
      <c r="F92" s="658"/>
      <c r="G92" s="658"/>
      <c r="H92" s="658"/>
      <c r="I92" s="678"/>
      <c r="J92" s="658"/>
      <c r="K92" s="658"/>
      <c r="L92" s="658"/>
      <c r="M92" s="658">
        <f>SUM(M93:M125)</f>
        <v>221172.89799999999</v>
      </c>
      <c r="N92" s="658">
        <f t="shared" ref="N92:BT92" si="45">SUM(N93:N125)</f>
        <v>135000</v>
      </c>
      <c r="O92" s="658">
        <f t="shared" si="45"/>
        <v>58050</v>
      </c>
      <c r="P92" s="658">
        <f t="shared" si="45"/>
        <v>28122.898000000001</v>
      </c>
      <c r="Q92" s="658">
        <f t="shared" si="45"/>
        <v>0</v>
      </c>
      <c r="R92" s="658">
        <f t="shared" si="45"/>
        <v>0</v>
      </c>
      <c r="S92" s="658">
        <f t="shared" si="45"/>
        <v>237.60000000000002</v>
      </c>
      <c r="T92" s="658">
        <f t="shared" si="45"/>
        <v>0</v>
      </c>
      <c r="U92" s="658">
        <f t="shared" si="45"/>
        <v>0</v>
      </c>
      <c r="V92" s="658">
        <f t="shared" si="45"/>
        <v>237.60000000000002</v>
      </c>
      <c r="W92" s="658">
        <f t="shared" si="45"/>
        <v>22800.866276000001</v>
      </c>
      <c r="X92" s="658">
        <f t="shared" si="45"/>
        <v>134999.636</v>
      </c>
      <c r="Y92" s="658">
        <f t="shared" si="45"/>
        <v>58050</v>
      </c>
      <c r="Z92" s="658">
        <f t="shared" si="45"/>
        <v>22800.866276000001</v>
      </c>
      <c r="AA92" s="658">
        <f t="shared" si="45"/>
        <v>14329.842503</v>
      </c>
      <c r="AB92" s="658">
        <f t="shared" si="45"/>
        <v>0</v>
      </c>
      <c r="AC92" s="658">
        <f t="shared" si="45"/>
        <v>8471.023772999999</v>
      </c>
      <c r="AD92" s="658">
        <f t="shared" si="45"/>
        <v>197924.53827600004</v>
      </c>
      <c r="AE92" s="658">
        <f t="shared" si="45"/>
        <v>135253.636</v>
      </c>
      <c r="AF92" s="658">
        <f t="shared" si="45"/>
        <v>45250</v>
      </c>
      <c r="AG92" s="658">
        <f t="shared" si="45"/>
        <v>17674.902276000001</v>
      </c>
      <c r="AH92" s="658">
        <f t="shared" si="45"/>
        <v>10115.222502999999</v>
      </c>
      <c r="AI92" s="658">
        <f t="shared" si="45"/>
        <v>0</v>
      </c>
      <c r="AJ92" s="658">
        <f t="shared" si="45"/>
        <v>0</v>
      </c>
      <c r="AK92" s="658">
        <f t="shared" si="45"/>
        <v>7813.6797729999998</v>
      </c>
      <c r="AL92" s="658">
        <f t="shared" si="45"/>
        <v>197549.61502200004</v>
      </c>
      <c r="AM92" s="658">
        <f t="shared" si="45"/>
        <v>132094.59400000001</v>
      </c>
      <c r="AN92" s="658">
        <f t="shared" si="45"/>
        <v>45250</v>
      </c>
      <c r="AO92" s="658">
        <f t="shared" si="45"/>
        <v>19871.855022000007</v>
      </c>
      <c r="AP92" s="658">
        <f t="shared" si="45"/>
        <v>12649.920502999999</v>
      </c>
      <c r="AQ92" s="658">
        <f t="shared" si="45"/>
        <v>241.184</v>
      </c>
      <c r="AR92" s="658">
        <f t="shared" si="45"/>
        <v>0</v>
      </c>
      <c r="AS92" s="658">
        <f t="shared" si="45"/>
        <v>7463.1185189999997</v>
      </c>
      <c r="AT92" s="658">
        <f t="shared" si="45"/>
        <v>1669.31</v>
      </c>
      <c r="AU92" s="658">
        <f t="shared" si="45"/>
        <v>0</v>
      </c>
      <c r="AV92" s="658">
        <f t="shared" si="45"/>
        <v>12800</v>
      </c>
      <c r="AW92" s="658">
        <f t="shared" si="45"/>
        <v>1669.31</v>
      </c>
      <c r="AX92" s="658">
        <f t="shared" si="45"/>
        <v>1669.31</v>
      </c>
      <c r="AY92" s="658">
        <f t="shared" si="45"/>
        <v>0</v>
      </c>
      <c r="AZ92" s="658">
        <f t="shared" si="45"/>
        <v>0</v>
      </c>
      <c r="BA92" s="658">
        <f t="shared" si="45"/>
        <v>2241.652</v>
      </c>
      <c r="BB92" s="658">
        <f t="shared" si="45"/>
        <v>0</v>
      </c>
      <c r="BC92" s="658">
        <f t="shared" si="45"/>
        <v>574.35</v>
      </c>
      <c r="BD92" s="658">
        <f t="shared" si="45"/>
        <v>1667.3020000000001</v>
      </c>
      <c r="BE92" s="658">
        <f t="shared" si="45"/>
        <v>1666.22</v>
      </c>
      <c r="BF92" s="658">
        <f t="shared" si="45"/>
        <v>0</v>
      </c>
      <c r="BG92" s="658">
        <f t="shared" si="45"/>
        <v>0</v>
      </c>
      <c r="BH92" s="658">
        <f t="shared" si="45"/>
        <v>1.0820000000000001</v>
      </c>
      <c r="BI92" s="658">
        <f t="shared" si="45"/>
        <v>3680.8232580000004</v>
      </c>
      <c r="BJ92" s="658">
        <f t="shared" si="45"/>
        <v>3146.2260000000001</v>
      </c>
      <c r="BK92" s="658">
        <f t="shared" si="45"/>
        <v>0</v>
      </c>
      <c r="BL92" s="658">
        <f t="shared" si="45"/>
        <v>534.59725800000001</v>
      </c>
      <c r="BM92" s="658">
        <f t="shared" si="45"/>
        <v>493.331255</v>
      </c>
      <c r="BN92" s="658">
        <f t="shared" si="45"/>
        <v>0</v>
      </c>
      <c r="BO92" s="658">
        <f t="shared" si="45"/>
        <v>0</v>
      </c>
      <c r="BP92" s="658">
        <f t="shared" si="45"/>
        <v>493.331255</v>
      </c>
      <c r="BQ92" s="658">
        <f t="shared" si="45"/>
        <v>0</v>
      </c>
      <c r="BR92" s="658">
        <f t="shared" si="45"/>
        <v>0</v>
      </c>
      <c r="BS92" s="658">
        <f t="shared" si="45"/>
        <v>0</v>
      </c>
      <c r="BT92" s="658">
        <f t="shared" si="45"/>
        <v>0</v>
      </c>
      <c r="BU92" s="658">
        <f>SUM(BU93:BU125)</f>
        <v>490.94525800000002</v>
      </c>
      <c r="BV92" s="658"/>
      <c r="BW92" s="75"/>
      <c r="BX92" s="75"/>
      <c r="BY92" s="75"/>
      <c r="BZ92" s="75"/>
    </row>
    <row r="93" spans="1:78" s="26" customFormat="1" ht="69" customHeight="1" outlineLevel="1">
      <c r="A93" s="659">
        <v>1</v>
      </c>
      <c r="B93" s="666" t="s">
        <v>755</v>
      </c>
      <c r="C93" s="661" t="s">
        <v>613</v>
      </c>
      <c r="D93" s="661" t="s">
        <v>48</v>
      </c>
      <c r="E93" s="85">
        <v>7898003</v>
      </c>
      <c r="F93" s="85" t="s">
        <v>754</v>
      </c>
      <c r="G93" s="85" t="s">
        <v>10</v>
      </c>
      <c r="H93" s="661" t="s">
        <v>758</v>
      </c>
      <c r="I93" s="662" t="s">
        <v>83</v>
      </c>
      <c r="J93" s="661" t="s">
        <v>756</v>
      </c>
      <c r="K93" s="661" t="s">
        <v>575</v>
      </c>
      <c r="L93" s="85" t="s">
        <v>757</v>
      </c>
      <c r="M93" s="85">
        <v>150000</v>
      </c>
      <c r="N93" s="85">
        <v>135000</v>
      </c>
      <c r="O93" s="84">
        <v>12800</v>
      </c>
      <c r="P93" s="84">
        <v>2200</v>
      </c>
      <c r="Q93" s="85"/>
      <c r="R93" s="85" t="s">
        <v>759</v>
      </c>
      <c r="S93" s="85"/>
      <c r="T93" s="85"/>
      <c r="U93" s="85"/>
      <c r="V93" s="85"/>
      <c r="W93" s="84">
        <f t="shared" ref="W93:W130" si="46">AA93+AB93+AC93</f>
        <v>2200</v>
      </c>
      <c r="X93" s="85">
        <v>134999.636</v>
      </c>
      <c r="Y93" s="667">
        <v>12800</v>
      </c>
      <c r="Z93" s="85">
        <f>SUM(AA93:AC93)</f>
        <v>2200</v>
      </c>
      <c r="AA93" s="70">
        <v>2200</v>
      </c>
      <c r="AB93" s="70"/>
      <c r="AC93" s="70"/>
      <c r="AD93" s="70">
        <f>AE93+AF93+AG93</f>
        <v>137199.636</v>
      </c>
      <c r="AE93" s="70">
        <v>134999.636</v>
      </c>
      <c r="AF93" s="246"/>
      <c r="AG93" s="245">
        <f>AH93+AI93+AJ93+AK93</f>
        <v>2200</v>
      </c>
      <c r="AH93" s="70">
        <v>2200</v>
      </c>
      <c r="AI93" s="70"/>
      <c r="AJ93" s="70"/>
      <c r="AK93" s="70"/>
      <c r="AL93" s="70">
        <f>AM93+BC93+AO93</f>
        <v>134627.76</v>
      </c>
      <c r="AM93" s="70">
        <f>134999.636-BJ93</f>
        <v>131853.41</v>
      </c>
      <c r="AN93" s="104"/>
      <c r="AO93" s="245">
        <f>AP93+AQ93+AR93+AS93</f>
        <v>2200</v>
      </c>
      <c r="AP93" s="70">
        <v>2200</v>
      </c>
      <c r="AQ93" s="70"/>
      <c r="AR93" s="70"/>
      <c r="AS93" s="70"/>
      <c r="AT93" s="70">
        <f t="shared" ref="AT93:AT130" si="47">AX93+AY93+AZ93</f>
        <v>0</v>
      </c>
      <c r="AU93" s="70"/>
      <c r="AV93" s="246">
        <v>12800</v>
      </c>
      <c r="AW93" s="70">
        <f>SUM(AX93:AZ93)</f>
        <v>0</v>
      </c>
      <c r="AX93" s="70">
        <v>0</v>
      </c>
      <c r="AY93" s="70"/>
      <c r="AZ93" s="70"/>
      <c r="BA93" s="70">
        <f>BB93+BC93+BD93</f>
        <v>574.35</v>
      </c>
      <c r="BB93" s="70"/>
      <c r="BC93" s="245">
        <v>574.35</v>
      </c>
      <c r="BD93" s="245">
        <f>BE93+BF93+BG93+BH93</f>
        <v>0</v>
      </c>
      <c r="BE93" s="70"/>
      <c r="BF93" s="70"/>
      <c r="BG93" s="70"/>
      <c r="BH93" s="70"/>
      <c r="BI93" s="245">
        <f>BJ93+BK93+BL93</f>
        <v>3146.2260000000001</v>
      </c>
      <c r="BJ93" s="70">
        <v>3146.2260000000001</v>
      </c>
      <c r="BK93" s="70"/>
      <c r="BL93" s="70"/>
      <c r="BM93" s="245">
        <f>BN93+BO93+BP93</f>
        <v>0</v>
      </c>
      <c r="BN93" s="70"/>
      <c r="BO93" s="70"/>
      <c r="BP93" s="70"/>
      <c r="BQ93" s="70"/>
      <c r="BR93" s="70"/>
      <c r="BS93" s="70"/>
      <c r="BT93" s="70"/>
      <c r="BU93" s="70"/>
      <c r="BV93" s="85"/>
      <c r="BW93" s="663">
        <v>2200</v>
      </c>
      <c r="BX93" s="663"/>
      <c r="BY93" s="663"/>
      <c r="BZ93" s="663"/>
    </row>
    <row r="94" spans="1:78" s="26" customFormat="1" ht="63.75" customHeight="1" outlineLevel="1">
      <c r="A94" s="659">
        <v>2</v>
      </c>
      <c r="B94" s="666" t="s">
        <v>760</v>
      </c>
      <c r="C94" s="661" t="s">
        <v>77</v>
      </c>
      <c r="D94" s="661" t="s">
        <v>48</v>
      </c>
      <c r="E94" s="85"/>
      <c r="F94" s="85" t="s">
        <v>754</v>
      </c>
      <c r="G94" s="85" t="s">
        <v>49</v>
      </c>
      <c r="H94" s="661" t="s">
        <v>758</v>
      </c>
      <c r="I94" s="662">
        <v>2020</v>
      </c>
      <c r="J94" s="661">
        <v>2020</v>
      </c>
      <c r="K94" s="661" t="s">
        <v>761</v>
      </c>
      <c r="L94" s="85" t="s">
        <v>761</v>
      </c>
      <c r="M94" s="85">
        <v>491.6</v>
      </c>
      <c r="N94" s="85"/>
      <c r="O94" s="84"/>
      <c r="P94" s="84">
        <v>491.6</v>
      </c>
      <c r="Q94" s="85" t="s">
        <v>762</v>
      </c>
      <c r="R94" s="85" t="s">
        <v>763</v>
      </c>
      <c r="S94" s="85">
        <v>237.60000000000002</v>
      </c>
      <c r="T94" s="85"/>
      <c r="U94" s="85"/>
      <c r="V94" s="85">
        <v>237.60000000000002</v>
      </c>
      <c r="W94" s="84">
        <f t="shared" si="46"/>
        <v>254</v>
      </c>
      <c r="X94" s="85"/>
      <c r="Y94" s="667"/>
      <c r="Z94" s="85">
        <v>254</v>
      </c>
      <c r="AA94" s="70">
        <v>254</v>
      </c>
      <c r="AB94" s="70"/>
      <c r="AC94" s="70"/>
      <c r="AD94" s="70"/>
      <c r="AE94" s="70">
        <v>254</v>
      </c>
      <c r="AF94" s="246"/>
      <c r="AG94" s="245"/>
      <c r="AH94" s="70">
        <v>254</v>
      </c>
      <c r="AI94" s="70"/>
      <c r="AJ94" s="70"/>
      <c r="AK94" s="70"/>
      <c r="AL94" s="70"/>
      <c r="AM94" s="70">
        <v>241.184</v>
      </c>
      <c r="AN94" s="245"/>
      <c r="AO94" s="245"/>
      <c r="AP94" s="70">
        <v>241.184</v>
      </c>
      <c r="AQ94" s="70">
        <v>241.184</v>
      </c>
      <c r="AR94" s="70"/>
      <c r="AS94" s="70"/>
      <c r="AT94" s="70">
        <f t="shared" si="47"/>
        <v>0</v>
      </c>
      <c r="AU94" s="70"/>
      <c r="AV94" s="246"/>
      <c r="AW94" s="70"/>
      <c r="AX94" s="70"/>
      <c r="AY94" s="70"/>
      <c r="AZ94" s="70"/>
      <c r="BA94" s="70"/>
      <c r="BB94" s="70"/>
      <c r="BC94" s="245"/>
      <c r="BD94" s="245"/>
      <c r="BE94" s="70"/>
      <c r="BF94" s="70"/>
      <c r="BG94" s="70"/>
      <c r="BH94" s="70"/>
      <c r="BI94" s="245"/>
      <c r="BJ94" s="70"/>
      <c r="BK94" s="70"/>
      <c r="BL94" s="70"/>
      <c r="BM94" s="245"/>
      <c r="BN94" s="70"/>
      <c r="BO94" s="70"/>
      <c r="BP94" s="70"/>
      <c r="BQ94" s="70"/>
      <c r="BR94" s="70"/>
      <c r="BS94" s="70"/>
      <c r="BT94" s="70"/>
      <c r="BU94" s="70"/>
      <c r="BV94" s="85" t="s">
        <v>868</v>
      </c>
      <c r="BW94" s="663"/>
      <c r="BX94" s="663"/>
      <c r="BY94" s="663"/>
      <c r="BZ94" s="663"/>
    </row>
    <row r="95" spans="1:78" s="26" customFormat="1" ht="53.25" customHeight="1" outlineLevel="1">
      <c r="A95" s="659">
        <v>3</v>
      </c>
      <c r="B95" s="666" t="s">
        <v>764</v>
      </c>
      <c r="C95" s="661" t="s">
        <v>613</v>
      </c>
      <c r="D95" s="661" t="s">
        <v>48</v>
      </c>
      <c r="E95" s="85">
        <v>7898002</v>
      </c>
      <c r="F95" s="85" t="s">
        <v>754</v>
      </c>
      <c r="G95" s="85" t="s">
        <v>49</v>
      </c>
      <c r="H95" s="661" t="s">
        <v>758</v>
      </c>
      <c r="I95" s="662" t="s">
        <v>52</v>
      </c>
      <c r="J95" s="661">
        <v>2022</v>
      </c>
      <c r="K95" s="661" t="s">
        <v>575</v>
      </c>
      <c r="L95" s="85" t="s">
        <v>765</v>
      </c>
      <c r="M95" s="85">
        <v>50000</v>
      </c>
      <c r="N95" s="85"/>
      <c r="O95" s="84">
        <v>45250</v>
      </c>
      <c r="P95" s="84">
        <v>4750</v>
      </c>
      <c r="Q95" s="85"/>
      <c r="R95" s="85" t="s">
        <v>759</v>
      </c>
      <c r="S95" s="85"/>
      <c r="T95" s="85"/>
      <c r="U95" s="85"/>
      <c r="V95" s="85"/>
      <c r="W95" s="84">
        <f t="shared" si="46"/>
        <v>3487.2400000000002</v>
      </c>
      <c r="X95" s="85"/>
      <c r="Y95" s="667">
        <v>45250</v>
      </c>
      <c r="Z95" s="85">
        <f t="shared" ref="Z95:Z125" si="48">SUM(AA95:AC95)</f>
        <v>3487.2400000000002</v>
      </c>
      <c r="AA95" s="70">
        <v>2614.34</v>
      </c>
      <c r="AB95" s="70"/>
      <c r="AC95" s="70">
        <v>872.9</v>
      </c>
      <c r="AD95" s="70">
        <f t="shared" ref="AD95" si="49">AE95+AF95+AG95</f>
        <v>46122.9</v>
      </c>
      <c r="AE95" s="70"/>
      <c r="AF95" s="246">
        <v>45250</v>
      </c>
      <c r="AG95" s="245">
        <f>AH95+AI95+AJ95+AK95</f>
        <v>872.9</v>
      </c>
      <c r="AH95" s="70"/>
      <c r="AI95" s="70"/>
      <c r="AJ95" s="70"/>
      <c r="AK95" s="70">
        <v>872.9</v>
      </c>
      <c r="AL95" s="70">
        <f t="shared" ref="AL95" si="50">AM95+AN95+AO95</f>
        <v>48711.377999999997</v>
      </c>
      <c r="AM95" s="70"/>
      <c r="AN95" s="245">
        <v>45250</v>
      </c>
      <c r="AO95" s="245">
        <f>AP95+AQ95+AR95+AS95</f>
        <v>3461.3780000000002</v>
      </c>
      <c r="AP95" s="70">
        <f>1000+1545+69.34</f>
        <v>2614.34</v>
      </c>
      <c r="AQ95" s="70"/>
      <c r="AR95" s="70"/>
      <c r="AS95" s="70">
        <v>847.03800000000001</v>
      </c>
      <c r="AT95" s="70">
        <f t="shared" si="47"/>
        <v>69.31</v>
      </c>
      <c r="AU95" s="70"/>
      <c r="AV95" s="246"/>
      <c r="AW95" s="70">
        <f t="shared" ref="AW95:AW125" si="51">SUM(AX95:AZ95)</f>
        <v>69.31</v>
      </c>
      <c r="AX95" s="70">
        <v>69.31</v>
      </c>
      <c r="AY95" s="70"/>
      <c r="AZ95" s="70"/>
      <c r="BA95" s="70">
        <f t="shared" ref="BA95:BA125" si="52">BB95+BC95+BD95</f>
        <v>69.31</v>
      </c>
      <c r="BB95" s="70"/>
      <c r="BC95" s="245"/>
      <c r="BD95" s="245">
        <f t="shared" ref="BD95:BD125" si="53">BE95+BF95+BG95+BH95</f>
        <v>69.31</v>
      </c>
      <c r="BE95" s="70">
        <v>69.31</v>
      </c>
      <c r="BF95" s="70"/>
      <c r="BG95" s="70"/>
      <c r="BH95" s="70"/>
      <c r="BI95" s="245">
        <f t="shared" ref="BI95:BI125" si="54">BJ95+BK95+BL95</f>
        <v>0</v>
      </c>
      <c r="BJ95" s="70"/>
      <c r="BK95" s="70"/>
      <c r="BL95" s="70"/>
      <c r="BM95" s="245">
        <f t="shared" ref="BM95:BM125" si="55">BN95+BO95+BP95</f>
        <v>0</v>
      </c>
      <c r="BN95" s="70"/>
      <c r="BO95" s="70"/>
      <c r="BP95" s="70"/>
      <c r="BQ95" s="70"/>
      <c r="BR95" s="70"/>
      <c r="BS95" s="70"/>
      <c r="BT95" s="70"/>
      <c r="BU95" s="70"/>
      <c r="BV95" s="85"/>
      <c r="BW95" s="663">
        <f>1000+1545+69.34</f>
        <v>2614.34</v>
      </c>
      <c r="BX95" s="663"/>
      <c r="BY95" s="663">
        <v>69.31</v>
      </c>
      <c r="BZ95" s="663"/>
    </row>
    <row r="96" spans="1:78" s="76" customFormat="1" ht="53.25" customHeight="1" outlineLevel="1">
      <c r="A96" s="659">
        <v>4</v>
      </c>
      <c r="B96" s="666" t="s">
        <v>766</v>
      </c>
      <c r="C96" s="661" t="s">
        <v>77</v>
      </c>
      <c r="D96" s="661" t="s">
        <v>82</v>
      </c>
      <c r="E96" s="85">
        <v>7888755</v>
      </c>
      <c r="F96" s="85" t="s">
        <v>754</v>
      </c>
      <c r="G96" s="85" t="s">
        <v>49</v>
      </c>
      <c r="H96" s="661" t="s">
        <v>758</v>
      </c>
      <c r="I96" s="662">
        <v>2021</v>
      </c>
      <c r="J96" s="661">
        <v>2021</v>
      </c>
      <c r="K96" s="661" t="s">
        <v>575</v>
      </c>
      <c r="L96" s="85" t="s">
        <v>767</v>
      </c>
      <c r="M96" s="85">
        <v>300</v>
      </c>
      <c r="N96" s="85"/>
      <c r="O96" s="84"/>
      <c r="P96" s="84">
        <v>300</v>
      </c>
      <c r="Q96" s="85"/>
      <c r="R96" s="85" t="s">
        <v>759</v>
      </c>
      <c r="S96" s="85"/>
      <c r="T96" s="85"/>
      <c r="U96" s="85"/>
      <c r="V96" s="85"/>
      <c r="W96" s="84">
        <f t="shared" si="46"/>
        <v>300</v>
      </c>
      <c r="X96" s="85"/>
      <c r="Y96" s="667"/>
      <c r="Z96" s="85">
        <f t="shared" si="48"/>
        <v>300</v>
      </c>
      <c r="AA96" s="70">
        <v>300</v>
      </c>
      <c r="AB96" s="70"/>
      <c r="AC96" s="70"/>
      <c r="AD96" s="70">
        <v>300</v>
      </c>
      <c r="AE96" s="70"/>
      <c r="AF96" s="246"/>
      <c r="AG96" s="245">
        <v>300</v>
      </c>
      <c r="AH96" s="70">
        <v>300</v>
      </c>
      <c r="AI96" s="70"/>
      <c r="AJ96" s="70"/>
      <c r="AK96" s="70"/>
      <c r="AL96" s="70">
        <v>300</v>
      </c>
      <c r="AM96" s="70"/>
      <c r="AN96" s="245"/>
      <c r="AO96" s="245">
        <f>AP96+AQ96+AR96+AS96</f>
        <v>300</v>
      </c>
      <c r="AP96" s="70">
        <v>300</v>
      </c>
      <c r="AQ96" s="70"/>
      <c r="AR96" s="70"/>
      <c r="AS96" s="70"/>
      <c r="AT96" s="70">
        <f t="shared" si="47"/>
        <v>0</v>
      </c>
      <c r="AU96" s="70"/>
      <c r="AV96" s="246"/>
      <c r="AW96" s="70">
        <f t="shared" si="51"/>
        <v>0</v>
      </c>
      <c r="AX96" s="70">
        <v>0</v>
      </c>
      <c r="AY96" s="70"/>
      <c r="AZ96" s="70"/>
      <c r="BA96" s="70">
        <f t="shared" si="52"/>
        <v>0</v>
      </c>
      <c r="BB96" s="70"/>
      <c r="BC96" s="245"/>
      <c r="BD96" s="245">
        <f t="shared" si="53"/>
        <v>0</v>
      </c>
      <c r="BE96" s="70"/>
      <c r="BF96" s="70"/>
      <c r="BG96" s="70"/>
      <c r="BH96" s="70"/>
      <c r="BI96" s="245">
        <f t="shared" si="54"/>
        <v>0</v>
      </c>
      <c r="BJ96" s="70"/>
      <c r="BK96" s="70"/>
      <c r="BL96" s="70"/>
      <c r="BM96" s="245">
        <f t="shared" si="55"/>
        <v>0</v>
      </c>
      <c r="BN96" s="70"/>
      <c r="BO96" s="70"/>
      <c r="BP96" s="70"/>
      <c r="BQ96" s="70"/>
      <c r="BR96" s="70"/>
      <c r="BS96" s="70"/>
      <c r="BT96" s="70"/>
      <c r="BU96" s="70"/>
      <c r="BV96" s="85"/>
      <c r="BW96" s="663"/>
      <c r="BX96" s="663"/>
      <c r="BY96" s="663"/>
      <c r="BZ96" s="663"/>
    </row>
    <row r="97" spans="1:78" s="26" customFormat="1" ht="53.25" customHeight="1" outlineLevel="1">
      <c r="A97" s="659">
        <v>5</v>
      </c>
      <c r="B97" s="666" t="s">
        <v>768</v>
      </c>
      <c r="C97" s="661" t="s">
        <v>77</v>
      </c>
      <c r="D97" s="661" t="s">
        <v>82</v>
      </c>
      <c r="E97" s="85">
        <v>7888753</v>
      </c>
      <c r="F97" s="85" t="s">
        <v>754</v>
      </c>
      <c r="G97" s="85" t="s">
        <v>49</v>
      </c>
      <c r="H97" s="661" t="s">
        <v>758</v>
      </c>
      <c r="I97" s="662">
        <v>2021</v>
      </c>
      <c r="J97" s="661">
        <v>2021</v>
      </c>
      <c r="K97" s="661" t="s">
        <v>575</v>
      </c>
      <c r="L97" s="85" t="s">
        <v>769</v>
      </c>
      <c r="M97" s="85">
        <v>300</v>
      </c>
      <c r="N97" s="85"/>
      <c r="O97" s="84"/>
      <c r="P97" s="84">
        <v>300</v>
      </c>
      <c r="Q97" s="85"/>
      <c r="R97" s="85" t="s">
        <v>759</v>
      </c>
      <c r="S97" s="85"/>
      <c r="T97" s="85"/>
      <c r="U97" s="85"/>
      <c r="V97" s="85"/>
      <c r="W97" s="84">
        <f t="shared" si="46"/>
        <v>300</v>
      </c>
      <c r="X97" s="85"/>
      <c r="Y97" s="667"/>
      <c r="Z97" s="85">
        <f t="shared" si="48"/>
        <v>300</v>
      </c>
      <c r="AA97" s="70">
        <v>300</v>
      </c>
      <c r="AB97" s="70"/>
      <c r="AC97" s="70"/>
      <c r="AD97" s="70">
        <f t="shared" ref="AD97:AD125" si="56">AE97+AF97+AG97</f>
        <v>300</v>
      </c>
      <c r="AE97" s="70"/>
      <c r="AF97" s="246"/>
      <c r="AG97" s="245">
        <f>AH97+AI97+AJ97+AK97</f>
        <v>300</v>
      </c>
      <c r="AH97" s="70">
        <v>300</v>
      </c>
      <c r="AI97" s="70"/>
      <c r="AJ97" s="70"/>
      <c r="AK97" s="70"/>
      <c r="AL97" s="70">
        <f t="shared" ref="AL97:AL125" si="57">AM97+AN97+AO97</f>
        <v>300</v>
      </c>
      <c r="AM97" s="70"/>
      <c r="AN97" s="245"/>
      <c r="AO97" s="245">
        <f>AP97+AQ97+AR97+AS97</f>
        <v>300</v>
      </c>
      <c r="AP97" s="70">
        <v>300</v>
      </c>
      <c r="AQ97" s="70"/>
      <c r="AR97" s="70"/>
      <c r="AS97" s="70"/>
      <c r="AT97" s="70">
        <f t="shared" si="47"/>
        <v>0</v>
      </c>
      <c r="AU97" s="70"/>
      <c r="AV97" s="246"/>
      <c r="AW97" s="70">
        <f t="shared" si="51"/>
        <v>0</v>
      </c>
      <c r="AX97" s="70">
        <v>0</v>
      </c>
      <c r="AY97" s="70"/>
      <c r="AZ97" s="70"/>
      <c r="BA97" s="70">
        <f t="shared" si="52"/>
        <v>0</v>
      </c>
      <c r="BB97" s="70"/>
      <c r="BC97" s="245"/>
      <c r="BD97" s="245">
        <f t="shared" si="53"/>
        <v>0</v>
      </c>
      <c r="BE97" s="70"/>
      <c r="BF97" s="70"/>
      <c r="BG97" s="70"/>
      <c r="BH97" s="70"/>
      <c r="BI97" s="245">
        <f t="shared" si="54"/>
        <v>0</v>
      </c>
      <c r="BJ97" s="70"/>
      <c r="BK97" s="70"/>
      <c r="BL97" s="70"/>
      <c r="BM97" s="245">
        <f t="shared" si="55"/>
        <v>0</v>
      </c>
      <c r="BN97" s="70"/>
      <c r="BO97" s="70"/>
      <c r="BP97" s="70"/>
      <c r="BQ97" s="70"/>
      <c r="BR97" s="70"/>
      <c r="BS97" s="70"/>
      <c r="BT97" s="70"/>
      <c r="BU97" s="70"/>
      <c r="BV97" s="85"/>
      <c r="BW97" s="663">
        <v>300</v>
      </c>
      <c r="BX97" s="663"/>
      <c r="BY97" s="663"/>
      <c r="BZ97" s="663"/>
    </row>
    <row r="98" spans="1:78" s="26" customFormat="1" ht="53.25" customHeight="1" outlineLevel="1">
      <c r="A98" s="659">
        <v>6</v>
      </c>
      <c r="B98" s="666" t="s">
        <v>770</v>
      </c>
      <c r="C98" s="661" t="s">
        <v>613</v>
      </c>
      <c r="D98" s="661" t="s">
        <v>105</v>
      </c>
      <c r="E98" s="85">
        <v>7922183</v>
      </c>
      <c r="F98" s="85" t="s">
        <v>754</v>
      </c>
      <c r="G98" s="85" t="s">
        <v>49</v>
      </c>
      <c r="H98" s="661" t="s">
        <v>772</v>
      </c>
      <c r="I98" s="662">
        <v>2021</v>
      </c>
      <c r="J98" s="661">
        <v>2021</v>
      </c>
      <c r="K98" s="661" t="s">
        <v>575</v>
      </c>
      <c r="L98" s="85" t="s">
        <v>771</v>
      </c>
      <c r="M98" s="85">
        <v>805.94</v>
      </c>
      <c r="N98" s="85"/>
      <c r="O98" s="84"/>
      <c r="P98" s="84">
        <v>805.94</v>
      </c>
      <c r="Q98" s="85"/>
      <c r="R98" s="85" t="s">
        <v>759</v>
      </c>
      <c r="S98" s="85"/>
      <c r="T98" s="85"/>
      <c r="U98" s="85"/>
      <c r="V98" s="85"/>
      <c r="W98" s="84">
        <f t="shared" si="46"/>
        <v>806</v>
      </c>
      <c r="X98" s="85"/>
      <c r="Y98" s="667"/>
      <c r="Z98" s="85">
        <f t="shared" si="48"/>
        <v>806</v>
      </c>
      <c r="AA98" s="70">
        <v>806</v>
      </c>
      <c r="AB98" s="70"/>
      <c r="AC98" s="70"/>
      <c r="AD98" s="70">
        <f t="shared" si="56"/>
        <v>805.94</v>
      </c>
      <c r="AE98" s="70"/>
      <c r="AF98" s="246"/>
      <c r="AG98" s="245">
        <f t="shared" ref="AG98:AG113" si="58">AH98+AI98+AJ98+AK98</f>
        <v>805.94</v>
      </c>
      <c r="AH98" s="70">
        <v>805.94</v>
      </c>
      <c r="AI98" s="70"/>
      <c r="AJ98" s="70"/>
      <c r="AK98" s="70"/>
      <c r="AL98" s="70">
        <f t="shared" si="57"/>
        <v>806</v>
      </c>
      <c r="AM98" s="70"/>
      <c r="AN98" s="245"/>
      <c r="AO98" s="245">
        <f t="shared" ref="AO98:AO113" si="59">AP98+AQ98+AR98+AS98</f>
        <v>806</v>
      </c>
      <c r="AP98" s="70">
        <v>806</v>
      </c>
      <c r="AQ98" s="70"/>
      <c r="AR98" s="70"/>
      <c r="AS98" s="70"/>
      <c r="AT98" s="70">
        <f t="shared" si="47"/>
        <v>0</v>
      </c>
      <c r="AU98" s="70"/>
      <c r="AV98" s="246"/>
      <c r="AW98" s="70">
        <f t="shared" si="51"/>
        <v>0</v>
      </c>
      <c r="AX98" s="70">
        <v>0</v>
      </c>
      <c r="AY98" s="70"/>
      <c r="AZ98" s="70"/>
      <c r="BA98" s="70">
        <f t="shared" si="52"/>
        <v>0</v>
      </c>
      <c r="BB98" s="70"/>
      <c r="BC98" s="245"/>
      <c r="BD98" s="245">
        <f t="shared" si="53"/>
        <v>0</v>
      </c>
      <c r="BE98" s="70"/>
      <c r="BF98" s="70"/>
      <c r="BG98" s="70"/>
      <c r="BH98" s="70"/>
      <c r="BI98" s="245">
        <f t="shared" si="54"/>
        <v>0</v>
      </c>
      <c r="BJ98" s="70"/>
      <c r="BK98" s="70"/>
      <c r="BL98" s="70"/>
      <c r="BM98" s="245">
        <f t="shared" si="55"/>
        <v>0</v>
      </c>
      <c r="BN98" s="70"/>
      <c r="BO98" s="70"/>
      <c r="BP98" s="70"/>
      <c r="BQ98" s="70"/>
      <c r="BR98" s="70"/>
      <c r="BS98" s="70"/>
      <c r="BT98" s="70"/>
      <c r="BU98" s="70"/>
      <c r="BV98" s="85"/>
      <c r="BW98" s="663">
        <v>805.94</v>
      </c>
      <c r="BX98" s="663"/>
      <c r="BY98" s="663"/>
      <c r="BZ98" s="663"/>
    </row>
    <row r="99" spans="1:78" s="26" customFormat="1" ht="53.25" customHeight="1" outlineLevel="1">
      <c r="A99" s="659">
        <v>9</v>
      </c>
      <c r="B99" s="666" t="s">
        <v>777</v>
      </c>
      <c r="C99" s="661" t="s">
        <v>613</v>
      </c>
      <c r="D99" s="661" t="s">
        <v>48</v>
      </c>
      <c r="E99" s="85"/>
      <c r="F99" s="85" t="s">
        <v>754</v>
      </c>
      <c r="G99" s="85" t="s">
        <v>49</v>
      </c>
      <c r="H99" s="661" t="s">
        <v>772</v>
      </c>
      <c r="I99" s="662" t="s">
        <v>69</v>
      </c>
      <c r="J99" s="661" t="s">
        <v>69</v>
      </c>
      <c r="K99" s="661" t="s">
        <v>575</v>
      </c>
      <c r="L99" s="85" t="s">
        <v>778</v>
      </c>
      <c r="M99" s="85">
        <v>572.20699999999999</v>
      </c>
      <c r="N99" s="85"/>
      <c r="O99" s="84"/>
      <c r="P99" s="84">
        <v>572.20699999999999</v>
      </c>
      <c r="Q99" s="85"/>
      <c r="R99" s="85" t="s">
        <v>759</v>
      </c>
      <c r="S99" s="85"/>
      <c r="T99" s="85"/>
      <c r="U99" s="85"/>
      <c r="V99" s="85"/>
      <c r="W99" s="84">
        <f t="shared" si="46"/>
        <v>40.442</v>
      </c>
      <c r="X99" s="85"/>
      <c r="Y99" s="667"/>
      <c r="Z99" s="85">
        <f t="shared" si="48"/>
        <v>40.442</v>
      </c>
      <c r="AA99" s="70">
        <v>0</v>
      </c>
      <c r="AB99" s="70"/>
      <c r="AC99" s="70">
        <v>40.442</v>
      </c>
      <c r="AD99" s="70">
        <f t="shared" si="56"/>
        <v>40.442</v>
      </c>
      <c r="AE99" s="70"/>
      <c r="AF99" s="246"/>
      <c r="AG99" s="245">
        <f t="shared" si="58"/>
        <v>40.442</v>
      </c>
      <c r="AH99" s="70"/>
      <c r="AI99" s="70"/>
      <c r="AJ99" s="70"/>
      <c r="AK99" s="70">
        <v>40.442</v>
      </c>
      <c r="AL99" s="70">
        <f t="shared" si="57"/>
        <v>40.442</v>
      </c>
      <c r="AM99" s="70"/>
      <c r="AN99" s="245"/>
      <c r="AO99" s="245">
        <f t="shared" si="59"/>
        <v>40.442</v>
      </c>
      <c r="AP99" s="70"/>
      <c r="AQ99" s="70"/>
      <c r="AR99" s="70"/>
      <c r="AS99" s="70">
        <v>40.442</v>
      </c>
      <c r="AT99" s="70">
        <f t="shared" si="47"/>
        <v>0</v>
      </c>
      <c r="AU99" s="70"/>
      <c r="AV99" s="246"/>
      <c r="AW99" s="70">
        <f t="shared" si="51"/>
        <v>0</v>
      </c>
      <c r="AX99" s="70">
        <v>0</v>
      </c>
      <c r="AY99" s="70"/>
      <c r="AZ99" s="70"/>
      <c r="BA99" s="70">
        <f t="shared" si="52"/>
        <v>0</v>
      </c>
      <c r="BB99" s="70"/>
      <c r="BC99" s="245"/>
      <c r="BD99" s="245">
        <f t="shared" si="53"/>
        <v>0</v>
      </c>
      <c r="BE99" s="70"/>
      <c r="BF99" s="70"/>
      <c r="BG99" s="70"/>
      <c r="BH99" s="70"/>
      <c r="BI99" s="245">
        <f t="shared" si="54"/>
        <v>0</v>
      </c>
      <c r="BJ99" s="70"/>
      <c r="BK99" s="70"/>
      <c r="BL99" s="70"/>
      <c r="BM99" s="245">
        <f t="shared" si="55"/>
        <v>0</v>
      </c>
      <c r="BN99" s="70"/>
      <c r="BO99" s="70"/>
      <c r="BP99" s="70"/>
      <c r="BQ99" s="70"/>
      <c r="BR99" s="70"/>
      <c r="BS99" s="70"/>
      <c r="BT99" s="70"/>
      <c r="BU99" s="70"/>
      <c r="BV99" s="85"/>
      <c r="BW99" s="663"/>
      <c r="BX99" s="663"/>
      <c r="BY99" s="663"/>
      <c r="BZ99" s="663"/>
    </row>
    <row r="100" spans="1:78" s="26" customFormat="1" ht="53.25" customHeight="1" outlineLevel="1">
      <c r="A100" s="659">
        <v>10</v>
      </c>
      <c r="B100" s="666" t="s">
        <v>779</v>
      </c>
      <c r="C100" s="661" t="s">
        <v>613</v>
      </c>
      <c r="D100" s="661" t="s">
        <v>48</v>
      </c>
      <c r="E100" s="85"/>
      <c r="F100" s="85" t="s">
        <v>754</v>
      </c>
      <c r="G100" s="85" t="s">
        <v>49</v>
      </c>
      <c r="H100" s="661" t="s">
        <v>772</v>
      </c>
      <c r="I100" s="662" t="s">
        <v>69</v>
      </c>
      <c r="J100" s="661" t="s">
        <v>69</v>
      </c>
      <c r="K100" s="661" t="s">
        <v>575</v>
      </c>
      <c r="L100" s="85" t="s">
        <v>780</v>
      </c>
      <c r="M100" s="85">
        <v>633.71500000000003</v>
      </c>
      <c r="N100" s="85"/>
      <c r="O100" s="84"/>
      <c r="P100" s="84">
        <v>633.71500000000003</v>
      </c>
      <c r="Q100" s="85"/>
      <c r="R100" s="85" t="s">
        <v>759</v>
      </c>
      <c r="S100" s="85"/>
      <c r="T100" s="85"/>
      <c r="U100" s="85"/>
      <c r="V100" s="85"/>
      <c r="W100" s="84">
        <f t="shared" si="46"/>
        <v>183.661</v>
      </c>
      <c r="X100" s="85"/>
      <c r="Y100" s="667"/>
      <c r="Z100" s="85">
        <f t="shared" si="48"/>
        <v>183.661</v>
      </c>
      <c r="AA100" s="70">
        <v>0</v>
      </c>
      <c r="AB100" s="70"/>
      <c r="AC100" s="70">
        <v>183.661</v>
      </c>
      <c r="AD100" s="70">
        <f t="shared" si="56"/>
        <v>183.661</v>
      </c>
      <c r="AE100" s="70"/>
      <c r="AF100" s="246"/>
      <c r="AG100" s="245">
        <f t="shared" si="58"/>
        <v>183.661</v>
      </c>
      <c r="AH100" s="70"/>
      <c r="AI100" s="70"/>
      <c r="AJ100" s="70"/>
      <c r="AK100" s="70">
        <v>183.661</v>
      </c>
      <c r="AL100" s="70">
        <f t="shared" si="57"/>
        <v>183.661</v>
      </c>
      <c r="AM100" s="70"/>
      <c r="AN100" s="245"/>
      <c r="AO100" s="245">
        <f t="shared" si="59"/>
        <v>183.661</v>
      </c>
      <c r="AP100" s="70"/>
      <c r="AQ100" s="70"/>
      <c r="AR100" s="70"/>
      <c r="AS100" s="70">
        <v>183.661</v>
      </c>
      <c r="AT100" s="70">
        <f t="shared" si="47"/>
        <v>0</v>
      </c>
      <c r="AU100" s="70"/>
      <c r="AV100" s="246"/>
      <c r="AW100" s="70">
        <f t="shared" si="51"/>
        <v>0</v>
      </c>
      <c r="AX100" s="70">
        <v>0</v>
      </c>
      <c r="AY100" s="70"/>
      <c r="AZ100" s="70"/>
      <c r="BA100" s="70">
        <f t="shared" si="52"/>
        <v>0</v>
      </c>
      <c r="BB100" s="70"/>
      <c r="BC100" s="245"/>
      <c r="BD100" s="245">
        <f t="shared" si="53"/>
        <v>0</v>
      </c>
      <c r="BE100" s="70"/>
      <c r="BF100" s="70"/>
      <c r="BG100" s="70"/>
      <c r="BH100" s="70"/>
      <c r="BI100" s="245">
        <f t="shared" si="54"/>
        <v>0</v>
      </c>
      <c r="BJ100" s="70"/>
      <c r="BK100" s="70"/>
      <c r="BL100" s="70"/>
      <c r="BM100" s="245">
        <f t="shared" si="55"/>
        <v>0</v>
      </c>
      <c r="BN100" s="70"/>
      <c r="BO100" s="70"/>
      <c r="BP100" s="70"/>
      <c r="BQ100" s="70"/>
      <c r="BR100" s="70"/>
      <c r="BS100" s="70"/>
      <c r="BT100" s="70"/>
      <c r="BU100" s="70"/>
      <c r="BV100" s="85"/>
      <c r="BW100" s="663"/>
      <c r="BX100" s="663"/>
      <c r="BY100" s="663"/>
      <c r="BZ100" s="663"/>
    </row>
    <row r="101" spans="1:78" s="26" customFormat="1" ht="53.25" customHeight="1" outlineLevel="1">
      <c r="A101" s="659">
        <v>11</v>
      </c>
      <c r="B101" s="666" t="s">
        <v>781</v>
      </c>
      <c r="C101" s="661" t="s">
        <v>598</v>
      </c>
      <c r="D101" s="661" t="s">
        <v>48</v>
      </c>
      <c r="E101" s="85"/>
      <c r="F101" s="85" t="s">
        <v>754</v>
      </c>
      <c r="G101" s="85" t="s">
        <v>49</v>
      </c>
      <c r="H101" s="661" t="s">
        <v>783</v>
      </c>
      <c r="I101" s="662">
        <v>2021</v>
      </c>
      <c r="J101" s="661">
        <v>2021</v>
      </c>
      <c r="K101" s="661" t="s">
        <v>575</v>
      </c>
      <c r="L101" s="85" t="s">
        <v>782</v>
      </c>
      <c r="M101" s="85">
        <v>2459.6559999999999</v>
      </c>
      <c r="N101" s="85"/>
      <c r="O101" s="84"/>
      <c r="P101" s="84">
        <v>2459.6559999999999</v>
      </c>
      <c r="Q101" s="85"/>
      <c r="R101" s="85" t="s">
        <v>759</v>
      </c>
      <c r="S101" s="85"/>
      <c r="T101" s="85"/>
      <c r="U101" s="85"/>
      <c r="V101" s="85"/>
      <c r="W101" s="84">
        <f t="shared" si="46"/>
        <v>2253.6329999999998</v>
      </c>
      <c r="X101" s="85"/>
      <c r="Y101" s="667"/>
      <c r="Z101" s="85">
        <f t="shared" si="48"/>
        <v>2253.6329999999998</v>
      </c>
      <c r="AA101" s="70">
        <v>0</v>
      </c>
      <c r="AB101" s="70"/>
      <c r="AC101" s="70">
        <v>2253.6329999999998</v>
      </c>
      <c r="AD101" s="70">
        <f t="shared" si="56"/>
        <v>2253.6329999999998</v>
      </c>
      <c r="AE101" s="70"/>
      <c r="AF101" s="246"/>
      <c r="AG101" s="245">
        <f t="shared" si="58"/>
        <v>2253.6329999999998</v>
      </c>
      <c r="AH101" s="70"/>
      <c r="AI101" s="70"/>
      <c r="AJ101" s="70"/>
      <c r="AK101" s="70">
        <v>2253.6329999999998</v>
      </c>
      <c r="AL101" s="70">
        <f t="shared" si="57"/>
        <v>2253.6329999999998</v>
      </c>
      <c r="AM101" s="70"/>
      <c r="AN101" s="245"/>
      <c r="AO101" s="245">
        <f t="shared" si="59"/>
        <v>2253.6329999999998</v>
      </c>
      <c r="AP101" s="70"/>
      <c r="AQ101" s="70"/>
      <c r="AR101" s="70"/>
      <c r="AS101" s="70">
        <v>2253.6329999999998</v>
      </c>
      <c r="AT101" s="70">
        <f t="shared" si="47"/>
        <v>0</v>
      </c>
      <c r="AU101" s="70"/>
      <c r="AV101" s="246"/>
      <c r="AW101" s="70">
        <f t="shared" si="51"/>
        <v>0</v>
      </c>
      <c r="AX101" s="70">
        <v>0</v>
      </c>
      <c r="AY101" s="70"/>
      <c r="AZ101" s="70"/>
      <c r="BA101" s="70">
        <f t="shared" si="52"/>
        <v>0</v>
      </c>
      <c r="BB101" s="70"/>
      <c r="BC101" s="245"/>
      <c r="BD101" s="245">
        <f t="shared" si="53"/>
        <v>0</v>
      </c>
      <c r="BE101" s="70"/>
      <c r="BF101" s="70"/>
      <c r="BG101" s="70"/>
      <c r="BH101" s="70"/>
      <c r="BI101" s="245">
        <f t="shared" si="54"/>
        <v>0</v>
      </c>
      <c r="BJ101" s="70"/>
      <c r="BK101" s="70"/>
      <c r="BL101" s="70"/>
      <c r="BM101" s="245">
        <f t="shared" si="55"/>
        <v>0</v>
      </c>
      <c r="BN101" s="70"/>
      <c r="BO101" s="70"/>
      <c r="BP101" s="70"/>
      <c r="BQ101" s="70"/>
      <c r="BR101" s="70"/>
      <c r="BS101" s="70"/>
      <c r="BT101" s="70"/>
      <c r="BU101" s="70"/>
      <c r="BV101" s="85"/>
      <c r="BW101" s="663"/>
      <c r="BX101" s="663"/>
      <c r="BY101" s="663"/>
      <c r="BZ101" s="663"/>
    </row>
    <row r="102" spans="1:78" s="26" customFormat="1" ht="53.25" customHeight="1" outlineLevel="1">
      <c r="A102" s="659">
        <v>12</v>
      </c>
      <c r="B102" s="666" t="s">
        <v>784</v>
      </c>
      <c r="C102" s="661" t="s">
        <v>598</v>
      </c>
      <c r="D102" s="661" t="s">
        <v>48</v>
      </c>
      <c r="E102" s="85">
        <v>7948247</v>
      </c>
      <c r="F102" s="85" t="s">
        <v>754</v>
      </c>
      <c r="G102" s="85" t="s">
        <v>49</v>
      </c>
      <c r="H102" s="661" t="s">
        <v>758</v>
      </c>
      <c r="I102" s="662">
        <v>2022</v>
      </c>
      <c r="J102" s="661">
        <v>2022</v>
      </c>
      <c r="K102" s="661" t="s">
        <v>575</v>
      </c>
      <c r="L102" s="85" t="s">
        <v>785</v>
      </c>
      <c r="M102" s="85">
        <v>3000</v>
      </c>
      <c r="N102" s="85"/>
      <c r="O102" s="84"/>
      <c r="P102" s="84">
        <v>3000</v>
      </c>
      <c r="Q102" s="85"/>
      <c r="R102" s="85" t="s">
        <v>759</v>
      </c>
      <c r="S102" s="85"/>
      <c r="T102" s="85"/>
      <c r="U102" s="85"/>
      <c r="V102" s="85"/>
      <c r="W102" s="84">
        <f t="shared" si="46"/>
        <v>2145.83</v>
      </c>
      <c r="X102" s="85"/>
      <c r="Y102" s="667"/>
      <c r="Z102" s="85">
        <f t="shared" si="48"/>
        <v>2145.83</v>
      </c>
      <c r="AA102" s="70">
        <v>997.48</v>
      </c>
      <c r="AB102" s="70"/>
      <c r="AC102" s="70">
        <f>490.95+657.4</f>
        <v>1148.3499999999999</v>
      </c>
      <c r="AD102" s="70">
        <f t="shared" si="56"/>
        <v>1488.43</v>
      </c>
      <c r="AE102" s="70"/>
      <c r="AF102" s="246"/>
      <c r="AG102" s="245">
        <f t="shared" si="58"/>
        <v>1488.43</v>
      </c>
      <c r="AH102" s="70">
        <v>997.48</v>
      </c>
      <c r="AI102" s="70"/>
      <c r="AJ102" s="70"/>
      <c r="AK102" s="70">
        <v>490.95</v>
      </c>
      <c r="AL102" s="70">
        <f t="shared" si="57"/>
        <v>2145.6260039999997</v>
      </c>
      <c r="AM102" s="70"/>
      <c r="AN102" s="245"/>
      <c r="AO102" s="245">
        <f t="shared" si="59"/>
        <v>2145.6260039999997</v>
      </c>
      <c r="AP102" s="70">
        <v>997.48</v>
      </c>
      <c r="AQ102" s="70">
        <v>0</v>
      </c>
      <c r="AR102" s="70"/>
      <c r="AS102" s="70">
        <f>490.95+657.196004</f>
        <v>1148.1460039999999</v>
      </c>
      <c r="AT102" s="70">
        <f t="shared" si="47"/>
        <v>0</v>
      </c>
      <c r="AU102" s="70"/>
      <c r="AV102" s="246"/>
      <c r="AW102" s="70">
        <f t="shared" si="51"/>
        <v>0</v>
      </c>
      <c r="AX102" s="70">
        <v>0</v>
      </c>
      <c r="AY102" s="70"/>
      <c r="AZ102" s="70"/>
      <c r="BA102" s="70">
        <f t="shared" si="52"/>
        <v>0</v>
      </c>
      <c r="BB102" s="70"/>
      <c r="BC102" s="245"/>
      <c r="BD102" s="245">
        <f t="shared" si="53"/>
        <v>0</v>
      </c>
      <c r="BE102" s="70"/>
      <c r="BF102" s="70"/>
      <c r="BG102" s="70"/>
      <c r="BH102" s="70"/>
      <c r="BI102" s="245">
        <f t="shared" si="54"/>
        <v>0</v>
      </c>
      <c r="BJ102" s="70"/>
      <c r="BK102" s="70"/>
      <c r="BL102" s="70"/>
      <c r="BM102" s="245">
        <f t="shared" si="55"/>
        <v>0</v>
      </c>
      <c r="BN102" s="70"/>
      <c r="BO102" s="70"/>
      <c r="BP102" s="70"/>
      <c r="BQ102" s="70"/>
      <c r="BR102" s="70"/>
      <c r="BS102" s="70"/>
      <c r="BT102" s="70"/>
      <c r="BU102" s="70"/>
      <c r="BV102" s="85"/>
      <c r="BW102" s="663">
        <v>997.48</v>
      </c>
      <c r="BX102" s="663">
        <v>0</v>
      </c>
      <c r="BY102" s="663"/>
      <c r="BZ102" s="663"/>
    </row>
    <row r="103" spans="1:78" s="26" customFormat="1" ht="53.25" customHeight="1" outlineLevel="1">
      <c r="A103" s="659">
        <v>13</v>
      </c>
      <c r="B103" s="666" t="s">
        <v>786</v>
      </c>
      <c r="C103" s="661" t="s">
        <v>787</v>
      </c>
      <c r="D103" s="661" t="s">
        <v>105</v>
      </c>
      <c r="E103" s="85">
        <v>7993430</v>
      </c>
      <c r="F103" s="85" t="s">
        <v>754</v>
      </c>
      <c r="G103" s="85" t="s">
        <v>49</v>
      </c>
      <c r="H103" s="661" t="s">
        <v>758</v>
      </c>
      <c r="I103" s="662">
        <v>2022</v>
      </c>
      <c r="J103" s="661">
        <v>2022</v>
      </c>
      <c r="K103" s="661" t="s">
        <v>575</v>
      </c>
      <c r="L103" s="85" t="s">
        <v>788</v>
      </c>
      <c r="M103" s="85">
        <v>490.78</v>
      </c>
      <c r="N103" s="85"/>
      <c r="O103" s="84"/>
      <c r="P103" s="84">
        <v>490.78</v>
      </c>
      <c r="Q103" s="85"/>
      <c r="R103" s="85" t="s">
        <v>759</v>
      </c>
      <c r="S103" s="85"/>
      <c r="T103" s="85"/>
      <c r="U103" s="85"/>
      <c r="V103" s="85"/>
      <c r="W103" s="84">
        <f t="shared" si="46"/>
        <v>491</v>
      </c>
      <c r="X103" s="85"/>
      <c r="Y103" s="667"/>
      <c r="Z103" s="85">
        <f t="shared" si="48"/>
        <v>491</v>
      </c>
      <c r="AA103" s="70">
        <v>491</v>
      </c>
      <c r="AB103" s="70"/>
      <c r="AC103" s="70"/>
      <c r="AD103" s="70">
        <f t="shared" si="56"/>
        <v>490.78</v>
      </c>
      <c r="AE103" s="70"/>
      <c r="AF103" s="246"/>
      <c r="AG103" s="245">
        <f t="shared" si="58"/>
        <v>490.78</v>
      </c>
      <c r="AH103" s="70">
        <v>490.78</v>
      </c>
      <c r="AI103" s="70"/>
      <c r="AJ103" s="70"/>
      <c r="AK103" s="70"/>
      <c r="AL103" s="70">
        <f t="shared" si="57"/>
        <v>490.78</v>
      </c>
      <c r="AM103" s="70"/>
      <c r="AN103" s="245"/>
      <c r="AO103" s="245">
        <f t="shared" si="59"/>
        <v>490.78</v>
      </c>
      <c r="AP103" s="70">
        <v>490.78</v>
      </c>
      <c r="AQ103" s="70"/>
      <c r="AR103" s="70"/>
      <c r="AS103" s="70"/>
      <c r="AT103" s="70">
        <f t="shared" si="47"/>
        <v>0</v>
      </c>
      <c r="AU103" s="70"/>
      <c r="AV103" s="246"/>
      <c r="AW103" s="70">
        <f t="shared" si="51"/>
        <v>0</v>
      </c>
      <c r="AX103" s="70">
        <v>0</v>
      </c>
      <c r="AY103" s="70"/>
      <c r="AZ103" s="70"/>
      <c r="BA103" s="70">
        <f t="shared" si="52"/>
        <v>0</v>
      </c>
      <c r="BB103" s="70"/>
      <c r="BC103" s="245"/>
      <c r="BD103" s="245">
        <f t="shared" si="53"/>
        <v>0</v>
      </c>
      <c r="BE103" s="70"/>
      <c r="BF103" s="70"/>
      <c r="BG103" s="70"/>
      <c r="BH103" s="70"/>
      <c r="BI103" s="245">
        <f t="shared" si="54"/>
        <v>0</v>
      </c>
      <c r="BJ103" s="70"/>
      <c r="BK103" s="70"/>
      <c r="BL103" s="70"/>
      <c r="BM103" s="245">
        <f t="shared" si="55"/>
        <v>0</v>
      </c>
      <c r="BN103" s="70"/>
      <c r="BO103" s="70"/>
      <c r="BP103" s="70"/>
      <c r="BQ103" s="70"/>
      <c r="BR103" s="70"/>
      <c r="BS103" s="70"/>
      <c r="BT103" s="70"/>
      <c r="BU103" s="70"/>
      <c r="BV103" s="85"/>
      <c r="BW103" s="663">
        <v>490.78</v>
      </c>
      <c r="BX103" s="663"/>
      <c r="BY103" s="663"/>
      <c r="BZ103" s="663"/>
    </row>
    <row r="104" spans="1:78" s="26" customFormat="1" ht="53.25" customHeight="1" outlineLevel="1">
      <c r="A104" s="659">
        <v>14</v>
      </c>
      <c r="B104" s="666" t="s">
        <v>789</v>
      </c>
      <c r="C104" s="661" t="s">
        <v>598</v>
      </c>
      <c r="D104" s="661" t="s">
        <v>48</v>
      </c>
      <c r="E104" s="85">
        <v>7968718</v>
      </c>
      <c r="F104" s="85" t="s">
        <v>754</v>
      </c>
      <c r="G104" s="85" t="s">
        <v>49</v>
      </c>
      <c r="H104" s="661" t="s">
        <v>772</v>
      </c>
      <c r="I104" s="662">
        <v>2022</v>
      </c>
      <c r="J104" s="661">
        <v>2022</v>
      </c>
      <c r="K104" s="661" t="s">
        <v>575</v>
      </c>
      <c r="L104" s="85" t="s">
        <v>790</v>
      </c>
      <c r="M104" s="85">
        <v>750</v>
      </c>
      <c r="N104" s="85"/>
      <c r="O104" s="84"/>
      <c r="P104" s="84">
        <v>750</v>
      </c>
      <c r="Q104" s="85"/>
      <c r="R104" s="85" t="s">
        <v>759</v>
      </c>
      <c r="S104" s="85"/>
      <c r="T104" s="85"/>
      <c r="U104" s="85"/>
      <c r="V104" s="85"/>
      <c r="W104" s="84">
        <f t="shared" si="46"/>
        <v>82.475965000000002</v>
      </c>
      <c r="X104" s="85"/>
      <c r="Y104" s="667"/>
      <c r="Z104" s="85">
        <f t="shared" si="48"/>
        <v>82.475965000000002</v>
      </c>
      <c r="AA104" s="70">
        <v>82.475965000000002</v>
      </c>
      <c r="AB104" s="70"/>
      <c r="AC104" s="70"/>
      <c r="AD104" s="70">
        <f t="shared" si="56"/>
        <v>82.475965000000002</v>
      </c>
      <c r="AE104" s="70"/>
      <c r="AF104" s="246"/>
      <c r="AG104" s="245">
        <f t="shared" si="58"/>
        <v>82.475965000000002</v>
      </c>
      <c r="AH104" s="70">
        <v>82.475965000000002</v>
      </c>
      <c r="AI104" s="70"/>
      <c r="AJ104" s="70"/>
      <c r="AK104" s="70"/>
      <c r="AL104" s="70">
        <f t="shared" si="57"/>
        <v>82.475965000000002</v>
      </c>
      <c r="AM104" s="70"/>
      <c r="AN104" s="245"/>
      <c r="AO104" s="245">
        <f t="shared" si="59"/>
        <v>82.475965000000002</v>
      </c>
      <c r="AP104" s="70">
        <v>82.475965000000002</v>
      </c>
      <c r="AQ104" s="70"/>
      <c r="AR104" s="70"/>
      <c r="AS104" s="70"/>
      <c r="AT104" s="70">
        <f t="shared" si="47"/>
        <v>0</v>
      </c>
      <c r="AU104" s="70"/>
      <c r="AV104" s="246"/>
      <c r="AW104" s="70">
        <f t="shared" si="51"/>
        <v>0</v>
      </c>
      <c r="AX104" s="70">
        <v>0</v>
      </c>
      <c r="AY104" s="70"/>
      <c r="AZ104" s="70"/>
      <c r="BA104" s="70">
        <f t="shared" si="52"/>
        <v>0</v>
      </c>
      <c r="BB104" s="70"/>
      <c r="BC104" s="245"/>
      <c r="BD104" s="245">
        <f t="shared" si="53"/>
        <v>0</v>
      </c>
      <c r="BE104" s="70"/>
      <c r="BF104" s="70"/>
      <c r="BG104" s="70"/>
      <c r="BH104" s="70"/>
      <c r="BI104" s="245">
        <f t="shared" si="54"/>
        <v>0</v>
      </c>
      <c r="BJ104" s="70"/>
      <c r="BK104" s="70"/>
      <c r="BL104" s="70"/>
      <c r="BM104" s="245">
        <f t="shared" si="55"/>
        <v>0</v>
      </c>
      <c r="BN104" s="70"/>
      <c r="BO104" s="70"/>
      <c r="BP104" s="70"/>
      <c r="BQ104" s="70"/>
      <c r="BR104" s="70"/>
      <c r="BS104" s="70"/>
      <c r="BT104" s="70"/>
      <c r="BU104" s="70"/>
      <c r="BV104" s="85"/>
      <c r="BW104" s="663">
        <v>82.475965000000002</v>
      </c>
      <c r="BX104" s="663"/>
      <c r="BY104" s="663"/>
      <c r="BZ104" s="663"/>
    </row>
    <row r="105" spans="1:78" s="26" customFormat="1" ht="53.25" customHeight="1" outlineLevel="1">
      <c r="A105" s="659">
        <v>15</v>
      </c>
      <c r="B105" s="666" t="s">
        <v>791</v>
      </c>
      <c r="C105" s="661" t="s">
        <v>598</v>
      </c>
      <c r="D105" s="661" t="s">
        <v>48</v>
      </c>
      <c r="E105" s="85" t="s">
        <v>792</v>
      </c>
      <c r="F105" s="85" t="s">
        <v>754</v>
      </c>
      <c r="G105" s="85" t="s">
        <v>49</v>
      </c>
      <c r="H105" s="661" t="s">
        <v>772</v>
      </c>
      <c r="I105" s="662">
        <v>2022</v>
      </c>
      <c r="J105" s="661">
        <v>2022</v>
      </c>
      <c r="K105" s="661" t="s">
        <v>575</v>
      </c>
      <c r="L105" s="85" t="s">
        <v>793</v>
      </c>
      <c r="M105" s="85">
        <v>2500</v>
      </c>
      <c r="N105" s="85"/>
      <c r="O105" s="84"/>
      <c r="P105" s="84">
        <v>2500</v>
      </c>
      <c r="Q105" s="85"/>
      <c r="R105" s="85" t="s">
        <v>759</v>
      </c>
      <c r="S105" s="85"/>
      <c r="T105" s="85"/>
      <c r="U105" s="85"/>
      <c r="V105" s="85"/>
      <c r="W105" s="84">
        <f t="shared" si="46"/>
        <v>1689.5465380000001</v>
      </c>
      <c r="X105" s="85"/>
      <c r="Y105" s="667"/>
      <c r="Z105" s="85">
        <f t="shared" si="48"/>
        <v>1689.5465380000001</v>
      </c>
      <c r="AA105" s="85">
        <v>1689.5465380000001</v>
      </c>
      <c r="AB105" s="85"/>
      <c r="AC105" s="85"/>
      <c r="AD105" s="85">
        <f t="shared" si="56"/>
        <v>1689.5465380000001</v>
      </c>
      <c r="AE105" s="85"/>
      <c r="AF105" s="667"/>
      <c r="AG105" s="84">
        <f t="shared" si="58"/>
        <v>1689.5465380000001</v>
      </c>
      <c r="AH105" s="85">
        <f>72.000269+1500+117.546269</f>
        <v>1689.5465380000001</v>
      </c>
      <c r="AI105" s="85"/>
      <c r="AJ105" s="85"/>
      <c r="AK105" s="85"/>
      <c r="AL105" s="85">
        <f t="shared" si="57"/>
        <v>1689.5465380000001</v>
      </c>
      <c r="AM105" s="85"/>
      <c r="AN105" s="84"/>
      <c r="AO105" s="84">
        <f t="shared" si="59"/>
        <v>1689.5465380000001</v>
      </c>
      <c r="AP105" s="85">
        <f>72.000269+1500+117.546269</f>
        <v>1689.5465380000001</v>
      </c>
      <c r="AQ105" s="85"/>
      <c r="AR105" s="85"/>
      <c r="AS105" s="85"/>
      <c r="AT105" s="85">
        <f t="shared" si="47"/>
        <v>0</v>
      </c>
      <c r="AU105" s="85"/>
      <c r="AV105" s="667"/>
      <c r="AW105" s="85">
        <f t="shared" si="51"/>
        <v>0</v>
      </c>
      <c r="AX105" s="85">
        <v>0</v>
      </c>
      <c r="AY105" s="85"/>
      <c r="AZ105" s="85"/>
      <c r="BA105" s="85">
        <f t="shared" si="52"/>
        <v>0</v>
      </c>
      <c r="BB105" s="85"/>
      <c r="BC105" s="84"/>
      <c r="BD105" s="84">
        <f t="shared" si="53"/>
        <v>0</v>
      </c>
      <c r="BE105" s="85"/>
      <c r="BF105" s="85"/>
      <c r="BG105" s="85"/>
      <c r="BH105" s="85"/>
      <c r="BI105" s="84">
        <f t="shared" si="54"/>
        <v>0</v>
      </c>
      <c r="BJ105" s="85"/>
      <c r="BK105" s="85"/>
      <c r="BL105" s="85"/>
      <c r="BM105" s="84">
        <f t="shared" si="55"/>
        <v>0</v>
      </c>
      <c r="BN105" s="85"/>
      <c r="BO105" s="85"/>
      <c r="BP105" s="85"/>
      <c r="BQ105" s="85"/>
      <c r="BR105" s="85"/>
      <c r="BS105" s="85"/>
      <c r="BT105" s="85"/>
      <c r="BU105" s="85"/>
      <c r="BV105" s="85"/>
      <c r="BW105" s="663">
        <f>72.000269+1500+117.546269</f>
        <v>1689.5465380000001</v>
      </c>
      <c r="BX105" s="663"/>
      <c r="BY105" s="663"/>
      <c r="BZ105" s="663"/>
    </row>
    <row r="106" spans="1:78" s="26" customFormat="1" ht="53.25" customHeight="1" outlineLevel="1">
      <c r="A106" s="659">
        <v>16</v>
      </c>
      <c r="B106" s="666" t="s">
        <v>794</v>
      </c>
      <c r="C106" s="661" t="s">
        <v>598</v>
      </c>
      <c r="D106" s="661" t="s">
        <v>105</v>
      </c>
      <c r="E106" s="85">
        <v>7966033</v>
      </c>
      <c r="F106" s="85" t="s">
        <v>754</v>
      </c>
      <c r="G106" s="85" t="s">
        <v>49</v>
      </c>
      <c r="H106" s="661" t="s">
        <v>772</v>
      </c>
      <c r="I106" s="662">
        <v>2022</v>
      </c>
      <c r="J106" s="661">
        <v>2022</v>
      </c>
      <c r="K106" s="661" t="s">
        <v>575</v>
      </c>
      <c r="L106" s="85" t="s">
        <v>795</v>
      </c>
      <c r="M106" s="85">
        <v>435</v>
      </c>
      <c r="N106" s="85"/>
      <c r="O106" s="84"/>
      <c r="P106" s="84">
        <v>435</v>
      </c>
      <c r="Q106" s="85" t="s">
        <v>796</v>
      </c>
      <c r="R106" s="85" t="s">
        <v>759</v>
      </c>
      <c r="S106" s="85"/>
      <c r="T106" s="85"/>
      <c r="U106" s="85"/>
      <c r="V106" s="85"/>
      <c r="W106" s="84">
        <f t="shared" si="46"/>
        <v>432.17075699999998</v>
      </c>
      <c r="X106" s="85"/>
      <c r="Y106" s="667"/>
      <c r="Z106" s="85">
        <f t="shared" si="48"/>
        <v>432.17075699999998</v>
      </c>
      <c r="AA106" s="85">
        <v>0</v>
      </c>
      <c r="AB106" s="85"/>
      <c r="AC106" s="85">
        <v>432.17075699999998</v>
      </c>
      <c r="AD106" s="85">
        <f t="shared" si="56"/>
        <v>432.17075699999998</v>
      </c>
      <c r="AE106" s="85"/>
      <c r="AF106" s="667"/>
      <c r="AG106" s="84">
        <f t="shared" si="58"/>
        <v>432.17075699999998</v>
      </c>
      <c r="AH106" s="85"/>
      <c r="AI106" s="85"/>
      <c r="AJ106" s="85"/>
      <c r="AK106" s="85">
        <v>432.17075699999998</v>
      </c>
      <c r="AL106" s="85">
        <f t="shared" si="57"/>
        <v>432.17075699999998</v>
      </c>
      <c r="AM106" s="85"/>
      <c r="AN106" s="84"/>
      <c r="AO106" s="84">
        <f t="shared" si="59"/>
        <v>432.17075699999998</v>
      </c>
      <c r="AP106" s="85"/>
      <c r="AQ106" s="85"/>
      <c r="AR106" s="85"/>
      <c r="AS106" s="85">
        <v>432.17075699999998</v>
      </c>
      <c r="AT106" s="85">
        <f t="shared" si="47"/>
        <v>0</v>
      </c>
      <c r="AU106" s="85"/>
      <c r="AV106" s="667"/>
      <c r="AW106" s="85">
        <f t="shared" si="51"/>
        <v>0</v>
      </c>
      <c r="AX106" s="85">
        <v>0</v>
      </c>
      <c r="AY106" s="85"/>
      <c r="AZ106" s="85"/>
      <c r="BA106" s="85">
        <f t="shared" si="52"/>
        <v>0</v>
      </c>
      <c r="BB106" s="85"/>
      <c r="BC106" s="84"/>
      <c r="BD106" s="84">
        <f t="shared" si="53"/>
        <v>0</v>
      </c>
      <c r="BE106" s="85"/>
      <c r="BF106" s="85"/>
      <c r="BG106" s="85"/>
      <c r="BH106" s="85"/>
      <c r="BI106" s="84">
        <f t="shared" si="54"/>
        <v>0</v>
      </c>
      <c r="BJ106" s="85"/>
      <c r="BK106" s="85"/>
      <c r="BL106" s="85"/>
      <c r="BM106" s="84">
        <f t="shared" si="55"/>
        <v>0</v>
      </c>
      <c r="BN106" s="85"/>
      <c r="BO106" s="85"/>
      <c r="BP106" s="85"/>
      <c r="BQ106" s="85"/>
      <c r="BR106" s="85"/>
      <c r="BS106" s="85"/>
      <c r="BT106" s="85"/>
      <c r="BU106" s="85"/>
      <c r="BV106" s="85" t="s">
        <v>868</v>
      </c>
      <c r="BW106" s="663"/>
      <c r="BX106" s="663"/>
      <c r="BY106" s="663"/>
      <c r="BZ106" s="663"/>
    </row>
    <row r="107" spans="1:78" s="26" customFormat="1" ht="53.25" customHeight="1" outlineLevel="1">
      <c r="A107" s="659">
        <v>17</v>
      </c>
      <c r="B107" s="666" t="s">
        <v>797</v>
      </c>
      <c r="C107" s="661" t="s">
        <v>598</v>
      </c>
      <c r="D107" s="661" t="s">
        <v>105</v>
      </c>
      <c r="E107" s="85">
        <v>7966032</v>
      </c>
      <c r="F107" s="85" t="s">
        <v>754</v>
      </c>
      <c r="G107" s="85" t="s">
        <v>49</v>
      </c>
      <c r="H107" s="661" t="s">
        <v>758</v>
      </c>
      <c r="I107" s="662">
        <v>2022</v>
      </c>
      <c r="J107" s="661">
        <v>2022</v>
      </c>
      <c r="K107" s="661" t="s">
        <v>575</v>
      </c>
      <c r="L107" s="85" t="s">
        <v>798</v>
      </c>
      <c r="M107" s="85">
        <v>385</v>
      </c>
      <c r="N107" s="85"/>
      <c r="O107" s="84"/>
      <c r="P107" s="84">
        <v>385</v>
      </c>
      <c r="Q107" s="85" t="s">
        <v>799</v>
      </c>
      <c r="R107" s="85" t="s">
        <v>759</v>
      </c>
      <c r="S107" s="85"/>
      <c r="T107" s="85"/>
      <c r="U107" s="85"/>
      <c r="V107" s="85"/>
      <c r="W107" s="84">
        <f t="shared" si="46"/>
        <v>381.73462799999999</v>
      </c>
      <c r="X107" s="85"/>
      <c r="Y107" s="667"/>
      <c r="Z107" s="85">
        <f t="shared" si="48"/>
        <v>381.73462799999999</v>
      </c>
      <c r="AA107" s="85">
        <v>0</v>
      </c>
      <c r="AB107" s="85"/>
      <c r="AC107" s="85">
        <v>381.73462799999999</v>
      </c>
      <c r="AD107" s="85">
        <f t="shared" si="56"/>
        <v>381.73462799999999</v>
      </c>
      <c r="AE107" s="85"/>
      <c r="AF107" s="667"/>
      <c r="AG107" s="84">
        <f t="shared" si="58"/>
        <v>381.73462799999999</v>
      </c>
      <c r="AH107" s="85"/>
      <c r="AI107" s="85"/>
      <c r="AJ107" s="85"/>
      <c r="AK107" s="85">
        <v>381.73462799999999</v>
      </c>
      <c r="AL107" s="85">
        <f t="shared" si="57"/>
        <v>381.73462799999999</v>
      </c>
      <c r="AM107" s="85"/>
      <c r="AN107" s="84"/>
      <c r="AO107" s="84">
        <f t="shared" si="59"/>
        <v>381.73462799999999</v>
      </c>
      <c r="AP107" s="85"/>
      <c r="AQ107" s="85"/>
      <c r="AR107" s="85"/>
      <c r="AS107" s="85">
        <v>381.73462799999999</v>
      </c>
      <c r="AT107" s="85">
        <f t="shared" si="47"/>
        <v>0</v>
      </c>
      <c r="AU107" s="85"/>
      <c r="AV107" s="667"/>
      <c r="AW107" s="85">
        <f t="shared" si="51"/>
        <v>0</v>
      </c>
      <c r="AX107" s="85">
        <v>0</v>
      </c>
      <c r="AY107" s="85"/>
      <c r="AZ107" s="85"/>
      <c r="BA107" s="85">
        <f t="shared" si="52"/>
        <v>0</v>
      </c>
      <c r="BB107" s="85"/>
      <c r="BC107" s="84"/>
      <c r="BD107" s="84">
        <f t="shared" si="53"/>
        <v>0</v>
      </c>
      <c r="BE107" s="85"/>
      <c r="BF107" s="85"/>
      <c r="BG107" s="85"/>
      <c r="BH107" s="85"/>
      <c r="BI107" s="84">
        <f t="shared" si="54"/>
        <v>0</v>
      </c>
      <c r="BJ107" s="85"/>
      <c r="BK107" s="85"/>
      <c r="BL107" s="85"/>
      <c r="BM107" s="84">
        <f t="shared" si="55"/>
        <v>0</v>
      </c>
      <c r="BN107" s="85"/>
      <c r="BO107" s="85"/>
      <c r="BP107" s="85"/>
      <c r="BQ107" s="85"/>
      <c r="BR107" s="85"/>
      <c r="BS107" s="85"/>
      <c r="BT107" s="85"/>
      <c r="BU107" s="85"/>
      <c r="BV107" s="85" t="s">
        <v>868</v>
      </c>
      <c r="BW107" s="663"/>
      <c r="BX107" s="663"/>
      <c r="BY107" s="663"/>
      <c r="BZ107" s="663"/>
    </row>
    <row r="108" spans="1:78" s="26" customFormat="1" ht="53.25" customHeight="1" outlineLevel="1">
      <c r="A108" s="659">
        <v>18</v>
      </c>
      <c r="B108" s="666" t="s">
        <v>800</v>
      </c>
      <c r="C108" s="661" t="s">
        <v>77</v>
      </c>
      <c r="D108" s="661" t="s">
        <v>82</v>
      </c>
      <c r="E108" s="85">
        <v>7963058</v>
      </c>
      <c r="F108" s="85" t="s">
        <v>754</v>
      </c>
      <c r="G108" s="85" t="s">
        <v>49</v>
      </c>
      <c r="H108" s="661" t="s">
        <v>758</v>
      </c>
      <c r="I108" s="662">
        <v>2022</v>
      </c>
      <c r="J108" s="661">
        <v>2022</v>
      </c>
      <c r="K108" s="661" t="s">
        <v>575</v>
      </c>
      <c r="L108" s="85" t="s">
        <v>801</v>
      </c>
      <c r="M108" s="85">
        <v>60</v>
      </c>
      <c r="N108" s="85"/>
      <c r="O108" s="84"/>
      <c r="P108" s="84">
        <v>60</v>
      </c>
      <c r="Q108" s="85" t="s">
        <v>802</v>
      </c>
      <c r="R108" s="85" t="s">
        <v>759</v>
      </c>
      <c r="S108" s="85"/>
      <c r="T108" s="85"/>
      <c r="U108" s="85"/>
      <c r="V108" s="85"/>
      <c r="W108" s="84">
        <f t="shared" si="46"/>
        <v>60</v>
      </c>
      <c r="X108" s="85"/>
      <c r="Y108" s="667"/>
      <c r="Z108" s="85">
        <f t="shared" si="48"/>
        <v>60</v>
      </c>
      <c r="AA108" s="85">
        <v>0</v>
      </c>
      <c r="AB108" s="85"/>
      <c r="AC108" s="85">
        <v>60</v>
      </c>
      <c r="AD108" s="85">
        <f t="shared" si="56"/>
        <v>60</v>
      </c>
      <c r="AE108" s="85"/>
      <c r="AF108" s="667"/>
      <c r="AG108" s="84">
        <f t="shared" si="58"/>
        <v>60</v>
      </c>
      <c r="AH108" s="85"/>
      <c r="AI108" s="85"/>
      <c r="AJ108" s="85"/>
      <c r="AK108" s="85">
        <v>60</v>
      </c>
      <c r="AL108" s="85">
        <f t="shared" si="57"/>
        <v>60</v>
      </c>
      <c r="AM108" s="85"/>
      <c r="AN108" s="84"/>
      <c r="AO108" s="84">
        <f t="shared" si="59"/>
        <v>60</v>
      </c>
      <c r="AP108" s="85"/>
      <c r="AQ108" s="85"/>
      <c r="AR108" s="85"/>
      <c r="AS108" s="85">
        <v>60</v>
      </c>
      <c r="AT108" s="85">
        <f t="shared" si="47"/>
        <v>0</v>
      </c>
      <c r="AU108" s="85"/>
      <c r="AV108" s="667"/>
      <c r="AW108" s="85">
        <f t="shared" si="51"/>
        <v>0</v>
      </c>
      <c r="AX108" s="85">
        <v>0</v>
      </c>
      <c r="AY108" s="85"/>
      <c r="AZ108" s="85"/>
      <c r="BA108" s="85">
        <f t="shared" si="52"/>
        <v>0</v>
      </c>
      <c r="BB108" s="85"/>
      <c r="BC108" s="84"/>
      <c r="BD108" s="84">
        <f t="shared" si="53"/>
        <v>0</v>
      </c>
      <c r="BE108" s="85"/>
      <c r="BF108" s="85"/>
      <c r="BG108" s="85"/>
      <c r="BH108" s="85"/>
      <c r="BI108" s="84">
        <f t="shared" si="54"/>
        <v>0</v>
      </c>
      <c r="BJ108" s="85"/>
      <c r="BK108" s="85"/>
      <c r="BL108" s="85"/>
      <c r="BM108" s="84">
        <f t="shared" si="55"/>
        <v>0</v>
      </c>
      <c r="BN108" s="85"/>
      <c r="BO108" s="85"/>
      <c r="BP108" s="85"/>
      <c r="BQ108" s="85"/>
      <c r="BR108" s="85"/>
      <c r="BS108" s="85"/>
      <c r="BT108" s="85"/>
      <c r="BU108" s="85"/>
      <c r="BV108" s="85" t="s">
        <v>868</v>
      </c>
      <c r="BW108" s="663"/>
      <c r="BX108" s="663"/>
      <c r="BY108" s="663"/>
      <c r="BZ108" s="663"/>
    </row>
    <row r="109" spans="1:78" s="26" customFormat="1" ht="53.25" customHeight="1" outlineLevel="1">
      <c r="A109" s="659">
        <v>19</v>
      </c>
      <c r="B109" s="666" t="s">
        <v>803</v>
      </c>
      <c r="C109" s="661" t="s">
        <v>598</v>
      </c>
      <c r="D109" s="661" t="s">
        <v>105</v>
      </c>
      <c r="E109" s="85">
        <v>8039849</v>
      </c>
      <c r="F109" s="85" t="s">
        <v>754</v>
      </c>
      <c r="G109" s="85" t="s">
        <v>49</v>
      </c>
      <c r="H109" s="661" t="s">
        <v>772</v>
      </c>
      <c r="I109" s="662">
        <v>2023</v>
      </c>
      <c r="J109" s="661">
        <v>2023</v>
      </c>
      <c r="K109" s="661" t="s">
        <v>575</v>
      </c>
      <c r="L109" s="85" t="s">
        <v>804</v>
      </c>
      <c r="M109" s="85">
        <v>500</v>
      </c>
      <c r="N109" s="85"/>
      <c r="O109" s="84"/>
      <c r="P109" s="84">
        <v>500</v>
      </c>
      <c r="Q109" s="85" t="s">
        <v>805</v>
      </c>
      <c r="R109" s="85" t="s">
        <v>759</v>
      </c>
      <c r="S109" s="85"/>
      <c r="T109" s="85"/>
      <c r="U109" s="85"/>
      <c r="V109" s="85"/>
      <c r="W109" s="84">
        <f t="shared" si="46"/>
        <v>486.49823199999997</v>
      </c>
      <c r="X109" s="85"/>
      <c r="Y109" s="667"/>
      <c r="Z109" s="85">
        <f t="shared" si="48"/>
        <v>486.49823199999997</v>
      </c>
      <c r="AA109" s="85">
        <v>0</v>
      </c>
      <c r="AB109" s="85"/>
      <c r="AC109" s="85">
        <v>486.49823199999997</v>
      </c>
      <c r="AD109" s="85">
        <f t="shared" si="56"/>
        <v>486.49823199999997</v>
      </c>
      <c r="AE109" s="85"/>
      <c r="AF109" s="667"/>
      <c r="AG109" s="84">
        <f t="shared" si="58"/>
        <v>486.49823199999997</v>
      </c>
      <c r="AH109" s="85"/>
      <c r="AI109" s="85"/>
      <c r="AJ109" s="85"/>
      <c r="AK109" s="85">
        <v>486.49823199999997</v>
      </c>
      <c r="AL109" s="85">
        <f t="shared" si="57"/>
        <v>486.49823199999997</v>
      </c>
      <c r="AM109" s="85"/>
      <c r="AN109" s="84"/>
      <c r="AO109" s="84">
        <f t="shared" si="59"/>
        <v>486.49823199999997</v>
      </c>
      <c r="AP109" s="85"/>
      <c r="AQ109" s="85"/>
      <c r="AR109" s="85"/>
      <c r="AS109" s="85">
        <v>486.49823199999997</v>
      </c>
      <c r="AT109" s="85">
        <f t="shared" si="47"/>
        <v>0</v>
      </c>
      <c r="AU109" s="85"/>
      <c r="AV109" s="667"/>
      <c r="AW109" s="85">
        <f t="shared" si="51"/>
        <v>0</v>
      </c>
      <c r="AX109" s="85">
        <v>0</v>
      </c>
      <c r="AY109" s="85"/>
      <c r="AZ109" s="85"/>
      <c r="BA109" s="85">
        <f t="shared" si="52"/>
        <v>0</v>
      </c>
      <c r="BB109" s="85"/>
      <c r="BC109" s="84"/>
      <c r="BD109" s="84">
        <f t="shared" si="53"/>
        <v>0</v>
      </c>
      <c r="BE109" s="85"/>
      <c r="BF109" s="85"/>
      <c r="BG109" s="85"/>
      <c r="BH109" s="85"/>
      <c r="BI109" s="84">
        <f t="shared" si="54"/>
        <v>0</v>
      </c>
      <c r="BJ109" s="85"/>
      <c r="BK109" s="85"/>
      <c r="BL109" s="85"/>
      <c r="BM109" s="84">
        <f t="shared" si="55"/>
        <v>0</v>
      </c>
      <c r="BN109" s="85"/>
      <c r="BO109" s="85"/>
      <c r="BP109" s="85"/>
      <c r="BQ109" s="85"/>
      <c r="BR109" s="85"/>
      <c r="BS109" s="85"/>
      <c r="BT109" s="85"/>
      <c r="BU109" s="85"/>
      <c r="BV109" s="85" t="s">
        <v>868</v>
      </c>
      <c r="BW109" s="663"/>
      <c r="BX109" s="663"/>
      <c r="BY109" s="663"/>
      <c r="BZ109" s="663"/>
    </row>
    <row r="110" spans="1:78" s="26" customFormat="1" ht="53.25" customHeight="1" outlineLevel="1">
      <c r="A110" s="659">
        <v>20</v>
      </c>
      <c r="B110" s="666" t="s">
        <v>806</v>
      </c>
      <c r="C110" s="661" t="s">
        <v>773</v>
      </c>
      <c r="D110" s="661" t="s">
        <v>82</v>
      </c>
      <c r="E110" s="85">
        <v>8041652</v>
      </c>
      <c r="F110" s="85" t="s">
        <v>754</v>
      </c>
      <c r="G110" s="85" t="s">
        <v>49</v>
      </c>
      <c r="H110" s="661" t="s">
        <v>5</v>
      </c>
      <c r="I110" s="662">
        <v>2023</v>
      </c>
      <c r="J110" s="661">
        <v>2023</v>
      </c>
      <c r="K110" s="661" t="s">
        <v>575</v>
      </c>
      <c r="L110" s="85" t="s">
        <v>807</v>
      </c>
      <c r="M110" s="85">
        <v>100</v>
      </c>
      <c r="N110" s="85"/>
      <c r="O110" s="84"/>
      <c r="P110" s="84">
        <v>100</v>
      </c>
      <c r="Q110" s="85" t="s">
        <v>808</v>
      </c>
      <c r="R110" s="85" t="s">
        <v>759</v>
      </c>
      <c r="S110" s="85"/>
      <c r="T110" s="85"/>
      <c r="U110" s="85"/>
      <c r="V110" s="85"/>
      <c r="W110" s="84">
        <f t="shared" si="46"/>
        <v>95.181600000000003</v>
      </c>
      <c r="X110" s="85"/>
      <c r="Y110" s="667"/>
      <c r="Z110" s="85">
        <f t="shared" si="48"/>
        <v>95.181600000000003</v>
      </c>
      <c r="AA110" s="85">
        <v>0</v>
      </c>
      <c r="AB110" s="85"/>
      <c r="AC110" s="85">
        <v>95.181600000000003</v>
      </c>
      <c r="AD110" s="85">
        <f t="shared" si="56"/>
        <v>95.181600000000003</v>
      </c>
      <c r="AE110" s="85"/>
      <c r="AF110" s="667"/>
      <c r="AG110" s="84">
        <f t="shared" si="58"/>
        <v>95.181600000000003</v>
      </c>
      <c r="AH110" s="85"/>
      <c r="AI110" s="85"/>
      <c r="AJ110" s="85"/>
      <c r="AK110" s="85">
        <v>95.181600000000003</v>
      </c>
      <c r="AL110" s="85">
        <f t="shared" si="57"/>
        <v>95.181600000000003</v>
      </c>
      <c r="AM110" s="85"/>
      <c r="AN110" s="84"/>
      <c r="AO110" s="84">
        <f t="shared" si="59"/>
        <v>95.181600000000003</v>
      </c>
      <c r="AP110" s="85"/>
      <c r="AQ110" s="85"/>
      <c r="AR110" s="85"/>
      <c r="AS110" s="85">
        <v>95.181600000000003</v>
      </c>
      <c r="AT110" s="85">
        <f t="shared" si="47"/>
        <v>0</v>
      </c>
      <c r="AU110" s="85"/>
      <c r="AV110" s="667"/>
      <c r="AW110" s="85">
        <f t="shared" si="51"/>
        <v>0</v>
      </c>
      <c r="AX110" s="85">
        <v>0</v>
      </c>
      <c r="AY110" s="85"/>
      <c r="AZ110" s="85"/>
      <c r="BA110" s="85">
        <f t="shared" si="52"/>
        <v>0.54200000000000004</v>
      </c>
      <c r="BB110" s="85"/>
      <c r="BC110" s="84"/>
      <c r="BD110" s="84">
        <f t="shared" si="53"/>
        <v>0.54200000000000004</v>
      </c>
      <c r="BE110" s="85"/>
      <c r="BF110" s="85"/>
      <c r="BG110" s="85"/>
      <c r="BH110" s="85">
        <v>0.54200000000000004</v>
      </c>
      <c r="BI110" s="84">
        <f t="shared" si="54"/>
        <v>0</v>
      </c>
      <c r="BJ110" s="85"/>
      <c r="BK110" s="85"/>
      <c r="BL110" s="85"/>
      <c r="BM110" s="84">
        <f t="shared" si="55"/>
        <v>0</v>
      </c>
      <c r="BN110" s="85"/>
      <c r="BO110" s="85"/>
      <c r="BP110" s="85"/>
      <c r="BQ110" s="85"/>
      <c r="BR110" s="85"/>
      <c r="BS110" s="85"/>
      <c r="BT110" s="85"/>
      <c r="BU110" s="85"/>
      <c r="BV110" s="85" t="s">
        <v>868</v>
      </c>
      <c r="BW110" s="663"/>
      <c r="BX110" s="663"/>
      <c r="BY110" s="663"/>
      <c r="BZ110" s="663"/>
    </row>
    <row r="111" spans="1:78" s="26" customFormat="1" ht="53.25" customHeight="1" outlineLevel="1">
      <c r="A111" s="659">
        <v>21</v>
      </c>
      <c r="B111" s="666" t="s">
        <v>809</v>
      </c>
      <c r="C111" s="661" t="s">
        <v>773</v>
      </c>
      <c r="D111" s="661" t="s">
        <v>78</v>
      </c>
      <c r="E111" s="85">
        <v>8042708</v>
      </c>
      <c r="F111" s="85" t="s">
        <v>754</v>
      </c>
      <c r="G111" s="85" t="s">
        <v>49</v>
      </c>
      <c r="H111" s="661" t="s">
        <v>5</v>
      </c>
      <c r="I111" s="662">
        <v>2023</v>
      </c>
      <c r="J111" s="661">
        <v>2023</v>
      </c>
      <c r="K111" s="661" t="s">
        <v>575</v>
      </c>
      <c r="L111" s="85" t="s">
        <v>810</v>
      </c>
      <c r="M111" s="85">
        <v>100</v>
      </c>
      <c r="N111" s="85"/>
      <c r="O111" s="84"/>
      <c r="P111" s="84">
        <v>100</v>
      </c>
      <c r="Q111" s="85" t="s">
        <v>811</v>
      </c>
      <c r="R111" s="85" t="s">
        <v>759</v>
      </c>
      <c r="S111" s="85"/>
      <c r="T111" s="85"/>
      <c r="U111" s="85"/>
      <c r="V111" s="85"/>
      <c r="W111" s="84">
        <f t="shared" si="46"/>
        <v>94.866500000000002</v>
      </c>
      <c r="X111" s="85"/>
      <c r="Y111" s="667"/>
      <c r="Z111" s="85">
        <f t="shared" si="48"/>
        <v>94.866500000000002</v>
      </c>
      <c r="AA111" s="85">
        <v>0</v>
      </c>
      <c r="AB111" s="85"/>
      <c r="AC111" s="85">
        <v>94.866500000000002</v>
      </c>
      <c r="AD111" s="85">
        <f t="shared" si="56"/>
        <v>94.866500000000002</v>
      </c>
      <c r="AE111" s="85"/>
      <c r="AF111" s="667"/>
      <c r="AG111" s="84">
        <f t="shared" si="58"/>
        <v>94.866500000000002</v>
      </c>
      <c r="AH111" s="85"/>
      <c r="AI111" s="85"/>
      <c r="AJ111" s="85"/>
      <c r="AK111" s="85">
        <v>94.866500000000002</v>
      </c>
      <c r="AL111" s="85">
        <f t="shared" si="57"/>
        <v>94.866500000000002</v>
      </c>
      <c r="AM111" s="85"/>
      <c r="AN111" s="84"/>
      <c r="AO111" s="84">
        <f t="shared" si="59"/>
        <v>94.866500000000002</v>
      </c>
      <c r="AP111" s="85"/>
      <c r="AQ111" s="85"/>
      <c r="AR111" s="85"/>
      <c r="AS111" s="85">
        <v>94.866500000000002</v>
      </c>
      <c r="AT111" s="85">
        <f t="shared" si="47"/>
        <v>0</v>
      </c>
      <c r="AU111" s="85"/>
      <c r="AV111" s="667"/>
      <c r="AW111" s="85">
        <f t="shared" si="51"/>
        <v>0</v>
      </c>
      <c r="AX111" s="85">
        <v>0</v>
      </c>
      <c r="AY111" s="85"/>
      <c r="AZ111" s="85"/>
      <c r="BA111" s="85">
        <f t="shared" si="52"/>
        <v>0.54</v>
      </c>
      <c r="BB111" s="85"/>
      <c r="BC111" s="84"/>
      <c r="BD111" s="84">
        <f t="shared" si="53"/>
        <v>0.54</v>
      </c>
      <c r="BE111" s="85"/>
      <c r="BF111" s="85"/>
      <c r="BG111" s="85"/>
      <c r="BH111" s="85">
        <v>0.54</v>
      </c>
      <c r="BI111" s="84">
        <f t="shared" si="54"/>
        <v>0</v>
      </c>
      <c r="BJ111" s="85"/>
      <c r="BK111" s="85"/>
      <c r="BL111" s="85"/>
      <c r="BM111" s="84">
        <f t="shared" si="55"/>
        <v>0</v>
      </c>
      <c r="BN111" s="85"/>
      <c r="BO111" s="85"/>
      <c r="BP111" s="85"/>
      <c r="BQ111" s="85"/>
      <c r="BR111" s="85"/>
      <c r="BS111" s="85"/>
      <c r="BT111" s="85"/>
      <c r="BU111" s="85"/>
      <c r="BV111" s="85" t="s">
        <v>868</v>
      </c>
      <c r="BW111" s="663"/>
      <c r="BX111" s="663"/>
      <c r="BY111" s="663"/>
      <c r="BZ111" s="663"/>
    </row>
    <row r="112" spans="1:78" s="26" customFormat="1" ht="60" customHeight="1" outlineLevel="1">
      <c r="A112" s="659">
        <v>22</v>
      </c>
      <c r="B112" s="666" t="s">
        <v>812</v>
      </c>
      <c r="C112" s="661" t="s">
        <v>580</v>
      </c>
      <c r="D112" s="661" t="s">
        <v>105</v>
      </c>
      <c r="E112" s="85">
        <v>8086764</v>
      </c>
      <c r="F112" s="85" t="s">
        <v>754</v>
      </c>
      <c r="G112" s="85" t="s">
        <v>49</v>
      </c>
      <c r="H112" s="661" t="s">
        <v>5</v>
      </c>
      <c r="I112" s="662">
        <v>2023</v>
      </c>
      <c r="J112" s="661">
        <v>2023</v>
      </c>
      <c r="K112" s="661" t="s">
        <v>575</v>
      </c>
      <c r="L112" s="85" t="s">
        <v>813</v>
      </c>
      <c r="M112" s="85">
        <v>293</v>
      </c>
      <c r="N112" s="85"/>
      <c r="O112" s="84"/>
      <c r="P112" s="84">
        <v>293</v>
      </c>
      <c r="Q112" s="85" t="s">
        <v>814</v>
      </c>
      <c r="R112" s="85" t="s">
        <v>759</v>
      </c>
      <c r="S112" s="85"/>
      <c r="T112" s="85"/>
      <c r="U112" s="85"/>
      <c r="V112" s="85"/>
      <c r="W112" s="84">
        <f t="shared" si="46"/>
        <v>290.58605599999999</v>
      </c>
      <c r="X112" s="85"/>
      <c r="Y112" s="667"/>
      <c r="Z112" s="85">
        <f t="shared" si="48"/>
        <v>290.58605599999999</v>
      </c>
      <c r="AA112" s="85">
        <v>0</v>
      </c>
      <c r="AB112" s="85"/>
      <c r="AC112" s="85">
        <v>290.58605599999999</v>
      </c>
      <c r="AD112" s="85">
        <f t="shared" si="56"/>
        <v>290.58605599999999</v>
      </c>
      <c r="AE112" s="85"/>
      <c r="AF112" s="667"/>
      <c r="AG112" s="84">
        <f t="shared" si="58"/>
        <v>290.58605599999999</v>
      </c>
      <c r="AH112" s="85"/>
      <c r="AI112" s="85"/>
      <c r="AJ112" s="85"/>
      <c r="AK112" s="85">
        <v>290.58605599999999</v>
      </c>
      <c r="AL112" s="85">
        <f t="shared" si="57"/>
        <v>290.58605599999999</v>
      </c>
      <c r="AM112" s="85"/>
      <c r="AN112" s="84"/>
      <c r="AO112" s="84">
        <f t="shared" si="59"/>
        <v>290.58605599999999</v>
      </c>
      <c r="AP112" s="85"/>
      <c r="AQ112" s="85"/>
      <c r="AR112" s="85"/>
      <c r="AS112" s="85">
        <v>290.58605599999999</v>
      </c>
      <c r="AT112" s="85">
        <f t="shared" si="47"/>
        <v>0</v>
      </c>
      <c r="AU112" s="85"/>
      <c r="AV112" s="667"/>
      <c r="AW112" s="85">
        <f t="shared" si="51"/>
        <v>0</v>
      </c>
      <c r="AX112" s="85">
        <v>0</v>
      </c>
      <c r="AY112" s="85"/>
      <c r="AZ112" s="85"/>
      <c r="BA112" s="85">
        <f t="shared" si="52"/>
        <v>0</v>
      </c>
      <c r="BB112" s="85"/>
      <c r="BC112" s="84"/>
      <c r="BD112" s="84">
        <f t="shared" si="53"/>
        <v>0</v>
      </c>
      <c r="BE112" s="85"/>
      <c r="BF112" s="85"/>
      <c r="BG112" s="85"/>
      <c r="BH112" s="85"/>
      <c r="BI112" s="84">
        <f t="shared" si="54"/>
        <v>0</v>
      </c>
      <c r="BJ112" s="85"/>
      <c r="BK112" s="85"/>
      <c r="BL112" s="85"/>
      <c r="BM112" s="84">
        <f t="shared" si="55"/>
        <v>0</v>
      </c>
      <c r="BN112" s="85"/>
      <c r="BO112" s="85"/>
      <c r="BP112" s="85"/>
      <c r="BQ112" s="85"/>
      <c r="BR112" s="85"/>
      <c r="BS112" s="85"/>
      <c r="BT112" s="85"/>
      <c r="BU112" s="85"/>
      <c r="BV112" s="85" t="s">
        <v>868</v>
      </c>
      <c r="BW112" s="663"/>
      <c r="BX112" s="663"/>
      <c r="BY112" s="663"/>
      <c r="BZ112" s="663"/>
    </row>
    <row r="113" spans="1:78" s="26" customFormat="1" ht="62.25" customHeight="1" outlineLevel="1">
      <c r="A113" s="659">
        <v>23</v>
      </c>
      <c r="B113" s="666" t="s">
        <v>815</v>
      </c>
      <c r="C113" s="661" t="s">
        <v>613</v>
      </c>
      <c r="D113" s="661" t="s">
        <v>82</v>
      </c>
      <c r="E113" s="85">
        <v>7995473</v>
      </c>
      <c r="F113" s="85" t="s">
        <v>754</v>
      </c>
      <c r="G113" s="85" t="s">
        <v>49</v>
      </c>
      <c r="H113" s="661" t="s">
        <v>5</v>
      </c>
      <c r="I113" s="662">
        <v>2024</v>
      </c>
      <c r="J113" s="661">
        <v>2024</v>
      </c>
      <c r="K113" s="661" t="s">
        <v>575</v>
      </c>
      <c r="L113" s="85" t="s">
        <v>816</v>
      </c>
      <c r="M113" s="85">
        <v>300</v>
      </c>
      <c r="N113" s="85"/>
      <c r="O113" s="84"/>
      <c r="P113" s="84">
        <v>300</v>
      </c>
      <c r="Q113" s="85" t="s">
        <v>817</v>
      </c>
      <c r="R113" s="85" t="s">
        <v>759</v>
      </c>
      <c r="S113" s="85"/>
      <c r="T113" s="85"/>
      <c r="U113" s="85"/>
      <c r="V113" s="85"/>
      <c r="W113" s="84">
        <f t="shared" si="46"/>
        <v>300</v>
      </c>
      <c r="X113" s="85"/>
      <c r="Y113" s="667"/>
      <c r="Z113" s="85">
        <f t="shared" si="48"/>
        <v>300</v>
      </c>
      <c r="AA113" s="85">
        <v>300</v>
      </c>
      <c r="AB113" s="85">
        <v>0</v>
      </c>
      <c r="AC113" s="85"/>
      <c r="AD113" s="85">
        <f t="shared" si="56"/>
        <v>300</v>
      </c>
      <c r="AE113" s="85"/>
      <c r="AF113" s="667"/>
      <c r="AG113" s="84">
        <f t="shared" si="58"/>
        <v>300</v>
      </c>
      <c r="AH113" s="85">
        <v>300</v>
      </c>
      <c r="AI113" s="85"/>
      <c r="AJ113" s="85"/>
      <c r="AK113" s="85"/>
      <c r="AL113" s="85">
        <f t="shared" si="57"/>
        <v>299.72699999999998</v>
      </c>
      <c r="AM113" s="85"/>
      <c r="AN113" s="84"/>
      <c r="AO113" s="84">
        <f t="shared" si="59"/>
        <v>299.72699999999998</v>
      </c>
      <c r="AP113" s="85">
        <v>299.72699999999998</v>
      </c>
      <c r="AQ113" s="85"/>
      <c r="AR113" s="85"/>
      <c r="AS113" s="85"/>
      <c r="AT113" s="85">
        <f t="shared" si="47"/>
        <v>0</v>
      </c>
      <c r="AU113" s="85"/>
      <c r="AV113" s="667"/>
      <c r="AW113" s="85">
        <f t="shared" si="51"/>
        <v>0</v>
      </c>
      <c r="AX113" s="85">
        <v>0</v>
      </c>
      <c r="AY113" s="85"/>
      <c r="AZ113" s="85"/>
      <c r="BA113" s="85">
        <f t="shared" si="52"/>
        <v>0</v>
      </c>
      <c r="BB113" s="85"/>
      <c r="BC113" s="84"/>
      <c r="BD113" s="84">
        <f t="shared" si="53"/>
        <v>0</v>
      </c>
      <c r="BE113" s="85"/>
      <c r="BF113" s="85"/>
      <c r="BG113" s="85"/>
      <c r="BH113" s="85"/>
      <c r="BI113" s="84">
        <f t="shared" si="54"/>
        <v>0</v>
      </c>
      <c r="BJ113" s="85"/>
      <c r="BK113" s="85"/>
      <c r="BL113" s="85"/>
      <c r="BM113" s="84">
        <f t="shared" si="55"/>
        <v>0</v>
      </c>
      <c r="BN113" s="85"/>
      <c r="BO113" s="85"/>
      <c r="BP113" s="85"/>
      <c r="BQ113" s="85"/>
      <c r="BR113" s="85"/>
      <c r="BS113" s="85"/>
      <c r="BT113" s="85"/>
      <c r="BU113" s="85"/>
      <c r="BV113" s="85" t="s">
        <v>868</v>
      </c>
      <c r="BW113" s="663">
        <v>300</v>
      </c>
      <c r="BX113" s="663"/>
      <c r="BY113" s="663"/>
      <c r="BZ113" s="663"/>
    </row>
    <row r="114" spans="1:78" s="26" customFormat="1" ht="57.75" customHeight="1" outlineLevel="1">
      <c r="A114" s="659">
        <v>24</v>
      </c>
      <c r="B114" s="666" t="s">
        <v>818</v>
      </c>
      <c r="C114" s="661" t="s">
        <v>613</v>
      </c>
      <c r="D114" s="661" t="s">
        <v>105</v>
      </c>
      <c r="E114" s="85">
        <v>8091063</v>
      </c>
      <c r="F114" s="85" t="s">
        <v>754</v>
      </c>
      <c r="G114" s="85" t="s">
        <v>49</v>
      </c>
      <c r="H114" s="661" t="s">
        <v>5</v>
      </c>
      <c r="I114" s="662">
        <v>2024</v>
      </c>
      <c r="J114" s="661">
        <v>2024</v>
      </c>
      <c r="K114" s="661" t="s">
        <v>575</v>
      </c>
      <c r="L114" s="85" t="s">
        <v>819</v>
      </c>
      <c r="M114" s="85">
        <v>200</v>
      </c>
      <c r="N114" s="85"/>
      <c r="O114" s="84"/>
      <c r="P114" s="84">
        <v>200</v>
      </c>
      <c r="Q114" s="85" t="s">
        <v>820</v>
      </c>
      <c r="R114" s="85" t="s">
        <v>759</v>
      </c>
      <c r="S114" s="85"/>
      <c r="T114" s="85"/>
      <c r="U114" s="85"/>
      <c r="V114" s="85"/>
      <c r="W114" s="84">
        <f t="shared" si="46"/>
        <v>200</v>
      </c>
      <c r="X114" s="85"/>
      <c r="Y114" s="667"/>
      <c r="Z114" s="85">
        <f t="shared" si="48"/>
        <v>200</v>
      </c>
      <c r="AA114" s="85">
        <v>200</v>
      </c>
      <c r="AB114" s="85">
        <v>0</v>
      </c>
      <c r="AC114" s="85"/>
      <c r="AD114" s="85">
        <f t="shared" si="56"/>
        <v>200</v>
      </c>
      <c r="AE114" s="85"/>
      <c r="AF114" s="667"/>
      <c r="AG114" s="84">
        <f>AH114+AI114+AJ114+AK114</f>
        <v>200</v>
      </c>
      <c r="AH114" s="85">
        <v>200</v>
      </c>
      <c r="AI114" s="85"/>
      <c r="AJ114" s="85"/>
      <c r="AK114" s="85"/>
      <c r="AL114" s="85">
        <f t="shared" si="57"/>
        <v>199.42599999999999</v>
      </c>
      <c r="AM114" s="85"/>
      <c r="AN114" s="84"/>
      <c r="AO114" s="84">
        <f>AP114+AQ114+AR114+AS114</f>
        <v>199.42599999999999</v>
      </c>
      <c r="AP114" s="85">
        <v>199.42599999999999</v>
      </c>
      <c r="AQ114" s="85"/>
      <c r="AR114" s="85"/>
      <c r="AS114" s="85"/>
      <c r="AT114" s="85">
        <f t="shared" si="47"/>
        <v>0</v>
      </c>
      <c r="AU114" s="85"/>
      <c r="AV114" s="667"/>
      <c r="AW114" s="85">
        <f t="shared" si="51"/>
        <v>0</v>
      </c>
      <c r="AX114" s="85">
        <v>0</v>
      </c>
      <c r="AY114" s="85"/>
      <c r="AZ114" s="85"/>
      <c r="BA114" s="85">
        <f t="shared" si="52"/>
        <v>0</v>
      </c>
      <c r="BB114" s="85"/>
      <c r="BC114" s="84"/>
      <c r="BD114" s="84">
        <f t="shared" si="53"/>
        <v>0</v>
      </c>
      <c r="BE114" s="85"/>
      <c r="BF114" s="85"/>
      <c r="BG114" s="85"/>
      <c r="BH114" s="85"/>
      <c r="BI114" s="84">
        <f t="shared" si="54"/>
        <v>0</v>
      </c>
      <c r="BJ114" s="85"/>
      <c r="BK114" s="85"/>
      <c r="BL114" s="85"/>
      <c r="BM114" s="84">
        <f t="shared" si="55"/>
        <v>0</v>
      </c>
      <c r="BN114" s="85"/>
      <c r="BO114" s="85"/>
      <c r="BP114" s="85"/>
      <c r="BQ114" s="85"/>
      <c r="BR114" s="85"/>
      <c r="BS114" s="85"/>
      <c r="BT114" s="85"/>
      <c r="BU114" s="85"/>
      <c r="BV114" s="85" t="s">
        <v>868</v>
      </c>
      <c r="BW114" s="663">
        <v>200</v>
      </c>
      <c r="BX114" s="663"/>
      <c r="BY114" s="663"/>
      <c r="BZ114" s="663"/>
    </row>
    <row r="115" spans="1:78" s="26" customFormat="1" ht="53.25" customHeight="1" outlineLevel="1">
      <c r="A115" s="659">
        <v>25</v>
      </c>
      <c r="B115" s="666" t="s">
        <v>821</v>
      </c>
      <c r="C115" s="661" t="s">
        <v>613</v>
      </c>
      <c r="D115" s="661" t="s">
        <v>82</v>
      </c>
      <c r="E115" s="85">
        <v>8091061</v>
      </c>
      <c r="F115" s="85" t="s">
        <v>754</v>
      </c>
      <c r="G115" s="85" t="s">
        <v>49</v>
      </c>
      <c r="H115" s="661" t="s">
        <v>5</v>
      </c>
      <c r="I115" s="662">
        <v>2024</v>
      </c>
      <c r="J115" s="661">
        <v>2024</v>
      </c>
      <c r="K115" s="661" t="s">
        <v>575</v>
      </c>
      <c r="L115" s="85" t="s">
        <v>822</v>
      </c>
      <c r="M115" s="85">
        <v>200</v>
      </c>
      <c r="N115" s="85"/>
      <c r="O115" s="84"/>
      <c r="P115" s="84">
        <v>200</v>
      </c>
      <c r="Q115" s="85" t="s">
        <v>823</v>
      </c>
      <c r="R115" s="85" t="s">
        <v>759</v>
      </c>
      <c r="S115" s="85"/>
      <c r="T115" s="85"/>
      <c r="U115" s="85"/>
      <c r="V115" s="85"/>
      <c r="W115" s="84">
        <f t="shared" si="46"/>
        <v>200</v>
      </c>
      <c r="X115" s="85"/>
      <c r="Y115" s="667"/>
      <c r="Z115" s="85">
        <f t="shared" si="48"/>
        <v>200</v>
      </c>
      <c r="AA115" s="85">
        <v>200</v>
      </c>
      <c r="AB115" s="85">
        <v>0</v>
      </c>
      <c r="AC115" s="85"/>
      <c r="AD115" s="85">
        <f t="shared" si="56"/>
        <v>200</v>
      </c>
      <c r="AE115" s="85"/>
      <c r="AF115" s="667"/>
      <c r="AG115" s="84">
        <f t="shared" ref="AG115:AG125" si="60">AH115+AI115+AJ115+AK115</f>
        <v>200</v>
      </c>
      <c r="AH115" s="85">
        <v>200</v>
      </c>
      <c r="AI115" s="85"/>
      <c r="AJ115" s="85"/>
      <c r="AK115" s="85"/>
      <c r="AL115" s="85">
        <f t="shared" si="57"/>
        <v>199.79400000000001</v>
      </c>
      <c r="AM115" s="85"/>
      <c r="AN115" s="84"/>
      <c r="AO115" s="84">
        <f t="shared" ref="AO115:AO125" si="61">AP115+AQ115+AR115+AS115</f>
        <v>199.79400000000001</v>
      </c>
      <c r="AP115" s="85">
        <v>199.79400000000001</v>
      </c>
      <c r="AQ115" s="85"/>
      <c r="AR115" s="85"/>
      <c r="AS115" s="85"/>
      <c r="AT115" s="85">
        <f t="shared" si="47"/>
        <v>0</v>
      </c>
      <c r="AU115" s="85"/>
      <c r="AV115" s="667"/>
      <c r="AW115" s="85">
        <f t="shared" si="51"/>
        <v>0</v>
      </c>
      <c r="AX115" s="85">
        <v>0</v>
      </c>
      <c r="AY115" s="85"/>
      <c r="AZ115" s="85"/>
      <c r="BA115" s="85">
        <f t="shared" si="52"/>
        <v>0</v>
      </c>
      <c r="BB115" s="85"/>
      <c r="BC115" s="84"/>
      <c r="BD115" s="84">
        <f t="shared" si="53"/>
        <v>0</v>
      </c>
      <c r="BE115" s="85"/>
      <c r="BF115" s="85"/>
      <c r="BG115" s="85"/>
      <c r="BH115" s="85"/>
      <c r="BI115" s="84">
        <f t="shared" si="54"/>
        <v>0</v>
      </c>
      <c r="BJ115" s="85"/>
      <c r="BK115" s="85"/>
      <c r="BL115" s="85"/>
      <c r="BM115" s="84">
        <f t="shared" si="55"/>
        <v>0</v>
      </c>
      <c r="BN115" s="85"/>
      <c r="BO115" s="85"/>
      <c r="BP115" s="85"/>
      <c r="BQ115" s="85"/>
      <c r="BR115" s="85"/>
      <c r="BS115" s="85"/>
      <c r="BT115" s="85"/>
      <c r="BU115" s="85"/>
      <c r="BV115" s="85" t="s">
        <v>868</v>
      </c>
      <c r="BW115" s="663">
        <v>200</v>
      </c>
      <c r="BX115" s="663"/>
      <c r="BY115" s="663"/>
      <c r="BZ115" s="663"/>
    </row>
    <row r="116" spans="1:78" s="26" customFormat="1" ht="53.25" customHeight="1" outlineLevel="1">
      <c r="A116" s="659">
        <v>26</v>
      </c>
      <c r="B116" s="666" t="s">
        <v>824</v>
      </c>
      <c r="C116" s="661" t="s">
        <v>613</v>
      </c>
      <c r="D116" s="661" t="s">
        <v>82</v>
      </c>
      <c r="E116" s="85">
        <v>8091060</v>
      </c>
      <c r="F116" s="85" t="s">
        <v>754</v>
      </c>
      <c r="G116" s="85" t="s">
        <v>49</v>
      </c>
      <c r="H116" s="661" t="s">
        <v>5</v>
      </c>
      <c r="I116" s="662">
        <v>2024</v>
      </c>
      <c r="J116" s="661">
        <v>2024</v>
      </c>
      <c r="K116" s="661" t="s">
        <v>575</v>
      </c>
      <c r="L116" s="85" t="s">
        <v>825</v>
      </c>
      <c r="M116" s="85">
        <v>200</v>
      </c>
      <c r="N116" s="85"/>
      <c r="O116" s="84"/>
      <c r="P116" s="84">
        <v>200</v>
      </c>
      <c r="Q116" s="85" t="s">
        <v>826</v>
      </c>
      <c r="R116" s="85" t="s">
        <v>759</v>
      </c>
      <c r="S116" s="85"/>
      <c r="T116" s="85"/>
      <c r="U116" s="85"/>
      <c r="V116" s="85"/>
      <c r="W116" s="84">
        <f t="shared" si="46"/>
        <v>200</v>
      </c>
      <c r="X116" s="85"/>
      <c r="Y116" s="667"/>
      <c r="Z116" s="85">
        <f t="shared" si="48"/>
        <v>200</v>
      </c>
      <c r="AA116" s="85">
        <v>200</v>
      </c>
      <c r="AB116" s="85">
        <v>0</v>
      </c>
      <c r="AC116" s="85"/>
      <c r="AD116" s="85">
        <f t="shared" si="56"/>
        <v>200</v>
      </c>
      <c r="AE116" s="85"/>
      <c r="AF116" s="667"/>
      <c r="AG116" s="84">
        <f t="shared" si="60"/>
        <v>200</v>
      </c>
      <c r="AH116" s="85">
        <v>200</v>
      </c>
      <c r="AI116" s="85"/>
      <c r="AJ116" s="85"/>
      <c r="AK116" s="85"/>
      <c r="AL116" s="85">
        <f t="shared" si="57"/>
        <v>199.60900000000001</v>
      </c>
      <c r="AM116" s="85"/>
      <c r="AN116" s="84"/>
      <c r="AO116" s="84">
        <f t="shared" si="61"/>
        <v>199.60900000000001</v>
      </c>
      <c r="AP116" s="85">
        <v>199.60900000000001</v>
      </c>
      <c r="AQ116" s="85"/>
      <c r="AR116" s="85"/>
      <c r="AS116" s="85"/>
      <c r="AT116" s="85">
        <f t="shared" si="47"/>
        <v>0</v>
      </c>
      <c r="AU116" s="85"/>
      <c r="AV116" s="667"/>
      <c r="AW116" s="85">
        <f t="shared" si="51"/>
        <v>0</v>
      </c>
      <c r="AX116" s="85">
        <v>0</v>
      </c>
      <c r="AY116" s="85"/>
      <c r="AZ116" s="85"/>
      <c r="BA116" s="85">
        <f t="shared" si="52"/>
        <v>0</v>
      </c>
      <c r="BB116" s="85"/>
      <c r="BC116" s="84"/>
      <c r="BD116" s="84">
        <f t="shared" si="53"/>
        <v>0</v>
      </c>
      <c r="BE116" s="85"/>
      <c r="BF116" s="85"/>
      <c r="BG116" s="85"/>
      <c r="BH116" s="85"/>
      <c r="BI116" s="84">
        <f t="shared" si="54"/>
        <v>0</v>
      </c>
      <c r="BJ116" s="85"/>
      <c r="BK116" s="85"/>
      <c r="BL116" s="85"/>
      <c r="BM116" s="84">
        <f t="shared" si="55"/>
        <v>0</v>
      </c>
      <c r="BN116" s="85"/>
      <c r="BO116" s="85"/>
      <c r="BP116" s="85"/>
      <c r="BQ116" s="85"/>
      <c r="BR116" s="85"/>
      <c r="BS116" s="85"/>
      <c r="BT116" s="85"/>
      <c r="BU116" s="85"/>
      <c r="BV116" s="85" t="s">
        <v>868</v>
      </c>
      <c r="BW116" s="663">
        <v>200</v>
      </c>
      <c r="BX116" s="663"/>
      <c r="BY116" s="663"/>
      <c r="BZ116" s="663"/>
    </row>
    <row r="117" spans="1:78" s="26" customFormat="1" ht="53.25" customHeight="1" outlineLevel="1">
      <c r="A117" s="659">
        <v>27</v>
      </c>
      <c r="B117" s="666" t="s">
        <v>827</v>
      </c>
      <c r="C117" s="661" t="s">
        <v>613</v>
      </c>
      <c r="D117" s="661" t="s">
        <v>105</v>
      </c>
      <c r="E117" s="85">
        <v>8085703</v>
      </c>
      <c r="F117" s="85" t="s">
        <v>754</v>
      </c>
      <c r="G117" s="85" t="s">
        <v>49</v>
      </c>
      <c r="H117" s="661" t="s">
        <v>5</v>
      </c>
      <c r="I117" s="662">
        <v>2024</v>
      </c>
      <c r="J117" s="661">
        <v>2024</v>
      </c>
      <c r="K117" s="661" t="s">
        <v>575</v>
      </c>
      <c r="L117" s="85" t="s">
        <v>828</v>
      </c>
      <c r="M117" s="85">
        <v>213</v>
      </c>
      <c r="N117" s="85"/>
      <c r="O117" s="84"/>
      <c r="P117" s="84">
        <v>213</v>
      </c>
      <c r="Q117" s="85" t="s">
        <v>829</v>
      </c>
      <c r="R117" s="85" t="s">
        <v>759</v>
      </c>
      <c r="S117" s="85"/>
      <c r="T117" s="85"/>
      <c r="U117" s="85"/>
      <c r="V117" s="85"/>
      <c r="W117" s="84">
        <f t="shared" si="46"/>
        <v>213</v>
      </c>
      <c r="X117" s="85"/>
      <c r="Y117" s="667"/>
      <c r="Z117" s="85">
        <f t="shared" si="48"/>
        <v>213</v>
      </c>
      <c r="AA117" s="85">
        <v>213</v>
      </c>
      <c r="AB117" s="85"/>
      <c r="AC117" s="85"/>
      <c r="AD117" s="85">
        <f t="shared" si="56"/>
        <v>213</v>
      </c>
      <c r="AE117" s="85"/>
      <c r="AF117" s="667"/>
      <c r="AG117" s="84">
        <f t="shared" si="60"/>
        <v>213</v>
      </c>
      <c r="AH117" s="85">
        <v>213</v>
      </c>
      <c r="AI117" s="85"/>
      <c r="AJ117" s="85"/>
      <c r="AK117" s="85"/>
      <c r="AL117" s="85">
        <f t="shared" si="57"/>
        <v>212.86600000000001</v>
      </c>
      <c r="AM117" s="85"/>
      <c r="AN117" s="84"/>
      <c r="AO117" s="84">
        <f t="shared" si="61"/>
        <v>212.86600000000001</v>
      </c>
      <c r="AP117" s="85">
        <v>212.86600000000001</v>
      </c>
      <c r="AQ117" s="85"/>
      <c r="AR117" s="85"/>
      <c r="AS117" s="85"/>
      <c r="AT117" s="85">
        <f t="shared" si="47"/>
        <v>0</v>
      </c>
      <c r="AU117" s="85"/>
      <c r="AV117" s="667"/>
      <c r="AW117" s="85">
        <f t="shared" si="51"/>
        <v>0</v>
      </c>
      <c r="AX117" s="85">
        <v>0</v>
      </c>
      <c r="AY117" s="85"/>
      <c r="AZ117" s="85"/>
      <c r="BA117" s="85">
        <f t="shared" si="52"/>
        <v>0</v>
      </c>
      <c r="BB117" s="85"/>
      <c r="BC117" s="84"/>
      <c r="BD117" s="84">
        <f t="shared" si="53"/>
        <v>0</v>
      </c>
      <c r="BE117" s="85"/>
      <c r="BF117" s="85"/>
      <c r="BG117" s="85"/>
      <c r="BH117" s="85"/>
      <c r="BI117" s="84">
        <f t="shared" si="54"/>
        <v>0</v>
      </c>
      <c r="BJ117" s="85"/>
      <c r="BK117" s="85"/>
      <c r="BL117" s="85"/>
      <c r="BM117" s="84">
        <f t="shared" si="55"/>
        <v>0</v>
      </c>
      <c r="BN117" s="85"/>
      <c r="BO117" s="85"/>
      <c r="BP117" s="85"/>
      <c r="BQ117" s="85"/>
      <c r="BR117" s="85"/>
      <c r="BS117" s="85"/>
      <c r="BT117" s="85"/>
      <c r="BU117" s="85"/>
      <c r="BV117" s="85" t="s">
        <v>868</v>
      </c>
      <c r="BW117" s="663">
        <v>213</v>
      </c>
      <c r="BX117" s="663"/>
      <c r="BY117" s="663"/>
      <c r="BZ117" s="663"/>
    </row>
    <row r="118" spans="1:78" s="26" customFormat="1" ht="53.25" customHeight="1" outlineLevel="1">
      <c r="A118" s="659">
        <v>28</v>
      </c>
      <c r="B118" s="666" t="s">
        <v>830</v>
      </c>
      <c r="C118" s="661" t="s">
        <v>613</v>
      </c>
      <c r="D118" s="661" t="s">
        <v>105</v>
      </c>
      <c r="E118" s="85">
        <v>8086764</v>
      </c>
      <c r="F118" s="85" t="s">
        <v>754</v>
      </c>
      <c r="G118" s="85" t="s">
        <v>49</v>
      </c>
      <c r="H118" s="661" t="s">
        <v>772</v>
      </c>
      <c r="I118" s="662">
        <v>2024</v>
      </c>
      <c r="J118" s="661">
        <v>2024</v>
      </c>
      <c r="K118" s="661" t="s">
        <v>575</v>
      </c>
      <c r="L118" s="85" t="s">
        <v>831</v>
      </c>
      <c r="M118" s="85">
        <v>222</v>
      </c>
      <c r="N118" s="85"/>
      <c r="O118" s="84"/>
      <c r="P118" s="84">
        <v>222</v>
      </c>
      <c r="Q118" s="85" t="s">
        <v>814</v>
      </c>
      <c r="R118" s="85" t="s">
        <v>759</v>
      </c>
      <c r="S118" s="85"/>
      <c r="T118" s="85"/>
      <c r="U118" s="85"/>
      <c r="V118" s="85"/>
      <c r="W118" s="84">
        <f t="shared" si="46"/>
        <v>222</v>
      </c>
      <c r="X118" s="85"/>
      <c r="Y118" s="667"/>
      <c r="Z118" s="85">
        <f t="shared" si="48"/>
        <v>222</v>
      </c>
      <c r="AA118" s="85">
        <v>222</v>
      </c>
      <c r="AB118" s="85"/>
      <c r="AC118" s="85"/>
      <c r="AD118" s="85">
        <f t="shared" si="56"/>
        <v>222</v>
      </c>
      <c r="AE118" s="85"/>
      <c r="AF118" s="667"/>
      <c r="AG118" s="84">
        <f t="shared" si="60"/>
        <v>222</v>
      </c>
      <c r="AH118" s="85">
        <v>222</v>
      </c>
      <c r="AI118" s="85"/>
      <c r="AJ118" s="85"/>
      <c r="AK118" s="85"/>
      <c r="AL118" s="85">
        <f t="shared" si="57"/>
        <v>221.631</v>
      </c>
      <c r="AM118" s="85"/>
      <c r="AN118" s="84"/>
      <c r="AO118" s="84">
        <f t="shared" si="61"/>
        <v>221.631</v>
      </c>
      <c r="AP118" s="85">
        <v>221.631</v>
      </c>
      <c r="AQ118" s="85"/>
      <c r="AR118" s="85"/>
      <c r="AS118" s="85"/>
      <c r="AT118" s="85">
        <f t="shared" si="47"/>
        <v>0</v>
      </c>
      <c r="AU118" s="85"/>
      <c r="AV118" s="667"/>
      <c r="AW118" s="85">
        <f t="shared" si="51"/>
        <v>0</v>
      </c>
      <c r="AX118" s="85">
        <v>0</v>
      </c>
      <c r="AY118" s="85"/>
      <c r="AZ118" s="85"/>
      <c r="BA118" s="85">
        <f t="shared" si="52"/>
        <v>0</v>
      </c>
      <c r="BB118" s="85"/>
      <c r="BC118" s="84"/>
      <c r="BD118" s="84">
        <f t="shared" si="53"/>
        <v>0</v>
      </c>
      <c r="BE118" s="85"/>
      <c r="BF118" s="85"/>
      <c r="BG118" s="85"/>
      <c r="BH118" s="85"/>
      <c r="BI118" s="84">
        <f t="shared" si="54"/>
        <v>0</v>
      </c>
      <c r="BJ118" s="85"/>
      <c r="BK118" s="85"/>
      <c r="BL118" s="85"/>
      <c r="BM118" s="84">
        <f t="shared" si="55"/>
        <v>0</v>
      </c>
      <c r="BN118" s="85"/>
      <c r="BO118" s="85"/>
      <c r="BP118" s="85"/>
      <c r="BQ118" s="85"/>
      <c r="BR118" s="85"/>
      <c r="BS118" s="85"/>
      <c r="BT118" s="85"/>
      <c r="BU118" s="85"/>
      <c r="BV118" s="85" t="s">
        <v>868</v>
      </c>
      <c r="BW118" s="663">
        <v>222</v>
      </c>
      <c r="BX118" s="663"/>
      <c r="BY118" s="663"/>
      <c r="BZ118" s="663"/>
    </row>
    <row r="119" spans="1:78" s="26" customFormat="1" ht="53.25" customHeight="1" outlineLevel="1">
      <c r="A119" s="659">
        <v>29</v>
      </c>
      <c r="B119" s="666" t="s">
        <v>832</v>
      </c>
      <c r="C119" s="661" t="s">
        <v>613</v>
      </c>
      <c r="D119" s="661" t="s">
        <v>82</v>
      </c>
      <c r="E119" s="85">
        <v>8086402</v>
      </c>
      <c r="F119" s="85" t="s">
        <v>754</v>
      </c>
      <c r="G119" s="85" t="s">
        <v>49</v>
      </c>
      <c r="H119" s="661" t="s">
        <v>772</v>
      </c>
      <c r="I119" s="662">
        <v>2024</v>
      </c>
      <c r="J119" s="661">
        <v>2024</v>
      </c>
      <c r="K119" s="661" t="s">
        <v>575</v>
      </c>
      <c r="L119" s="85" t="s">
        <v>731</v>
      </c>
      <c r="M119" s="85">
        <v>410</v>
      </c>
      <c r="N119" s="85"/>
      <c r="O119" s="84"/>
      <c r="P119" s="84">
        <v>410</v>
      </c>
      <c r="Q119" s="85" t="s">
        <v>833</v>
      </c>
      <c r="R119" s="85" t="s">
        <v>759</v>
      </c>
      <c r="S119" s="85"/>
      <c r="T119" s="85"/>
      <c r="U119" s="85"/>
      <c r="V119" s="85"/>
      <c r="W119" s="84">
        <f t="shared" si="46"/>
        <v>410</v>
      </c>
      <c r="X119" s="85"/>
      <c r="Y119" s="667"/>
      <c r="Z119" s="85">
        <f t="shared" si="48"/>
        <v>410</v>
      </c>
      <c r="AA119" s="85">
        <v>410</v>
      </c>
      <c r="AB119" s="85"/>
      <c r="AC119" s="85"/>
      <c r="AD119" s="85">
        <f t="shared" si="56"/>
        <v>410</v>
      </c>
      <c r="AE119" s="85"/>
      <c r="AF119" s="667"/>
      <c r="AG119" s="84">
        <f t="shared" si="60"/>
        <v>410</v>
      </c>
      <c r="AH119" s="85">
        <v>410</v>
      </c>
      <c r="AI119" s="85"/>
      <c r="AJ119" s="85"/>
      <c r="AK119" s="85"/>
      <c r="AL119" s="85">
        <f t="shared" si="57"/>
        <v>400.05</v>
      </c>
      <c r="AM119" s="85"/>
      <c r="AN119" s="84"/>
      <c r="AO119" s="84">
        <f t="shared" si="61"/>
        <v>400.05</v>
      </c>
      <c r="AP119" s="85">
        <v>400.05</v>
      </c>
      <c r="AQ119" s="85"/>
      <c r="AR119" s="85"/>
      <c r="AS119" s="85"/>
      <c r="AT119" s="85">
        <f t="shared" si="47"/>
        <v>0</v>
      </c>
      <c r="AU119" s="85"/>
      <c r="AV119" s="667"/>
      <c r="AW119" s="85">
        <f t="shared" si="51"/>
        <v>0</v>
      </c>
      <c r="AX119" s="85">
        <v>0</v>
      </c>
      <c r="AY119" s="85"/>
      <c r="AZ119" s="85"/>
      <c r="BA119" s="85">
        <f t="shared" si="52"/>
        <v>0</v>
      </c>
      <c r="BB119" s="85"/>
      <c r="BC119" s="84"/>
      <c r="BD119" s="84">
        <f t="shared" si="53"/>
        <v>0</v>
      </c>
      <c r="BE119" s="85"/>
      <c r="BF119" s="85"/>
      <c r="BG119" s="85"/>
      <c r="BH119" s="85"/>
      <c r="BI119" s="84">
        <f t="shared" si="54"/>
        <v>0</v>
      </c>
      <c r="BJ119" s="85"/>
      <c r="BK119" s="85"/>
      <c r="BL119" s="85"/>
      <c r="BM119" s="84">
        <f t="shared" si="55"/>
        <v>0</v>
      </c>
      <c r="BN119" s="85"/>
      <c r="BO119" s="85"/>
      <c r="BP119" s="85"/>
      <c r="BQ119" s="85"/>
      <c r="BR119" s="85"/>
      <c r="BS119" s="85"/>
      <c r="BT119" s="85"/>
      <c r="BU119" s="85"/>
      <c r="BV119" s="85" t="s">
        <v>868</v>
      </c>
      <c r="BW119" s="663">
        <v>410</v>
      </c>
      <c r="BX119" s="663"/>
      <c r="BY119" s="663"/>
      <c r="BZ119" s="663"/>
    </row>
    <row r="120" spans="1:78" s="26" customFormat="1" ht="53.25" customHeight="1" outlineLevel="1">
      <c r="A120" s="659">
        <v>30</v>
      </c>
      <c r="B120" s="666" t="s">
        <v>834</v>
      </c>
      <c r="C120" s="661" t="s">
        <v>613</v>
      </c>
      <c r="D120" s="661" t="s">
        <v>105</v>
      </c>
      <c r="E120" s="85">
        <v>8086408</v>
      </c>
      <c r="F120" s="85" t="s">
        <v>754</v>
      </c>
      <c r="G120" s="85" t="s">
        <v>49</v>
      </c>
      <c r="H120" s="661" t="s">
        <v>758</v>
      </c>
      <c r="I120" s="662">
        <v>2024</v>
      </c>
      <c r="J120" s="661">
        <v>2024</v>
      </c>
      <c r="K120" s="661" t="s">
        <v>575</v>
      </c>
      <c r="L120" s="85" t="s">
        <v>835</v>
      </c>
      <c r="M120" s="85">
        <v>600</v>
      </c>
      <c r="N120" s="85"/>
      <c r="O120" s="84"/>
      <c r="P120" s="84">
        <v>600</v>
      </c>
      <c r="Q120" s="85" t="s">
        <v>836</v>
      </c>
      <c r="R120" s="85" t="s">
        <v>759</v>
      </c>
      <c r="S120" s="85"/>
      <c r="T120" s="85"/>
      <c r="U120" s="85"/>
      <c r="V120" s="85"/>
      <c r="W120" s="84">
        <f t="shared" si="46"/>
        <v>600</v>
      </c>
      <c r="X120" s="85"/>
      <c r="Y120" s="667"/>
      <c r="Z120" s="85">
        <f t="shared" si="48"/>
        <v>600</v>
      </c>
      <c r="AA120" s="85">
        <v>600</v>
      </c>
      <c r="AB120" s="85"/>
      <c r="AC120" s="85"/>
      <c r="AD120" s="85">
        <f t="shared" si="56"/>
        <v>600</v>
      </c>
      <c r="AE120" s="85"/>
      <c r="AF120" s="667"/>
      <c r="AG120" s="84">
        <f t="shared" si="60"/>
        <v>600</v>
      </c>
      <c r="AH120" s="85">
        <v>600</v>
      </c>
      <c r="AI120" s="85"/>
      <c r="AJ120" s="85"/>
      <c r="AK120" s="85"/>
      <c r="AL120" s="85">
        <f t="shared" si="57"/>
        <v>588.66300000000001</v>
      </c>
      <c r="AM120" s="85"/>
      <c r="AN120" s="84"/>
      <c r="AO120" s="84">
        <f t="shared" si="61"/>
        <v>588.66300000000001</v>
      </c>
      <c r="AP120" s="85">
        <v>588.66300000000001</v>
      </c>
      <c r="AQ120" s="85"/>
      <c r="AR120" s="85"/>
      <c r="AS120" s="85"/>
      <c r="AT120" s="85">
        <f t="shared" si="47"/>
        <v>0</v>
      </c>
      <c r="AU120" s="85"/>
      <c r="AV120" s="667"/>
      <c r="AW120" s="85">
        <f t="shared" si="51"/>
        <v>0</v>
      </c>
      <c r="AX120" s="85">
        <v>0</v>
      </c>
      <c r="AY120" s="85"/>
      <c r="AZ120" s="85"/>
      <c r="BA120" s="85">
        <f t="shared" si="52"/>
        <v>0</v>
      </c>
      <c r="BB120" s="85"/>
      <c r="BC120" s="84"/>
      <c r="BD120" s="84">
        <f t="shared" si="53"/>
        <v>0</v>
      </c>
      <c r="BE120" s="85"/>
      <c r="BF120" s="85"/>
      <c r="BG120" s="85"/>
      <c r="BH120" s="85"/>
      <c r="BI120" s="84">
        <f t="shared" si="54"/>
        <v>0</v>
      </c>
      <c r="BJ120" s="85"/>
      <c r="BK120" s="85"/>
      <c r="BL120" s="85"/>
      <c r="BM120" s="84">
        <f t="shared" si="55"/>
        <v>0</v>
      </c>
      <c r="BN120" s="85"/>
      <c r="BO120" s="85"/>
      <c r="BP120" s="85"/>
      <c r="BQ120" s="85"/>
      <c r="BR120" s="85"/>
      <c r="BS120" s="85"/>
      <c r="BT120" s="85"/>
      <c r="BU120" s="85"/>
      <c r="BV120" s="85" t="s">
        <v>868</v>
      </c>
      <c r="BW120" s="663">
        <v>600</v>
      </c>
      <c r="BX120" s="663"/>
      <c r="BY120" s="663"/>
      <c r="BZ120" s="663"/>
    </row>
    <row r="121" spans="1:78" s="26" customFormat="1" ht="53.25" customHeight="1" outlineLevel="1">
      <c r="A121" s="659">
        <v>31</v>
      </c>
      <c r="B121" s="666" t="s">
        <v>837</v>
      </c>
      <c r="C121" s="661" t="s">
        <v>773</v>
      </c>
      <c r="D121" s="661"/>
      <c r="E121" s="85">
        <v>8100269</v>
      </c>
      <c r="F121" s="85" t="s">
        <v>754</v>
      </c>
      <c r="G121" s="85" t="s">
        <v>49</v>
      </c>
      <c r="H121" s="661" t="s">
        <v>772</v>
      </c>
      <c r="I121" s="662">
        <v>2024</v>
      </c>
      <c r="J121" s="661">
        <v>2024</v>
      </c>
      <c r="K121" s="661" t="s">
        <v>575</v>
      </c>
      <c r="L121" s="85" t="s">
        <v>838</v>
      </c>
      <c r="M121" s="85">
        <v>318</v>
      </c>
      <c r="N121" s="85"/>
      <c r="O121" s="84"/>
      <c r="P121" s="84">
        <v>318</v>
      </c>
      <c r="Q121" s="85" t="s">
        <v>839</v>
      </c>
      <c r="R121" s="85" t="s">
        <v>759</v>
      </c>
      <c r="S121" s="85"/>
      <c r="T121" s="85"/>
      <c r="U121" s="85"/>
      <c r="V121" s="85"/>
      <c r="W121" s="84">
        <f t="shared" si="46"/>
        <v>318</v>
      </c>
      <c r="X121" s="85"/>
      <c r="Y121" s="667"/>
      <c r="Z121" s="85">
        <f t="shared" si="48"/>
        <v>318</v>
      </c>
      <c r="AA121" s="85">
        <v>318</v>
      </c>
      <c r="AB121" s="85"/>
      <c r="AC121" s="85"/>
      <c r="AD121" s="85">
        <f t="shared" si="56"/>
        <v>318</v>
      </c>
      <c r="AE121" s="85"/>
      <c r="AF121" s="667"/>
      <c r="AG121" s="84">
        <f t="shared" si="60"/>
        <v>318</v>
      </c>
      <c r="AH121" s="85">
        <v>318</v>
      </c>
      <c r="AI121" s="85"/>
      <c r="AJ121" s="85"/>
      <c r="AK121" s="85"/>
      <c r="AL121" s="85">
        <f t="shared" si="57"/>
        <v>318</v>
      </c>
      <c r="AM121" s="85"/>
      <c r="AN121" s="84"/>
      <c r="AO121" s="84">
        <f t="shared" si="61"/>
        <v>318</v>
      </c>
      <c r="AP121" s="85">
        <v>318</v>
      </c>
      <c r="AQ121" s="85"/>
      <c r="AR121" s="85"/>
      <c r="AS121" s="85"/>
      <c r="AT121" s="85">
        <f t="shared" si="47"/>
        <v>0</v>
      </c>
      <c r="AU121" s="85"/>
      <c r="AV121" s="667"/>
      <c r="AW121" s="85">
        <f t="shared" si="51"/>
        <v>0</v>
      </c>
      <c r="AX121" s="85">
        <v>0</v>
      </c>
      <c r="AY121" s="85"/>
      <c r="AZ121" s="85"/>
      <c r="BA121" s="85">
        <f t="shared" si="52"/>
        <v>0</v>
      </c>
      <c r="BB121" s="85"/>
      <c r="BC121" s="84"/>
      <c r="BD121" s="84">
        <f t="shared" si="53"/>
        <v>0</v>
      </c>
      <c r="BE121" s="85"/>
      <c r="BF121" s="85"/>
      <c r="BG121" s="85"/>
      <c r="BH121" s="85"/>
      <c r="BI121" s="84">
        <f t="shared" si="54"/>
        <v>0</v>
      </c>
      <c r="BJ121" s="85"/>
      <c r="BK121" s="85"/>
      <c r="BL121" s="85"/>
      <c r="BM121" s="84">
        <f t="shared" si="55"/>
        <v>0</v>
      </c>
      <c r="BN121" s="85"/>
      <c r="BO121" s="85"/>
      <c r="BP121" s="85"/>
      <c r="BQ121" s="85"/>
      <c r="BR121" s="85"/>
      <c r="BS121" s="85"/>
      <c r="BT121" s="85"/>
      <c r="BU121" s="85"/>
      <c r="BV121" s="85" t="s">
        <v>868</v>
      </c>
      <c r="BW121" s="663">
        <v>318</v>
      </c>
      <c r="BX121" s="663"/>
      <c r="BY121" s="663"/>
      <c r="BZ121" s="663"/>
    </row>
    <row r="122" spans="1:78" s="26" customFormat="1" ht="66.75" customHeight="1" outlineLevel="1">
      <c r="A122" s="659">
        <v>32</v>
      </c>
      <c r="B122" s="666" t="s">
        <v>840</v>
      </c>
      <c r="C122" s="661" t="s">
        <v>773</v>
      </c>
      <c r="D122" s="661"/>
      <c r="E122" s="85">
        <v>8100269</v>
      </c>
      <c r="F122" s="85" t="s">
        <v>754</v>
      </c>
      <c r="G122" s="85" t="s">
        <v>49</v>
      </c>
      <c r="H122" s="661" t="s">
        <v>758</v>
      </c>
      <c r="I122" s="662">
        <v>2024</v>
      </c>
      <c r="J122" s="661">
        <v>2024</v>
      </c>
      <c r="K122" s="661" t="s">
        <v>575</v>
      </c>
      <c r="L122" s="85" t="s">
        <v>838</v>
      </c>
      <c r="M122" s="85">
        <v>76</v>
      </c>
      <c r="N122" s="85"/>
      <c r="O122" s="84"/>
      <c r="P122" s="84">
        <v>76</v>
      </c>
      <c r="Q122" s="85" t="s">
        <v>839</v>
      </c>
      <c r="R122" s="85" t="s">
        <v>759</v>
      </c>
      <c r="S122" s="85"/>
      <c r="T122" s="85"/>
      <c r="U122" s="85"/>
      <c r="V122" s="85"/>
      <c r="W122" s="84">
        <f t="shared" si="46"/>
        <v>76</v>
      </c>
      <c r="X122" s="85"/>
      <c r="Y122" s="667"/>
      <c r="Z122" s="85">
        <f t="shared" si="48"/>
        <v>76</v>
      </c>
      <c r="AA122" s="85">
        <v>76</v>
      </c>
      <c r="AB122" s="85">
        <v>0</v>
      </c>
      <c r="AC122" s="85"/>
      <c r="AD122" s="85">
        <f t="shared" si="56"/>
        <v>76</v>
      </c>
      <c r="AE122" s="85"/>
      <c r="AF122" s="667"/>
      <c r="AG122" s="84">
        <f t="shared" si="60"/>
        <v>76</v>
      </c>
      <c r="AH122" s="85">
        <v>76</v>
      </c>
      <c r="AI122" s="85"/>
      <c r="AJ122" s="85"/>
      <c r="AK122" s="85"/>
      <c r="AL122" s="85">
        <f t="shared" si="57"/>
        <v>52.347999999999999</v>
      </c>
      <c r="AM122" s="85"/>
      <c r="AN122" s="84"/>
      <c r="AO122" s="84">
        <f t="shared" si="61"/>
        <v>52.347999999999999</v>
      </c>
      <c r="AP122" s="85">
        <v>52.347999999999999</v>
      </c>
      <c r="AQ122" s="85"/>
      <c r="AR122" s="85"/>
      <c r="AS122" s="85"/>
      <c r="AT122" s="85">
        <f t="shared" si="47"/>
        <v>0</v>
      </c>
      <c r="AU122" s="85"/>
      <c r="AV122" s="667"/>
      <c r="AW122" s="85">
        <f t="shared" si="51"/>
        <v>0</v>
      </c>
      <c r="AX122" s="85">
        <v>0</v>
      </c>
      <c r="AY122" s="85"/>
      <c r="AZ122" s="85"/>
      <c r="BA122" s="85">
        <f t="shared" si="52"/>
        <v>0</v>
      </c>
      <c r="BB122" s="85"/>
      <c r="BC122" s="84"/>
      <c r="BD122" s="84">
        <f t="shared" si="53"/>
        <v>0</v>
      </c>
      <c r="BE122" s="85"/>
      <c r="BF122" s="85"/>
      <c r="BG122" s="85"/>
      <c r="BH122" s="85"/>
      <c r="BI122" s="84">
        <f t="shared" si="54"/>
        <v>23.652000000000001</v>
      </c>
      <c r="BJ122" s="85"/>
      <c r="BK122" s="85"/>
      <c r="BL122" s="84">
        <v>23.652000000000001</v>
      </c>
      <c r="BM122" s="84">
        <f t="shared" si="55"/>
        <v>1.4443569999999999</v>
      </c>
      <c r="BN122" s="85"/>
      <c r="BO122" s="85"/>
      <c r="BP122" s="664">
        <v>1.4443569999999999</v>
      </c>
      <c r="BQ122" s="664"/>
      <c r="BR122" s="664"/>
      <c r="BS122" s="664"/>
      <c r="BT122" s="664"/>
      <c r="BU122" s="664"/>
      <c r="BV122" s="85" t="s">
        <v>868</v>
      </c>
      <c r="BW122" s="663">
        <v>76</v>
      </c>
      <c r="BX122" s="663"/>
      <c r="BY122" s="663"/>
      <c r="BZ122" s="663"/>
    </row>
    <row r="123" spans="1:78" s="26" customFormat="1" ht="80.25" customHeight="1" outlineLevel="1">
      <c r="A123" s="659">
        <v>33</v>
      </c>
      <c r="B123" s="666" t="s">
        <v>841</v>
      </c>
      <c r="C123" s="661" t="s">
        <v>775</v>
      </c>
      <c r="D123" s="661"/>
      <c r="E123" s="85">
        <v>8101480</v>
      </c>
      <c r="F123" s="85" t="s">
        <v>754</v>
      </c>
      <c r="G123" s="85" t="s">
        <v>49</v>
      </c>
      <c r="H123" s="661" t="s">
        <v>758</v>
      </c>
      <c r="I123" s="662">
        <v>2024</v>
      </c>
      <c r="J123" s="661">
        <v>2024</v>
      </c>
      <c r="K123" s="661" t="s">
        <v>575</v>
      </c>
      <c r="L123" s="85" t="s">
        <v>842</v>
      </c>
      <c r="M123" s="85">
        <v>256</v>
      </c>
      <c r="N123" s="85"/>
      <c r="O123" s="84"/>
      <c r="P123" s="84">
        <v>256</v>
      </c>
      <c r="Q123" s="85" t="s">
        <v>843</v>
      </c>
      <c r="R123" s="85" t="s">
        <v>759</v>
      </c>
      <c r="S123" s="85"/>
      <c r="T123" s="85"/>
      <c r="U123" s="85"/>
      <c r="V123" s="85"/>
      <c r="W123" s="84">
        <f t="shared" si="46"/>
        <v>256</v>
      </c>
      <c r="X123" s="85"/>
      <c r="Y123" s="667"/>
      <c r="Z123" s="85">
        <f t="shared" si="48"/>
        <v>256</v>
      </c>
      <c r="AA123" s="85">
        <v>256</v>
      </c>
      <c r="AB123" s="85">
        <v>0</v>
      </c>
      <c r="AC123" s="85"/>
      <c r="AD123" s="85">
        <f t="shared" si="56"/>
        <v>256</v>
      </c>
      <c r="AE123" s="85"/>
      <c r="AF123" s="667"/>
      <c r="AG123" s="84">
        <f t="shared" si="60"/>
        <v>256</v>
      </c>
      <c r="AH123" s="85">
        <v>256</v>
      </c>
      <c r="AI123" s="85"/>
      <c r="AJ123" s="85"/>
      <c r="AK123" s="85"/>
      <c r="AL123" s="85">
        <f t="shared" si="57"/>
        <v>236</v>
      </c>
      <c r="AM123" s="85"/>
      <c r="AN123" s="84"/>
      <c r="AO123" s="84">
        <f t="shared" si="61"/>
        <v>236</v>
      </c>
      <c r="AP123" s="85">
        <v>236</v>
      </c>
      <c r="AQ123" s="85"/>
      <c r="AR123" s="85"/>
      <c r="AS123" s="85"/>
      <c r="AT123" s="85">
        <f t="shared" si="47"/>
        <v>0</v>
      </c>
      <c r="AU123" s="85"/>
      <c r="AV123" s="667"/>
      <c r="AW123" s="85">
        <f t="shared" si="51"/>
        <v>0</v>
      </c>
      <c r="AX123" s="85">
        <v>0</v>
      </c>
      <c r="AY123" s="85"/>
      <c r="AZ123" s="85"/>
      <c r="BA123" s="85">
        <f t="shared" si="52"/>
        <v>0</v>
      </c>
      <c r="BB123" s="85"/>
      <c r="BC123" s="84"/>
      <c r="BD123" s="84">
        <f t="shared" si="53"/>
        <v>0</v>
      </c>
      <c r="BE123" s="85"/>
      <c r="BF123" s="85"/>
      <c r="BG123" s="85"/>
      <c r="BH123" s="85"/>
      <c r="BI123" s="84">
        <f t="shared" si="54"/>
        <v>20</v>
      </c>
      <c r="BJ123" s="85"/>
      <c r="BK123" s="85"/>
      <c r="BL123" s="664">
        <v>20</v>
      </c>
      <c r="BM123" s="84">
        <f t="shared" si="55"/>
        <v>0.94164000000000003</v>
      </c>
      <c r="BN123" s="85"/>
      <c r="BO123" s="85"/>
      <c r="BP123" s="664">
        <v>0.94164000000000003</v>
      </c>
      <c r="BQ123" s="664"/>
      <c r="BR123" s="664"/>
      <c r="BS123" s="664"/>
      <c r="BT123" s="664"/>
      <c r="BU123" s="664"/>
      <c r="BV123" s="85" t="s">
        <v>868</v>
      </c>
      <c r="BW123" s="663">
        <v>256</v>
      </c>
      <c r="BX123" s="663"/>
      <c r="BY123" s="663"/>
      <c r="BZ123" s="663"/>
    </row>
    <row r="124" spans="1:78" s="26" customFormat="1" ht="53.25" customHeight="1" outlineLevel="1">
      <c r="A124" s="659">
        <v>34</v>
      </c>
      <c r="B124" s="666" t="s">
        <v>844</v>
      </c>
      <c r="C124" s="661" t="s">
        <v>580</v>
      </c>
      <c r="D124" s="661" t="s">
        <v>48</v>
      </c>
      <c r="E124" s="85">
        <v>8116743</v>
      </c>
      <c r="F124" s="85" t="s">
        <v>754</v>
      </c>
      <c r="G124" s="85" t="s">
        <v>49</v>
      </c>
      <c r="H124" s="661" t="s">
        <v>758</v>
      </c>
      <c r="I124" s="662">
        <v>2024</v>
      </c>
      <c r="J124" s="661">
        <v>2024</v>
      </c>
      <c r="K124" s="661" t="s">
        <v>575</v>
      </c>
      <c r="L124" s="85" t="s">
        <v>845</v>
      </c>
      <c r="M124" s="85">
        <v>2131</v>
      </c>
      <c r="N124" s="85"/>
      <c r="O124" s="84"/>
      <c r="P124" s="84">
        <v>2131</v>
      </c>
      <c r="Q124" s="85" t="s">
        <v>846</v>
      </c>
      <c r="R124" s="85" t="s">
        <v>759</v>
      </c>
      <c r="S124" s="85"/>
      <c r="T124" s="85"/>
      <c r="U124" s="85"/>
      <c r="V124" s="85"/>
      <c r="W124" s="84">
        <f t="shared" si="46"/>
        <v>2131</v>
      </c>
      <c r="X124" s="85"/>
      <c r="Y124" s="667"/>
      <c r="Z124" s="85">
        <f t="shared" si="48"/>
        <v>2131</v>
      </c>
      <c r="AA124" s="85">
        <v>0</v>
      </c>
      <c r="AB124" s="85"/>
      <c r="AC124" s="85">
        <f>769.711+1361.289</f>
        <v>2131</v>
      </c>
      <c r="AD124" s="85">
        <f t="shared" si="56"/>
        <v>2131.056</v>
      </c>
      <c r="AE124" s="85"/>
      <c r="AF124" s="667"/>
      <c r="AG124" s="84">
        <f t="shared" si="60"/>
        <v>2131.056</v>
      </c>
      <c r="AH124" s="85"/>
      <c r="AI124" s="85"/>
      <c r="AJ124" s="85"/>
      <c r="AK124" s="85">
        <f>278.76+1033.066+328.28+490.95</f>
        <v>2131.056</v>
      </c>
      <c r="AL124" s="85">
        <f t="shared" si="57"/>
        <v>1149.160742</v>
      </c>
      <c r="AM124" s="85"/>
      <c r="AN124" s="84"/>
      <c r="AO124" s="84">
        <f t="shared" si="61"/>
        <v>1149.160742</v>
      </c>
      <c r="AP124" s="85"/>
      <c r="AQ124" s="85"/>
      <c r="AR124" s="85"/>
      <c r="AS124" s="85">
        <v>1149.160742</v>
      </c>
      <c r="AT124" s="85">
        <f t="shared" si="47"/>
        <v>0</v>
      </c>
      <c r="AU124" s="85"/>
      <c r="AV124" s="667"/>
      <c r="AW124" s="85">
        <f t="shared" si="51"/>
        <v>0</v>
      </c>
      <c r="AX124" s="85">
        <v>0</v>
      </c>
      <c r="AY124" s="85"/>
      <c r="AZ124" s="85"/>
      <c r="BA124" s="85">
        <f t="shared" si="52"/>
        <v>0</v>
      </c>
      <c r="BB124" s="85"/>
      <c r="BC124" s="84"/>
      <c r="BD124" s="84">
        <f t="shared" si="53"/>
        <v>0</v>
      </c>
      <c r="BE124" s="85"/>
      <c r="BF124" s="85"/>
      <c r="BG124" s="85"/>
      <c r="BH124" s="85"/>
      <c r="BI124" s="84">
        <f t="shared" si="54"/>
        <v>490.94525800000002</v>
      </c>
      <c r="BJ124" s="85"/>
      <c r="BK124" s="85"/>
      <c r="BL124" s="85">
        <v>490.94525800000002</v>
      </c>
      <c r="BM124" s="84">
        <f t="shared" si="55"/>
        <v>490.94525800000002</v>
      </c>
      <c r="BN124" s="85"/>
      <c r="BO124" s="85"/>
      <c r="BP124" s="691">
        <v>490.94525800000002</v>
      </c>
      <c r="BQ124" s="691"/>
      <c r="BR124" s="691"/>
      <c r="BS124" s="691"/>
      <c r="BT124" s="691"/>
      <c r="BU124" s="692">
        <v>490.94525800000002</v>
      </c>
      <c r="BV124" s="85" t="s">
        <v>868</v>
      </c>
      <c r="BW124" s="663"/>
      <c r="BX124" s="663"/>
      <c r="BY124" s="663"/>
      <c r="BZ124" s="663"/>
    </row>
    <row r="125" spans="1:78" s="26" customFormat="1" ht="68.25" customHeight="1" outlineLevel="1">
      <c r="A125" s="659">
        <v>35</v>
      </c>
      <c r="B125" s="666" t="s">
        <v>847</v>
      </c>
      <c r="C125" s="661" t="s">
        <v>654</v>
      </c>
      <c r="D125" s="661" t="s">
        <v>48</v>
      </c>
      <c r="E125" s="85"/>
      <c r="F125" s="85" t="s">
        <v>754</v>
      </c>
      <c r="G125" s="85" t="s">
        <v>49</v>
      </c>
      <c r="H125" s="661" t="s">
        <v>772</v>
      </c>
      <c r="I125" s="662">
        <v>2025</v>
      </c>
      <c r="J125" s="661">
        <v>2025</v>
      </c>
      <c r="K125" s="661" t="s">
        <v>575</v>
      </c>
      <c r="L125" s="85" t="s">
        <v>848</v>
      </c>
      <c r="M125" s="85">
        <v>1870</v>
      </c>
      <c r="N125" s="85"/>
      <c r="O125" s="84"/>
      <c r="P125" s="84">
        <v>1870</v>
      </c>
      <c r="Q125" s="85"/>
      <c r="R125" s="85" t="s">
        <v>759</v>
      </c>
      <c r="S125" s="85"/>
      <c r="T125" s="85"/>
      <c r="U125" s="85"/>
      <c r="V125" s="85"/>
      <c r="W125" s="84">
        <f t="shared" si="46"/>
        <v>1600</v>
      </c>
      <c r="X125" s="85"/>
      <c r="Y125" s="667"/>
      <c r="Z125" s="85">
        <f t="shared" si="48"/>
        <v>1600</v>
      </c>
      <c r="AA125" s="85">
        <v>1600</v>
      </c>
      <c r="AB125" s="85">
        <v>0</v>
      </c>
      <c r="AC125" s="85"/>
      <c r="AD125" s="85">
        <f t="shared" si="56"/>
        <v>0</v>
      </c>
      <c r="AE125" s="85"/>
      <c r="AF125" s="667"/>
      <c r="AG125" s="84">
        <f t="shared" si="60"/>
        <v>0</v>
      </c>
      <c r="AH125" s="85"/>
      <c r="AI125" s="85"/>
      <c r="AJ125" s="85"/>
      <c r="AK125" s="85"/>
      <c r="AL125" s="85">
        <f t="shared" si="57"/>
        <v>0</v>
      </c>
      <c r="AM125" s="85"/>
      <c r="AN125" s="84"/>
      <c r="AO125" s="84">
        <f t="shared" si="61"/>
        <v>0</v>
      </c>
      <c r="AP125" s="85"/>
      <c r="AQ125" s="85"/>
      <c r="AR125" s="85"/>
      <c r="AS125" s="85"/>
      <c r="AT125" s="85">
        <f t="shared" si="47"/>
        <v>1600</v>
      </c>
      <c r="AU125" s="85"/>
      <c r="AV125" s="667"/>
      <c r="AW125" s="85">
        <f t="shared" si="51"/>
        <v>1600</v>
      </c>
      <c r="AX125" s="85">
        <v>1600</v>
      </c>
      <c r="AY125" s="85"/>
      <c r="AZ125" s="85"/>
      <c r="BA125" s="85">
        <f t="shared" si="52"/>
        <v>1596.91</v>
      </c>
      <c r="BB125" s="85"/>
      <c r="BC125" s="84"/>
      <c r="BD125" s="84">
        <f t="shared" si="53"/>
        <v>1596.91</v>
      </c>
      <c r="BE125" s="85">
        <v>1596.91</v>
      </c>
      <c r="BF125" s="85"/>
      <c r="BG125" s="85"/>
      <c r="BH125" s="85"/>
      <c r="BI125" s="84">
        <f t="shared" si="54"/>
        <v>0</v>
      </c>
      <c r="BJ125" s="85"/>
      <c r="BK125" s="85"/>
      <c r="BL125" s="85"/>
      <c r="BM125" s="84">
        <f t="shared" si="55"/>
        <v>0</v>
      </c>
      <c r="BN125" s="85"/>
      <c r="BO125" s="85"/>
      <c r="BP125" s="85"/>
      <c r="BQ125" s="85"/>
      <c r="BR125" s="85"/>
      <c r="BS125" s="85"/>
      <c r="BT125" s="85"/>
      <c r="BU125" s="85"/>
      <c r="BV125" s="85"/>
      <c r="BW125" s="663">
        <v>1600</v>
      </c>
      <c r="BX125" s="663"/>
      <c r="BY125" s="663">
        <v>1600</v>
      </c>
      <c r="BZ125" s="663"/>
    </row>
    <row r="126" spans="1:78" s="78" customFormat="1" ht="40.5" customHeight="1">
      <c r="A126" s="536" t="s">
        <v>59</v>
      </c>
      <c r="B126" s="104" t="s">
        <v>3636</v>
      </c>
      <c r="C126" s="104"/>
      <c r="D126" s="104"/>
      <c r="E126" s="104"/>
      <c r="F126" s="104"/>
      <c r="G126" s="104"/>
      <c r="H126" s="104"/>
      <c r="I126" s="104"/>
      <c r="J126" s="104"/>
      <c r="K126" s="104"/>
      <c r="L126" s="104"/>
      <c r="M126" s="104"/>
      <c r="N126" s="104"/>
      <c r="O126" s="104"/>
      <c r="P126" s="104"/>
      <c r="Q126" s="104"/>
      <c r="R126" s="104"/>
      <c r="S126" s="104"/>
      <c r="T126" s="104"/>
      <c r="U126" s="104"/>
      <c r="V126" s="104"/>
      <c r="W126" s="104">
        <v>40</v>
      </c>
      <c r="X126" s="104"/>
      <c r="Y126" s="104"/>
      <c r="Z126" s="104"/>
      <c r="AA126" s="104"/>
      <c r="AB126" s="104">
        <v>40</v>
      </c>
      <c r="AC126" s="104"/>
      <c r="AD126" s="104"/>
      <c r="AE126" s="104"/>
      <c r="AF126" s="104"/>
      <c r="AG126" s="104"/>
      <c r="AH126" s="104"/>
      <c r="AI126" s="104"/>
      <c r="AJ126" s="104"/>
      <c r="AK126" s="104"/>
      <c r="AL126" s="104"/>
      <c r="AM126" s="104"/>
      <c r="AN126" s="104"/>
      <c r="AO126" s="104"/>
      <c r="AP126" s="104"/>
      <c r="AQ126" s="104"/>
      <c r="AR126" s="104"/>
      <c r="AS126" s="104"/>
      <c r="AT126" s="104">
        <v>40</v>
      </c>
      <c r="AU126" s="104"/>
      <c r="AV126" s="104"/>
      <c r="AW126" s="104"/>
      <c r="AX126" s="104"/>
      <c r="AY126" s="104">
        <v>40</v>
      </c>
      <c r="AZ126" s="104"/>
      <c r="BA126" s="104"/>
      <c r="BB126" s="104"/>
      <c r="BC126" s="104"/>
      <c r="BD126" s="104"/>
      <c r="BE126" s="104"/>
      <c r="BF126" s="104"/>
      <c r="BG126" s="104"/>
      <c r="BH126" s="104"/>
      <c r="BI126" s="104"/>
      <c r="BJ126" s="104"/>
      <c r="BK126" s="104"/>
      <c r="BL126" s="104"/>
      <c r="BM126" s="104"/>
      <c r="BN126" s="104"/>
      <c r="BO126" s="104"/>
      <c r="BP126" s="104"/>
      <c r="BQ126" s="104"/>
      <c r="BR126" s="104"/>
      <c r="BS126" s="104"/>
      <c r="BT126" s="104"/>
      <c r="BU126" s="104"/>
      <c r="BV126" s="104"/>
      <c r="BW126" s="512"/>
      <c r="BX126" s="512"/>
      <c r="BY126" s="512"/>
      <c r="BZ126" s="512"/>
    </row>
    <row r="127" spans="1:78" s="26" customFormat="1" ht="65.25" customHeight="1" collapsed="1">
      <c r="A127" s="658" t="s">
        <v>49</v>
      </c>
      <c r="B127" s="690" t="s">
        <v>3642</v>
      </c>
      <c r="C127" s="658"/>
      <c r="D127" s="658"/>
      <c r="E127" s="658"/>
      <c r="F127" s="658"/>
      <c r="G127" s="658"/>
      <c r="H127" s="658"/>
      <c r="I127" s="658"/>
      <c r="J127" s="658"/>
      <c r="K127" s="658"/>
      <c r="L127" s="658"/>
      <c r="M127" s="658"/>
      <c r="N127" s="658"/>
      <c r="O127" s="658"/>
      <c r="P127" s="658"/>
      <c r="Q127" s="658"/>
      <c r="R127" s="658"/>
      <c r="S127" s="658"/>
      <c r="T127" s="658"/>
      <c r="U127" s="658"/>
      <c r="V127" s="658"/>
      <c r="W127" s="658">
        <f>X127+Y127+Z127</f>
        <v>66260.72</v>
      </c>
      <c r="X127" s="658"/>
      <c r="Y127" s="658"/>
      <c r="Z127" s="658">
        <f>SUM(AA127:AC127)</f>
        <v>66260.72</v>
      </c>
      <c r="AA127" s="658">
        <v>7905.7199999999993</v>
      </c>
      <c r="AB127" s="658"/>
      <c r="AC127" s="658">
        <v>58355</v>
      </c>
      <c r="AD127" s="658">
        <f>AE127+AF127+AG127</f>
        <v>7905.7199999999993</v>
      </c>
      <c r="AE127" s="658"/>
      <c r="AF127" s="658"/>
      <c r="AG127" s="658">
        <f>AH127+AI127+AJ127+AK127</f>
        <v>7905.7199999999993</v>
      </c>
      <c r="AH127" s="658">
        <f>3080+86.25+687+4052.47</f>
        <v>7905.7199999999993</v>
      </c>
      <c r="AI127" s="658"/>
      <c r="AJ127" s="658"/>
      <c r="AK127" s="658"/>
      <c r="AL127" s="658">
        <f>AM127+AN127+AO127</f>
        <v>2933.6066209999999</v>
      </c>
      <c r="AM127" s="658"/>
      <c r="AN127" s="658"/>
      <c r="AO127" s="658">
        <f>AP127+AQ127+AR127+AS127</f>
        <v>2933.6066209999999</v>
      </c>
      <c r="AP127" s="658">
        <f>2849.606621+84</f>
        <v>2933.6066209999999</v>
      </c>
      <c r="AQ127" s="658"/>
      <c r="AR127" s="658"/>
      <c r="AS127" s="658"/>
      <c r="AT127" s="658">
        <f>AU127+AV127+AW127</f>
        <v>4052.47</v>
      </c>
      <c r="AU127" s="658"/>
      <c r="AV127" s="658"/>
      <c r="AW127" s="658">
        <f>AX127+AY127+AZ127</f>
        <v>4052.47</v>
      </c>
      <c r="AX127" s="658">
        <v>4052.47</v>
      </c>
      <c r="AY127" s="658"/>
      <c r="AZ127" s="658"/>
      <c r="BA127" s="658">
        <f>BB127+BC127+BD127</f>
        <v>3962.8326649999999</v>
      </c>
      <c r="BB127" s="658"/>
      <c r="BC127" s="658"/>
      <c r="BD127" s="658">
        <f>BE127+BF127+BG127+BH127</f>
        <v>3962.8326649999999</v>
      </c>
      <c r="BE127" s="658">
        <v>3962.8326649999999</v>
      </c>
      <c r="BF127" s="658"/>
      <c r="BG127" s="658"/>
      <c r="BH127" s="658"/>
      <c r="BI127" s="658">
        <f>BJ127+BK127+BL127</f>
        <v>2.25</v>
      </c>
      <c r="BJ127" s="658"/>
      <c r="BK127" s="658"/>
      <c r="BL127" s="658">
        <v>2.25</v>
      </c>
      <c r="BM127" s="658">
        <f>BN127+BO127+BP127</f>
        <v>0</v>
      </c>
      <c r="BN127" s="658"/>
      <c r="BO127" s="658"/>
      <c r="BP127" s="658"/>
      <c r="BQ127" s="658"/>
      <c r="BR127" s="658"/>
      <c r="BS127" s="658"/>
      <c r="BT127" s="658"/>
      <c r="BU127" s="693">
        <v>197.21820700000001</v>
      </c>
      <c r="BV127" s="658" t="s">
        <v>519</v>
      </c>
      <c r="BW127" s="694">
        <f>3080+86.25+687+4052.47</f>
        <v>7905.7199999999993</v>
      </c>
      <c r="BX127" s="694"/>
      <c r="BY127" s="695">
        <v>4052.47</v>
      </c>
      <c r="BZ127" s="695"/>
    </row>
    <row r="128" spans="1:78" s="26" customFormat="1" ht="42" customHeight="1">
      <c r="A128" s="658" t="s">
        <v>62</v>
      </c>
      <c r="B128" s="690" t="s">
        <v>3640</v>
      </c>
      <c r="C128" s="658">
        <v>148968</v>
      </c>
      <c r="D128" s="658">
        <v>0</v>
      </c>
      <c r="E128" s="658"/>
      <c r="F128" s="658">
        <f>F129</f>
        <v>0</v>
      </c>
      <c r="G128" s="658"/>
      <c r="H128" s="658">
        <f>H129</f>
        <v>0</v>
      </c>
      <c r="I128" s="658"/>
      <c r="J128" s="658"/>
      <c r="K128" s="658"/>
      <c r="L128" s="658"/>
      <c r="M128" s="658">
        <f>M129</f>
        <v>0</v>
      </c>
      <c r="N128" s="658">
        <f t="shared" ref="N128:V128" si="62">N129</f>
        <v>0</v>
      </c>
      <c r="O128" s="658">
        <f t="shared" si="62"/>
        <v>0</v>
      </c>
      <c r="P128" s="658">
        <f t="shared" si="62"/>
        <v>0</v>
      </c>
      <c r="Q128" s="658">
        <f t="shared" si="62"/>
        <v>0</v>
      </c>
      <c r="R128" s="658">
        <f t="shared" si="62"/>
        <v>0</v>
      </c>
      <c r="S128" s="658">
        <f t="shared" si="62"/>
        <v>0</v>
      </c>
      <c r="T128" s="658">
        <f t="shared" si="62"/>
        <v>0</v>
      </c>
      <c r="U128" s="658">
        <f t="shared" si="62"/>
        <v>0</v>
      </c>
      <c r="V128" s="658">
        <f t="shared" si="62"/>
        <v>0</v>
      </c>
      <c r="W128" s="658">
        <f t="shared" ref="W128:BB128" si="63">SUM(W129:W130)</f>
        <v>369.36270100000002</v>
      </c>
      <c r="X128" s="658">
        <f t="shared" si="63"/>
        <v>0</v>
      </c>
      <c r="Y128" s="658">
        <f t="shared" si="63"/>
        <v>0</v>
      </c>
      <c r="Z128" s="658">
        <f t="shared" si="63"/>
        <v>57.362701000000001</v>
      </c>
      <c r="AA128" s="658">
        <f t="shared" si="63"/>
        <v>57.362701000000001</v>
      </c>
      <c r="AB128" s="658">
        <f t="shared" si="63"/>
        <v>312</v>
      </c>
      <c r="AC128" s="658">
        <f t="shared" si="63"/>
        <v>0</v>
      </c>
      <c r="AD128" s="658">
        <f t="shared" si="63"/>
        <v>0</v>
      </c>
      <c r="AE128" s="658">
        <f t="shared" si="63"/>
        <v>0</v>
      </c>
      <c r="AF128" s="658">
        <f t="shared" si="63"/>
        <v>0</v>
      </c>
      <c r="AG128" s="658">
        <f t="shared" si="63"/>
        <v>0</v>
      </c>
      <c r="AH128" s="658">
        <f t="shared" si="63"/>
        <v>0</v>
      </c>
      <c r="AI128" s="658">
        <f t="shared" si="63"/>
        <v>0</v>
      </c>
      <c r="AJ128" s="658">
        <f t="shared" si="63"/>
        <v>0</v>
      </c>
      <c r="AK128" s="658">
        <f t="shared" si="63"/>
        <v>0</v>
      </c>
      <c r="AL128" s="658">
        <f t="shared" si="63"/>
        <v>0</v>
      </c>
      <c r="AM128" s="658">
        <f t="shared" si="63"/>
        <v>0</v>
      </c>
      <c r="AN128" s="658">
        <f t="shared" si="63"/>
        <v>0</v>
      </c>
      <c r="AO128" s="658">
        <f t="shared" si="63"/>
        <v>0</v>
      </c>
      <c r="AP128" s="658">
        <f t="shared" si="63"/>
        <v>0</v>
      </c>
      <c r="AQ128" s="658">
        <f t="shared" si="63"/>
        <v>0</v>
      </c>
      <c r="AR128" s="658">
        <f t="shared" si="63"/>
        <v>0</v>
      </c>
      <c r="AS128" s="658">
        <f t="shared" si="63"/>
        <v>0</v>
      </c>
      <c r="AT128" s="658">
        <f t="shared" si="63"/>
        <v>369.36270100000002</v>
      </c>
      <c r="AU128" s="658">
        <f t="shared" si="63"/>
        <v>0</v>
      </c>
      <c r="AV128" s="658">
        <f t="shared" si="63"/>
        <v>0</v>
      </c>
      <c r="AW128" s="658">
        <f t="shared" si="63"/>
        <v>57.362701000000001</v>
      </c>
      <c r="AX128" s="658">
        <f t="shared" si="63"/>
        <v>57.362701000000001</v>
      </c>
      <c r="AY128" s="658">
        <f t="shared" si="63"/>
        <v>312</v>
      </c>
      <c r="AZ128" s="658">
        <f t="shared" si="63"/>
        <v>0</v>
      </c>
      <c r="BA128" s="658">
        <f t="shared" si="63"/>
        <v>0</v>
      </c>
      <c r="BB128" s="658">
        <f t="shared" si="63"/>
        <v>0</v>
      </c>
      <c r="BC128" s="658">
        <f t="shared" ref="BC128:BT128" si="64">SUM(BC129:BC130)</f>
        <v>0</v>
      </c>
      <c r="BD128" s="658">
        <f t="shared" si="64"/>
        <v>0</v>
      </c>
      <c r="BE128" s="658">
        <f t="shared" si="64"/>
        <v>0</v>
      </c>
      <c r="BF128" s="658">
        <f t="shared" si="64"/>
        <v>0</v>
      </c>
      <c r="BG128" s="658">
        <f t="shared" si="64"/>
        <v>0</v>
      </c>
      <c r="BH128" s="658">
        <f t="shared" si="64"/>
        <v>0</v>
      </c>
      <c r="BI128" s="658">
        <f t="shared" si="64"/>
        <v>0</v>
      </c>
      <c r="BJ128" s="658">
        <f t="shared" si="64"/>
        <v>0</v>
      </c>
      <c r="BK128" s="658">
        <f t="shared" si="64"/>
        <v>0</v>
      </c>
      <c r="BL128" s="658">
        <f t="shared" si="64"/>
        <v>0</v>
      </c>
      <c r="BM128" s="658">
        <f t="shared" si="64"/>
        <v>0</v>
      </c>
      <c r="BN128" s="658">
        <f t="shared" si="64"/>
        <v>0</v>
      </c>
      <c r="BO128" s="658">
        <f t="shared" si="64"/>
        <v>0</v>
      </c>
      <c r="BP128" s="658">
        <f t="shared" si="64"/>
        <v>0</v>
      </c>
      <c r="BQ128" s="658">
        <f t="shared" si="64"/>
        <v>0</v>
      </c>
      <c r="BR128" s="658">
        <f t="shared" si="64"/>
        <v>0</v>
      </c>
      <c r="BS128" s="658">
        <f t="shared" si="64"/>
        <v>0</v>
      </c>
      <c r="BT128" s="658">
        <f t="shared" si="64"/>
        <v>0</v>
      </c>
      <c r="BU128" s="658"/>
      <c r="BV128" s="658"/>
      <c r="BW128" s="75">
        <f>BW129</f>
        <v>57.362701000000001</v>
      </c>
      <c r="BX128" s="75">
        <f>BX129</f>
        <v>0</v>
      </c>
      <c r="BY128" s="75">
        <f>BY129</f>
        <v>57.362701000000001</v>
      </c>
      <c r="BZ128" s="75">
        <f>BZ129</f>
        <v>0</v>
      </c>
    </row>
    <row r="129" spans="1:78" s="78" customFormat="1" ht="40.5" customHeight="1" outlineLevel="1">
      <c r="A129" s="659">
        <v>1</v>
      </c>
      <c r="B129" s="668" t="s">
        <v>9</v>
      </c>
      <c r="C129" s="669"/>
      <c r="D129" s="670"/>
      <c r="E129" s="671"/>
      <c r="F129" s="672"/>
      <c r="G129" s="669"/>
      <c r="H129" s="672"/>
      <c r="I129" s="669"/>
      <c r="J129" s="669"/>
      <c r="K129" s="669"/>
      <c r="L129" s="673"/>
      <c r="M129" s="687"/>
      <c r="N129" s="676"/>
      <c r="O129" s="676"/>
      <c r="P129" s="687"/>
      <c r="Q129" s="672"/>
      <c r="R129" s="672"/>
      <c r="S129" s="687"/>
      <c r="T129" s="696"/>
      <c r="U129" s="696"/>
      <c r="V129" s="687"/>
      <c r="W129" s="84">
        <f t="shared" si="46"/>
        <v>57.362701000000001</v>
      </c>
      <c r="X129" s="684"/>
      <c r="Y129" s="684"/>
      <c r="Z129" s="697">
        <f>SUM(AA129:AC129)</f>
        <v>57.362701000000001</v>
      </c>
      <c r="AA129" s="85">
        <v>57.362701000000001</v>
      </c>
      <c r="AB129" s="684"/>
      <c r="AC129" s="696"/>
      <c r="AD129" s="687">
        <f>AE129+AF129+AG129</f>
        <v>0</v>
      </c>
      <c r="AE129" s="687"/>
      <c r="AF129" s="696"/>
      <c r="AG129" s="696">
        <f>AH129+AI129+AJ129+AK129</f>
        <v>0</v>
      </c>
      <c r="AH129" s="687"/>
      <c r="AI129" s="696"/>
      <c r="AJ129" s="696"/>
      <c r="AK129" s="696"/>
      <c r="AL129" s="687">
        <f>AM129+AN129+AO129</f>
        <v>0</v>
      </c>
      <c r="AM129" s="687"/>
      <c r="AN129" s="696"/>
      <c r="AO129" s="696">
        <f>AP129+AQ129+AR129+AS129</f>
        <v>0</v>
      </c>
      <c r="AP129" s="687">
        <v>0</v>
      </c>
      <c r="AQ129" s="696"/>
      <c r="AR129" s="696"/>
      <c r="AS129" s="696"/>
      <c r="AT129" s="85">
        <f t="shared" si="47"/>
        <v>57.362701000000001</v>
      </c>
      <c r="AU129" s="684"/>
      <c r="AV129" s="684"/>
      <c r="AW129" s="697">
        <f>SUM(AX129:AZ129)</f>
        <v>57.362701000000001</v>
      </c>
      <c r="AX129" s="684">
        <v>57.362701000000001</v>
      </c>
      <c r="AY129" s="698"/>
      <c r="AZ129" s="696"/>
      <c r="BA129" s="696">
        <f>BB129+BC129+BD129</f>
        <v>0</v>
      </c>
      <c r="BB129" s="687"/>
      <c r="BC129" s="696"/>
      <c r="BD129" s="696">
        <f>BE129+BF129+BG129+BH129</f>
        <v>0</v>
      </c>
      <c r="BE129" s="696"/>
      <c r="BF129" s="696"/>
      <c r="BG129" s="696"/>
      <c r="BH129" s="696"/>
      <c r="BI129" s="696">
        <f t="shared" ref="BI129" si="65">BJ129+BK129+BL129</f>
        <v>0</v>
      </c>
      <c r="BJ129" s="696"/>
      <c r="BK129" s="687"/>
      <c r="BL129" s="696"/>
      <c r="BM129" s="696">
        <f t="shared" ref="BM129" si="66">BN129+BO129+BP129</f>
        <v>0</v>
      </c>
      <c r="BN129" s="696"/>
      <c r="BO129" s="687"/>
      <c r="BP129" s="696"/>
      <c r="BQ129" s="696"/>
      <c r="BR129" s="696"/>
      <c r="BS129" s="684"/>
      <c r="BT129" s="699"/>
      <c r="BU129" s="699"/>
      <c r="BV129" s="699"/>
      <c r="BW129" s="512">
        <v>57.362701000000001</v>
      </c>
      <c r="BX129" s="512"/>
      <c r="BY129" s="512">
        <v>57.362701000000001</v>
      </c>
      <c r="BZ129" s="512"/>
    </row>
    <row r="130" spans="1:78" s="78" customFormat="1" ht="40.5" customHeight="1" outlineLevel="1">
      <c r="A130" s="700">
        <v>2</v>
      </c>
      <c r="B130" s="701" t="s">
        <v>864</v>
      </c>
      <c r="C130" s="701"/>
      <c r="D130" s="702"/>
      <c r="E130" s="703"/>
      <c r="F130" s="701"/>
      <c r="G130" s="701"/>
      <c r="H130" s="701"/>
      <c r="I130" s="701"/>
      <c r="J130" s="701"/>
      <c r="K130" s="701"/>
      <c r="L130" s="701"/>
      <c r="M130" s="701"/>
      <c r="N130" s="701"/>
      <c r="O130" s="701"/>
      <c r="P130" s="701"/>
      <c r="Q130" s="701"/>
      <c r="R130" s="701"/>
      <c r="S130" s="701"/>
      <c r="T130" s="701"/>
      <c r="U130" s="701"/>
      <c r="V130" s="701"/>
      <c r="W130" s="259">
        <f t="shared" si="46"/>
        <v>312</v>
      </c>
      <c r="X130" s="704"/>
      <c r="Y130" s="704"/>
      <c r="Z130" s="705"/>
      <c r="AA130" s="701"/>
      <c r="AB130" s="259">
        <v>312</v>
      </c>
      <c r="AC130" s="701"/>
      <c r="AD130" s="701"/>
      <c r="AE130" s="701"/>
      <c r="AF130" s="701"/>
      <c r="AG130" s="701"/>
      <c r="AH130" s="701"/>
      <c r="AI130" s="701"/>
      <c r="AJ130" s="701"/>
      <c r="AK130" s="701"/>
      <c r="AL130" s="701"/>
      <c r="AM130" s="701"/>
      <c r="AN130" s="701"/>
      <c r="AO130" s="701"/>
      <c r="AP130" s="701"/>
      <c r="AQ130" s="701"/>
      <c r="AR130" s="701"/>
      <c r="AS130" s="701"/>
      <c r="AT130" s="259">
        <f t="shared" si="47"/>
        <v>312</v>
      </c>
      <c r="AU130" s="704"/>
      <c r="AV130" s="704"/>
      <c r="AW130" s="705"/>
      <c r="AX130" s="701"/>
      <c r="AY130" s="706">
        <v>312</v>
      </c>
      <c r="AZ130" s="701"/>
      <c r="BA130" s="701"/>
      <c r="BB130" s="701"/>
      <c r="BC130" s="701"/>
      <c r="BD130" s="701"/>
      <c r="BE130" s="701"/>
      <c r="BF130" s="701"/>
      <c r="BG130" s="701"/>
      <c r="BH130" s="701"/>
      <c r="BI130" s="701"/>
      <c r="BJ130" s="701"/>
      <c r="BK130" s="701"/>
      <c r="BL130" s="701"/>
      <c r="BM130" s="701"/>
      <c r="BN130" s="701"/>
      <c r="BO130" s="701"/>
      <c r="BP130" s="701"/>
      <c r="BQ130" s="701"/>
      <c r="BR130" s="701"/>
      <c r="BS130" s="701"/>
      <c r="BT130" s="701"/>
      <c r="BU130" s="701"/>
      <c r="BV130" s="701"/>
      <c r="BW130" s="512"/>
      <c r="BX130" s="512"/>
      <c r="BY130" s="512"/>
      <c r="BZ130" s="512"/>
    </row>
    <row r="131" spans="1:78" ht="48" customHeight="1">
      <c r="A131" s="914" t="s">
        <v>3690</v>
      </c>
      <c r="B131" s="915"/>
      <c r="C131" s="915"/>
      <c r="D131" s="915"/>
      <c r="E131" s="915"/>
      <c r="F131" s="915"/>
      <c r="G131" s="915"/>
      <c r="H131" s="915"/>
      <c r="I131" s="915"/>
      <c r="J131" s="915"/>
      <c r="K131" s="915"/>
      <c r="L131" s="915"/>
      <c r="M131" s="915"/>
      <c r="N131" s="915"/>
      <c r="O131" s="915"/>
      <c r="P131" s="915"/>
      <c r="Q131" s="915"/>
      <c r="R131" s="915"/>
      <c r="S131" s="915"/>
      <c r="T131" s="915"/>
      <c r="U131" s="915"/>
      <c r="V131" s="915"/>
      <c r="W131" s="915"/>
      <c r="X131" s="915"/>
      <c r="Y131" s="915"/>
      <c r="Z131" s="915"/>
      <c r="AA131" s="915"/>
      <c r="AB131" s="915"/>
      <c r="AC131" s="915"/>
      <c r="AD131" s="915"/>
      <c r="AE131" s="915"/>
      <c r="AF131" s="915"/>
      <c r="AG131" s="915"/>
      <c r="AH131" s="915"/>
      <c r="AI131" s="915"/>
      <c r="AJ131" s="915"/>
      <c r="AK131" s="915"/>
      <c r="AL131" s="915"/>
      <c r="AM131" s="915"/>
      <c r="AN131" s="915"/>
      <c r="AO131" s="915"/>
      <c r="AP131" s="915"/>
      <c r="AQ131" s="915"/>
      <c r="AR131" s="915"/>
      <c r="AS131" s="915"/>
      <c r="AT131" s="915"/>
      <c r="AU131" s="915"/>
      <c r="AV131" s="915"/>
      <c r="AW131" s="915"/>
      <c r="AX131" s="915"/>
      <c r="AY131" s="915"/>
      <c r="AZ131" s="915"/>
      <c r="BA131" s="915"/>
      <c r="BB131" s="915"/>
      <c r="BC131" s="915"/>
      <c r="BD131" s="915"/>
      <c r="BE131" s="915"/>
      <c r="BF131" s="915"/>
      <c r="BG131" s="915"/>
      <c r="BH131" s="915"/>
      <c r="BI131" s="915"/>
      <c r="BJ131" s="915"/>
      <c r="BK131" s="915"/>
      <c r="BL131" s="915"/>
      <c r="BM131" s="915"/>
      <c r="BN131" s="915"/>
      <c r="BO131" s="915"/>
      <c r="BP131" s="915"/>
      <c r="BQ131" s="915"/>
      <c r="BR131" s="915"/>
      <c r="BS131" s="915"/>
      <c r="BT131" s="915"/>
      <c r="BU131" s="915"/>
      <c r="BV131" s="915"/>
      <c r="BW131" s="915"/>
      <c r="BX131" s="90"/>
      <c r="BY131" s="90"/>
      <c r="BZ131" s="90"/>
    </row>
    <row r="132" spans="1:78">
      <c r="C132" s="26"/>
      <c r="AA132" s="163"/>
    </row>
  </sheetData>
  <mergeCells count="98">
    <mergeCell ref="AY6:BV6"/>
    <mergeCell ref="A131:BW131"/>
    <mergeCell ref="A4:BV4"/>
    <mergeCell ref="BO10:BO11"/>
    <mergeCell ref="BP10:BP11"/>
    <mergeCell ref="BR10:BR11"/>
    <mergeCell ref="BS10:BS11"/>
    <mergeCell ref="BT10:BT11"/>
    <mergeCell ref="AW10:AW11"/>
    <mergeCell ref="BB10:BB11"/>
    <mergeCell ref="BC10:BC11"/>
    <mergeCell ref="BD10:BD11"/>
    <mergeCell ref="BE10:BH10"/>
    <mergeCell ref="AA9:AA11"/>
    <mergeCell ref="AB9:AB11"/>
    <mergeCell ref="AV10:AV11"/>
    <mergeCell ref="BW9:BX9"/>
    <mergeCell ref="BY9:BZ9"/>
    <mergeCell ref="BM9:BM11"/>
    <mergeCell ref="BN9:BP9"/>
    <mergeCell ref="BN10:BN11"/>
    <mergeCell ref="BX10:BX11"/>
    <mergeCell ref="BY10:BZ10"/>
    <mergeCell ref="BW10:BW11"/>
    <mergeCell ref="BQ9:BQ11"/>
    <mergeCell ref="BR9:BT9"/>
    <mergeCell ref="BU7:BU11"/>
    <mergeCell ref="BM8:BP8"/>
    <mergeCell ref="BI7:BP7"/>
    <mergeCell ref="BQ7:BT8"/>
    <mergeCell ref="BV7:BV11"/>
    <mergeCell ref="BK10:BK11"/>
    <mergeCell ref="T9:T11"/>
    <mergeCell ref="S7:V7"/>
    <mergeCell ref="W7:AC7"/>
    <mergeCell ref="BL10:BL11"/>
    <mergeCell ref="AU10:AU11"/>
    <mergeCell ref="BJ10:BJ11"/>
    <mergeCell ref="BI8:BL8"/>
    <mergeCell ref="BA9:BA11"/>
    <mergeCell ref="BB9:BH9"/>
    <mergeCell ref="BI9:BI11"/>
    <mergeCell ref="BJ9:BL9"/>
    <mergeCell ref="AT7:BH7"/>
    <mergeCell ref="BA8:BH8"/>
    <mergeCell ref="Y9:Y11"/>
    <mergeCell ref="AG10:AG11"/>
    <mergeCell ref="AH10:AK10"/>
    <mergeCell ref="AE9:AK9"/>
    <mergeCell ref="AL9:AL11"/>
    <mergeCell ref="AM9:AS9"/>
    <mergeCell ref="AE10:AE11"/>
    <mergeCell ref="AF10:AF11"/>
    <mergeCell ref="AN10:AN11"/>
    <mergeCell ref="AM10:AM11"/>
    <mergeCell ref="Q7:Q11"/>
    <mergeCell ref="AD7:AS7"/>
    <mergeCell ref="U9:U11"/>
    <mergeCell ref="V9:V11"/>
    <mergeCell ref="X9:X11"/>
    <mergeCell ref="R7:R11"/>
    <mergeCell ref="S8:S11"/>
    <mergeCell ref="T8:V8"/>
    <mergeCell ref="W8:W11"/>
    <mergeCell ref="Z9:Z11"/>
    <mergeCell ref="X8:AC8"/>
    <mergeCell ref="AO10:AO11"/>
    <mergeCell ref="AP10:AS10"/>
    <mergeCell ref="AD8:AK8"/>
    <mergeCell ref="AL8:AS8"/>
    <mergeCell ref="AD9:AD11"/>
    <mergeCell ref="N10:N11"/>
    <mergeCell ref="O10:O11"/>
    <mergeCell ref="P10:P11"/>
    <mergeCell ref="H7:H11"/>
    <mergeCell ref="K9:K11"/>
    <mergeCell ref="L9:L11"/>
    <mergeCell ref="M9:M11"/>
    <mergeCell ref="N9:P9"/>
    <mergeCell ref="I7:I11"/>
    <mergeCell ref="J7:J11"/>
    <mergeCell ref="K7:P8"/>
    <mergeCell ref="A1:BV1"/>
    <mergeCell ref="A5:BV5"/>
    <mergeCell ref="A2:BV3"/>
    <mergeCell ref="A7:A11"/>
    <mergeCell ref="B7:B11"/>
    <mergeCell ref="C7:C11"/>
    <mergeCell ref="G7:G11"/>
    <mergeCell ref="D7:D11"/>
    <mergeCell ref="E7:E11"/>
    <mergeCell ref="AC9:AC11"/>
    <mergeCell ref="AT8:AT11"/>
    <mergeCell ref="AX8:AZ8"/>
    <mergeCell ref="AX9:AX11"/>
    <mergeCell ref="AY9:AY11"/>
    <mergeCell ref="AZ9:AZ11"/>
    <mergeCell ref="F7:F11"/>
  </mergeCells>
  <printOptions horizontalCentered="1"/>
  <pageMargins left="0.35433070866141736" right="0.27559055118110237" top="0.47244094488188981" bottom="0.47244094488188981" header="0.31496062992125984" footer="0.31496062992125984"/>
  <pageSetup paperSize="9" scale="45" orientation="landscape" r:id="rId1"/>
  <headerFooter>
    <oddHeader>&amp;R&amp;"Times New Roman,Bold Italic"&amp;12Kon Rẫy</oddHeader>
    <oddFooter>&amp;R&amp;P/&amp;N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18</vt:i4>
      </vt:variant>
    </vt:vector>
  </HeadingPairs>
  <TitlesOfParts>
    <vt:vector size="28" baseType="lpstr">
      <vt:lpstr>3.13.Thành phố Kon Tum</vt:lpstr>
      <vt:lpstr>3.14.Đăk Hà</vt:lpstr>
      <vt:lpstr>3.15.Đăk Tô</vt:lpstr>
      <vt:lpstr>DAK TO KAN</vt:lpstr>
      <vt:lpstr>3.17.Ngọc Hồi</vt:lpstr>
      <vt:lpstr>3.18.Đăk Glei</vt:lpstr>
      <vt:lpstr>3.19.Sa Thầy</vt:lpstr>
      <vt:lpstr>3.20.Ia HDrai</vt:lpstr>
      <vt:lpstr>3.21.Kon Rẫy</vt:lpstr>
      <vt:lpstr>3.22.Kon PLong</vt:lpstr>
      <vt:lpstr>'3.13.Thành phố Kon Tum'!Print_Area</vt:lpstr>
      <vt:lpstr>'3.14.Đăk Hà'!Print_Area</vt:lpstr>
      <vt:lpstr>'3.18.Đăk Glei'!Print_Area</vt:lpstr>
      <vt:lpstr>'3.19.Sa Thầy'!Print_Area</vt:lpstr>
      <vt:lpstr>'3.20.Ia HDrai'!Print_Area</vt:lpstr>
      <vt:lpstr>'3.21.Kon Rẫy'!Print_Area</vt:lpstr>
      <vt:lpstr>'3.22.Kon PLong'!Print_Area</vt:lpstr>
      <vt:lpstr>'DAK TO KAN'!Print_Area</vt:lpstr>
      <vt:lpstr>'3.13.Thành phố Kon Tum'!Print_Titles</vt:lpstr>
      <vt:lpstr>'3.14.Đăk Hà'!Print_Titles</vt:lpstr>
      <vt:lpstr>'3.15.Đăk Tô'!Print_Titles</vt:lpstr>
      <vt:lpstr>'3.17.Ngọc Hồi'!Print_Titles</vt:lpstr>
      <vt:lpstr>'3.18.Đăk Glei'!Print_Titles</vt:lpstr>
      <vt:lpstr>'3.19.Sa Thầy'!Print_Titles</vt:lpstr>
      <vt:lpstr>'3.20.Ia HDrai'!Print_Titles</vt:lpstr>
      <vt:lpstr>'3.21.Kon Rẫy'!Print_Titles</vt:lpstr>
      <vt:lpstr>'3.22.Kon PLong'!Print_Titles</vt:lpstr>
      <vt:lpstr>'DAK TO KAN'!Print_Titles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H510</dc:creator>
  <cp:lastModifiedBy>admin</cp:lastModifiedBy>
  <cp:lastPrinted>2025-08-29T06:37:42Z</cp:lastPrinted>
  <dcterms:created xsi:type="dcterms:W3CDTF">2025-07-28T07:13:58Z</dcterms:created>
  <dcterms:modified xsi:type="dcterms:W3CDTF">2025-12-01T03:49:44Z</dcterms:modified>
</cp:coreProperties>
</file>